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hidePivotFieldList="1" defaultThemeVersion="124226"/>
  <mc:AlternateContent xmlns:mc="http://schemas.openxmlformats.org/markup-compatibility/2006">
    <mc:Choice Requires="x15">
      <x15ac:absPath xmlns:x15ac="http://schemas.microsoft.com/office/spreadsheetml/2010/11/ac" url="P:\S Drive Files\Safety Net\2025-26\Bulletin and Forms\Documents to update\Worksheets\"/>
    </mc:Choice>
  </mc:AlternateContent>
  <xr:revisionPtr revIDLastSave="0" documentId="13_ncr:1_{4367FD8F-5A1E-4F71-A7C2-0E5D20248426}" xr6:coauthVersionLast="47" xr6:coauthVersionMax="47" xr10:uidLastSave="{00000000-0000-0000-0000-000000000000}"/>
  <bookViews>
    <workbookView xWindow="-120" yWindow="-120" windowWidth="29040" windowHeight="15720" activeTab="3" xr2:uid="{10449C0E-3321-456B-A179-77CA0EEC77DB}"/>
  </bookViews>
  <sheets>
    <sheet name="Copyright" sheetId="59" r:id="rId1"/>
    <sheet name="LEA List" sheetId="2" r:id="rId2"/>
    <sheet name="Instructions" sheetId="151" r:id="rId3"/>
    <sheet name="2025–26 Worksheet A" sheetId="1" r:id="rId4"/>
    <sheet name="2025–26 Budget Reconciliation" sheetId="101" r:id="rId5"/>
    <sheet name="F-195 ExpendPivot" sheetId="164" state="hidden" r:id="rId6"/>
    <sheet name="F-195 All Expend Data" sheetId="163" state="hidden" r:id="rId7"/>
    <sheet name="Indirects" sheetId="5" state="hidden" r:id="rId8"/>
    <sheet name="Previous Year Allocations" sheetId="146" state="hidden" r:id="rId9"/>
    <sheet name="F-196 Expenditures" sheetId="152" state="hidden" r:id="rId10"/>
    <sheet name="F-196 Revenues" sheetId="153" state="hidden" r:id="rId11"/>
    <sheet name="Previous Year Supplementals" sheetId="160" state="hidden" r:id="rId12"/>
    <sheet name="Previous Year Carryover" sheetId="147" state="hidden" r:id="rId13"/>
    <sheet name="Previous Year Safety Net" sheetId="159" state="hidden" r:id="rId14"/>
    <sheet name="F-195 Expenditures" sheetId="154" state="hidden" r:id="rId15"/>
    <sheet name="F-195 Revenues" sheetId="155" state="hidden" r:id="rId16"/>
    <sheet name="Current Year Supplementals" sheetId="162" state="hidden" r:id="rId17"/>
    <sheet name="Current Year Allocations" sheetId="157" state="hidden" r:id="rId18"/>
    <sheet name="Current Year Carryover" sheetId="158" state="hidden" r:id="rId19"/>
    <sheet name="CCEIS" sheetId="161" state="hidden" r:id="rId20"/>
  </sheets>
  <definedNames>
    <definedName name="_xlnm._FilterDatabase" localSheetId="4" hidden="1">'2025–26 Budget Reconciliation'!$A$5:$AF$5</definedName>
    <definedName name="_xlnm._FilterDatabase" localSheetId="14" hidden="1">'F-195 Expenditures'!$A$4:$F$4</definedName>
    <definedName name="_xlnm._FilterDatabase" localSheetId="9" hidden="1">'F-196 Expenditures'!$A$4:$F$315</definedName>
    <definedName name="_xlnm._FilterDatabase" localSheetId="7" hidden="1">Indirects!$A$6:$C$326</definedName>
    <definedName name="_xlnm._FilterDatabase" localSheetId="1" hidden="1">'LEA List'!$A$2:$C$320</definedName>
    <definedName name="_xlnm.Print_Area" localSheetId="3">'2025–26 Worksheet A'!$A$1:$E$49</definedName>
    <definedName name="Z_258DC0F9_B8C5_4A47_B911_FC6C1B128653_.wvu.Cols" localSheetId="3" hidden="1">'2025–26 Worksheet A'!#REF!</definedName>
    <definedName name="Z_258DC0F9_B8C5_4A47_B911_FC6C1B128653_.wvu.FilterData" localSheetId="7" hidden="1">Indirects!#REF!</definedName>
    <definedName name="Z_258DC0F9_B8C5_4A47_B911_FC6C1B128653_.wvu.PrintArea" localSheetId="3" hidden="1">'2025–26 Worksheet A'!$A$6:$E$49</definedName>
    <definedName name="Z_3391497B_85F4_4817_B669_10F463F3A207_.wvu.Cols" localSheetId="3" hidden="1">'2025–26 Worksheet A'!#REF!</definedName>
    <definedName name="Z_3391497B_85F4_4817_B669_10F463F3A207_.wvu.FilterData" localSheetId="7" hidden="1">Indirects!#REF!</definedName>
    <definedName name="Z_3391497B_85F4_4817_B669_10F463F3A207_.wvu.PrintArea" localSheetId="3" hidden="1">'2025–26 Worksheet A'!$A$6:$E$49</definedName>
    <definedName name="Z_6D4FF6D6_C66D_4B43_9B4E_7985B86B1BBC_.wvu.Cols" localSheetId="3" hidden="1">'2025–26 Worksheet A'!#REF!</definedName>
    <definedName name="Z_6D4FF6D6_C66D_4B43_9B4E_7985B86B1BBC_.wvu.FilterData" localSheetId="7" hidden="1">Indirects!#REF!</definedName>
    <definedName name="Z_6D4FF6D6_C66D_4B43_9B4E_7985B86B1BBC_.wvu.PrintArea" localSheetId="3" hidden="1">'2025–26 Worksheet A'!$A$6:$E$49</definedName>
  </definedNames>
  <calcPr calcId="191028"/>
  <customWorkbookViews>
    <customWorkbookView name="Mary Ellen Parrish - Personal View" guid="{258DC0F9-B8C5-4A47-B911-FC6C1B128653}" mergeInterval="0" personalView="1" maximized="1" windowWidth="1920" windowHeight="855" tabRatio="958" activeSheetId="12"/>
    <customWorkbookView name="Jolene Stanislowski - Personal View" guid="{6D4FF6D6-C66D-4B43-9B4E-7985B86B1BBC}" mergeInterval="0" personalView="1" maximized="1" windowWidth="1218" windowHeight="758" tabRatio="958" activeSheetId="1"/>
    <customWorkbookView name="Amber O’Donnell - Personal View" guid="{3391497B-85F4-4817-B669-10F463F3A207}" mergeInterval="0" personalView="1" maximized="1" windowWidth="1920" windowHeight="955" tabRatio="958" activeSheetId="12"/>
  </customWorkbookViews>
  <pivotCaches>
    <pivotCache cacheId="1" r:id="rId2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 l="1"/>
  <c r="E33" i="1"/>
  <c r="E32" i="1"/>
  <c r="E31" i="1"/>
  <c r="E27" i="1"/>
  <c r="E25" i="1"/>
  <c r="E24" i="1"/>
  <c r="E23" i="1"/>
  <c r="E22" i="1"/>
  <c r="E21" i="1"/>
  <c r="E20" i="1"/>
  <c r="E19" i="1"/>
  <c r="E15" i="1"/>
  <c r="E13" i="1"/>
  <c r="E11" i="1"/>
  <c r="E10" i="1"/>
  <c r="E9" i="1"/>
  <c r="E8" i="1"/>
  <c r="D34" i="1"/>
  <c r="D33" i="1"/>
  <c r="D32" i="1"/>
  <c r="D31" i="1"/>
  <c r="D28" i="1"/>
  <c r="D27" i="1"/>
  <c r="D25" i="1"/>
  <c r="D24" i="1"/>
  <c r="D23" i="1"/>
  <c r="D22" i="1"/>
  <c r="D21" i="1"/>
  <c r="D20" i="1"/>
  <c r="D19" i="1"/>
  <c r="D13" i="1"/>
  <c r="D11" i="1"/>
  <c r="D10" i="1"/>
  <c r="D9" i="1"/>
  <c r="D8" i="1"/>
  <c r="E28" i="1"/>
  <c r="E3" i="158"/>
  <c r="E4" i="158"/>
  <c r="E5" i="158"/>
  <c r="E6" i="158"/>
  <c r="E7" i="158"/>
  <c r="E8" i="158"/>
  <c r="E9" i="158"/>
  <c r="E10" i="158"/>
  <c r="E11" i="158"/>
  <c r="E12" i="158"/>
  <c r="E13" i="158"/>
  <c r="E14" i="158"/>
  <c r="E15" i="158"/>
  <c r="E16" i="158"/>
  <c r="E17" i="158"/>
  <c r="E18" i="158"/>
  <c r="E19" i="158"/>
  <c r="E20" i="158"/>
  <c r="E21" i="158"/>
  <c r="E22" i="158"/>
  <c r="E23" i="158"/>
  <c r="E24" i="158"/>
  <c r="E25" i="158"/>
  <c r="E26" i="158"/>
  <c r="E27" i="158"/>
  <c r="E28" i="158"/>
  <c r="E29" i="158"/>
  <c r="E30" i="158"/>
  <c r="E31" i="158"/>
  <c r="E32" i="158"/>
  <c r="E33" i="158"/>
  <c r="E34" i="158"/>
  <c r="E35" i="158"/>
  <c r="E36" i="158"/>
  <c r="E37" i="158"/>
  <c r="E38" i="158"/>
  <c r="E39" i="158"/>
  <c r="E40" i="158"/>
  <c r="E41" i="158"/>
  <c r="E42" i="158"/>
  <c r="E43" i="158"/>
  <c r="E44" i="158"/>
  <c r="E45" i="158"/>
  <c r="E46" i="158"/>
  <c r="E47" i="158"/>
  <c r="E48" i="158"/>
  <c r="E49" i="158"/>
  <c r="E50" i="158"/>
  <c r="E51" i="158"/>
  <c r="E52" i="158"/>
  <c r="E53" i="158"/>
  <c r="E54" i="158"/>
  <c r="E55" i="158"/>
  <c r="E56" i="158"/>
  <c r="E57" i="158"/>
  <c r="E58" i="158"/>
  <c r="E59" i="158"/>
  <c r="E60" i="158"/>
  <c r="E61" i="158"/>
  <c r="E62" i="158"/>
  <c r="E63" i="158"/>
  <c r="E64" i="158"/>
  <c r="E65" i="158"/>
  <c r="E66" i="158"/>
  <c r="E67" i="158"/>
  <c r="E68" i="158"/>
  <c r="E69" i="158"/>
  <c r="E70" i="158"/>
  <c r="E71" i="158"/>
  <c r="E72" i="158"/>
  <c r="E73" i="158"/>
  <c r="E74" i="158"/>
  <c r="E75" i="158"/>
  <c r="E76" i="158"/>
  <c r="E77" i="158"/>
  <c r="E78" i="158"/>
  <c r="E79" i="158"/>
  <c r="E80" i="158"/>
  <c r="E81" i="158"/>
  <c r="E82" i="158"/>
  <c r="E83" i="158"/>
  <c r="E84" i="158"/>
  <c r="E85" i="158"/>
  <c r="E86" i="158"/>
  <c r="E87" i="158"/>
  <c r="E88" i="158"/>
  <c r="E89" i="158"/>
  <c r="E90" i="158"/>
  <c r="E91" i="158"/>
  <c r="E92" i="158"/>
  <c r="E93" i="158"/>
  <c r="E94" i="158"/>
  <c r="E95" i="158"/>
  <c r="E96" i="158"/>
  <c r="E97" i="158"/>
  <c r="E98" i="158"/>
  <c r="E99" i="158"/>
  <c r="E100" i="158"/>
  <c r="E101" i="158"/>
  <c r="E102" i="158"/>
  <c r="E103" i="158"/>
  <c r="E104" i="158"/>
  <c r="E105" i="158"/>
  <c r="E106" i="158"/>
  <c r="E107" i="158"/>
  <c r="E108" i="158"/>
  <c r="E109" i="158"/>
  <c r="E110" i="158"/>
  <c r="E111" i="158"/>
  <c r="E112" i="158"/>
  <c r="E113" i="158"/>
  <c r="E114" i="158"/>
  <c r="E115" i="158"/>
  <c r="E116" i="158"/>
  <c r="E117" i="158"/>
  <c r="E118" i="158"/>
  <c r="E119" i="158"/>
  <c r="E120" i="158"/>
  <c r="E121" i="158"/>
  <c r="E122" i="158"/>
  <c r="E123" i="158"/>
  <c r="E124" i="158"/>
  <c r="E125" i="158"/>
  <c r="E126" i="158"/>
  <c r="E127" i="158"/>
  <c r="E128" i="158"/>
  <c r="E129" i="158"/>
  <c r="E130" i="158"/>
  <c r="E131" i="158"/>
  <c r="E132" i="158"/>
  <c r="E133" i="158"/>
  <c r="E134" i="158"/>
  <c r="E135" i="158"/>
  <c r="E136" i="158"/>
  <c r="E137" i="158"/>
  <c r="E138" i="158"/>
  <c r="E139" i="158"/>
  <c r="E140" i="158"/>
  <c r="E141" i="158"/>
  <c r="E142" i="158"/>
  <c r="E143" i="158"/>
  <c r="E144" i="158"/>
  <c r="E145" i="158"/>
  <c r="E146" i="158"/>
  <c r="E147" i="158"/>
  <c r="E148" i="158"/>
  <c r="E149" i="158"/>
  <c r="E150" i="158"/>
  <c r="E151" i="158"/>
  <c r="E152" i="158"/>
  <c r="E153" i="158"/>
  <c r="E154" i="158"/>
  <c r="E155" i="158"/>
  <c r="E156" i="158"/>
  <c r="E157" i="158"/>
  <c r="E158" i="158"/>
  <c r="E159" i="158"/>
  <c r="E160" i="158"/>
  <c r="E161" i="158"/>
  <c r="E162" i="158"/>
  <c r="E163" i="158"/>
  <c r="E164" i="158"/>
  <c r="E165" i="158"/>
  <c r="E166" i="158"/>
  <c r="E167" i="158"/>
  <c r="E168" i="158"/>
  <c r="E169" i="158"/>
  <c r="E170" i="158"/>
  <c r="E171" i="158"/>
  <c r="E172" i="158"/>
  <c r="E173" i="158"/>
  <c r="E174" i="158"/>
  <c r="E175" i="158"/>
  <c r="E176" i="158"/>
  <c r="E177" i="158"/>
  <c r="E178" i="158"/>
  <c r="E179" i="158"/>
  <c r="E180" i="158"/>
  <c r="E181" i="158"/>
  <c r="E182" i="158"/>
  <c r="E183" i="158"/>
  <c r="E184" i="158"/>
  <c r="E185" i="158"/>
  <c r="E186" i="158"/>
  <c r="E187" i="158"/>
  <c r="E188" i="158"/>
  <c r="E189" i="158"/>
  <c r="E190" i="158"/>
  <c r="E191" i="158"/>
  <c r="E192" i="158"/>
  <c r="E193" i="158"/>
  <c r="E194" i="158"/>
  <c r="E195" i="158"/>
  <c r="E196" i="158"/>
  <c r="E197" i="158"/>
  <c r="E198" i="158"/>
  <c r="E199" i="158"/>
  <c r="E200" i="158"/>
  <c r="E201" i="158"/>
  <c r="E202" i="158"/>
  <c r="E203" i="158"/>
  <c r="E204" i="158"/>
  <c r="E205" i="158"/>
  <c r="E206" i="158"/>
  <c r="E207" i="158"/>
  <c r="E208" i="158"/>
  <c r="E209" i="158"/>
  <c r="E210" i="158"/>
  <c r="E211" i="158"/>
  <c r="E212" i="158"/>
  <c r="E213" i="158"/>
  <c r="E214" i="158"/>
  <c r="E215" i="158"/>
  <c r="E216" i="158"/>
  <c r="E217" i="158"/>
  <c r="E218" i="158"/>
  <c r="E219" i="158"/>
  <c r="E220" i="158"/>
  <c r="E221" i="158"/>
  <c r="E222" i="158"/>
  <c r="E223" i="158"/>
  <c r="E224" i="158"/>
  <c r="E225" i="158"/>
  <c r="E226" i="158"/>
  <c r="E227" i="158"/>
  <c r="E228" i="158"/>
  <c r="E229" i="158"/>
  <c r="E230" i="158"/>
  <c r="E231" i="158"/>
  <c r="E232" i="158"/>
  <c r="E233" i="158"/>
  <c r="E234" i="158"/>
  <c r="E235" i="158"/>
  <c r="E236" i="158"/>
  <c r="E237" i="158"/>
  <c r="E238" i="158"/>
  <c r="E239" i="158"/>
  <c r="E240" i="158"/>
  <c r="E241" i="158"/>
  <c r="E242" i="158"/>
  <c r="E243" i="158"/>
  <c r="E244" i="158"/>
  <c r="E245" i="158"/>
  <c r="E246" i="158"/>
  <c r="E247" i="158"/>
  <c r="E248" i="158"/>
  <c r="E249" i="158"/>
  <c r="E250" i="158"/>
  <c r="E251" i="158"/>
  <c r="E252" i="158"/>
  <c r="E253" i="158"/>
  <c r="E254" i="158"/>
  <c r="E255" i="158"/>
  <c r="E256" i="158"/>
  <c r="E257" i="158"/>
  <c r="E258" i="158"/>
  <c r="E259" i="158"/>
  <c r="E260" i="158"/>
  <c r="E261" i="158"/>
  <c r="E262" i="158"/>
  <c r="E263" i="158"/>
  <c r="E264" i="158"/>
  <c r="E265" i="158"/>
  <c r="E266" i="158"/>
  <c r="E267" i="158"/>
  <c r="E268" i="158"/>
  <c r="E269" i="158"/>
  <c r="E270" i="158"/>
  <c r="E271" i="158"/>
  <c r="E272" i="158"/>
  <c r="E273" i="158"/>
  <c r="E274" i="158"/>
  <c r="E275" i="158"/>
  <c r="E276" i="158"/>
  <c r="E277" i="158"/>
  <c r="E278" i="158"/>
  <c r="E279" i="158"/>
  <c r="E280" i="158"/>
  <c r="E2" i="158"/>
  <c r="D29" i="1"/>
  <c r="E48" i="1"/>
  <c r="E47" i="1"/>
  <c r="E46" i="1"/>
  <c r="E45" i="1"/>
  <c r="E26" i="1" l="1"/>
  <c r="E12" i="1"/>
  <c r="D26" i="1"/>
  <c r="C3" i="1"/>
  <c r="D1" i="101" s="1"/>
  <c r="E6" i="157" l="1"/>
  <c r="E7" i="157"/>
  <c r="E8" i="157"/>
  <c r="E9" i="157"/>
  <c r="E10" i="157"/>
  <c r="E11" i="157"/>
  <c r="E12" i="157"/>
  <c r="E13" i="157"/>
  <c r="E14" i="157"/>
  <c r="E15" i="157"/>
  <c r="E16" i="157"/>
  <c r="E17" i="157"/>
  <c r="E18" i="157"/>
  <c r="E19" i="157"/>
  <c r="E20" i="157"/>
  <c r="E21" i="157"/>
  <c r="E22" i="157"/>
  <c r="E23" i="157"/>
  <c r="E24" i="157"/>
  <c r="E25" i="157"/>
  <c r="E26" i="157"/>
  <c r="E27" i="157"/>
  <c r="E28" i="157"/>
  <c r="E29" i="157"/>
  <c r="E30" i="157"/>
  <c r="E31" i="157"/>
  <c r="E32" i="157"/>
  <c r="E33" i="157"/>
  <c r="E34" i="157"/>
  <c r="E35" i="157"/>
  <c r="E36" i="157"/>
  <c r="E37" i="157"/>
  <c r="E38" i="157"/>
  <c r="E39" i="157"/>
  <c r="E40" i="157"/>
  <c r="E41" i="157"/>
  <c r="E42" i="157"/>
  <c r="E43" i="157"/>
  <c r="E44" i="157"/>
  <c r="E45" i="157"/>
  <c r="E46" i="157"/>
  <c r="E47" i="157"/>
  <c r="E48" i="157"/>
  <c r="E49" i="157"/>
  <c r="E50" i="157"/>
  <c r="E51" i="157"/>
  <c r="E52" i="157"/>
  <c r="E53" i="157"/>
  <c r="E54" i="157"/>
  <c r="E55" i="157"/>
  <c r="E56" i="157"/>
  <c r="E57" i="157"/>
  <c r="E58" i="157"/>
  <c r="E59" i="157"/>
  <c r="E60" i="157"/>
  <c r="E61" i="157"/>
  <c r="E62" i="157"/>
  <c r="E63" i="157"/>
  <c r="E64" i="157"/>
  <c r="E65" i="157"/>
  <c r="E66" i="157"/>
  <c r="E67" i="157"/>
  <c r="E68" i="157"/>
  <c r="E69" i="157"/>
  <c r="E70" i="157"/>
  <c r="E71" i="157"/>
  <c r="E72" i="157"/>
  <c r="E73" i="157"/>
  <c r="E74" i="157"/>
  <c r="E75" i="157"/>
  <c r="E76" i="157"/>
  <c r="E77" i="157"/>
  <c r="E78" i="157"/>
  <c r="E79" i="157"/>
  <c r="E80" i="157"/>
  <c r="E81" i="157"/>
  <c r="E82" i="157"/>
  <c r="E83" i="157"/>
  <c r="E84" i="157"/>
  <c r="E85" i="157"/>
  <c r="E86" i="157"/>
  <c r="E87" i="157"/>
  <c r="E88" i="157"/>
  <c r="E89" i="157"/>
  <c r="E90" i="157"/>
  <c r="E91" i="157"/>
  <c r="E92" i="157"/>
  <c r="E93" i="157"/>
  <c r="E94" i="157"/>
  <c r="E95" i="157"/>
  <c r="E96" i="157"/>
  <c r="E97" i="157"/>
  <c r="E98" i="157"/>
  <c r="E99" i="157"/>
  <c r="E100" i="157"/>
  <c r="E101" i="157"/>
  <c r="E102" i="157"/>
  <c r="E103" i="157"/>
  <c r="E104" i="157"/>
  <c r="E105" i="157"/>
  <c r="E106" i="157"/>
  <c r="E107" i="157"/>
  <c r="E108" i="157"/>
  <c r="E109" i="157"/>
  <c r="E110" i="157"/>
  <c r="E111" i="157"/>
  <c r="E112" i="157"/>
  <c r="E113" i="157"/>
  <c r="E114" i="157"/>
  <c r="E115" i="157"/>
  <c r="E116" i="157"/>
  <c r="E117" i="157"/>
  <c r="E118" i="157"/>
  <c r="E119" i="157"/>
  <c r="E120" i="157"/>
  <c r="E121" i="157"/>
  <c r="E122" i="157"/>
  <c r="E123" i="157"/>
  <c r="E124" i="157"/>
  <c r="E125" i="157"/>
  <c r="E126" i="157"/>
  <c r="E127" i="157"/>
  <c r="E128" i="157"/>
  <c r="E129" i="157"/>
  <c r="E130" i="157"/>
  <c r="E131" i="157"/>
  <c r="E132" i="157"/>
  <c r="E133" i="157"/>
  <c r="E134" i="157"/>
  <c r="E135" i="157"/>
  <c r="E136" i="157"/>
  <c r="E137" i="157"/>
  <c r="E138" i="157"/>
  <c r="E139" i="157"/>
  <c r="E140" i="157"/>
  <c r="E141" i="157"/>
  <c r="E142" i="157"/>
  <c r="E143" i="157"/>
  <c r="E144" i="157"/>
  <c r="E145" i="157"/>
  <c r="E146" i="157"/>
  <c r="E147" i="157"/>
  <c r="E148" i="157"/>
  <c r="E149" i="157"/>
  <c r="E150" i="157"/>
  <c r="E151" i="157"/>
  <c r="E152" i="157"/>
  <c r="E153" i="157"/>
  <c r="E154" i="157"/>
  <c r="E155" i="157"/>
  <c r="E156" i="157"/>
  <c r="E157" i="157"/>
  <c r="E158" i="157"/>
  <c r="E159" i="157"/>
  <c r="E160" i="157"/>
  <c r="E161" i="157"/>
  <c r="E162" i="157"/>
  <c r="E163" i="157"/>
  <c r="E164" i="157"/>
  <c r="E165" i="157"/>
  <c r="E166" i="157"/>
  <c r="E167" i="157"/>
  <c r="E168" i="157"/>
  <c r="E169" i="157"/>
  <c r="E170" i="157"/>
  <c r="E171" i="157"/>
  <c r="E172" i="157"/>
  <c r="E173" i="157"/>
  <c r="E174" i="157"/>
  <c r="E175" i="157"/>
  <c r="E176" i="157"/>
  <c r="E177" i="157"/>
  <c r="E178" i="157"/>
  <c r="E179" i="157"/>
  <c r="E180" i="157"/>
  <c r="E181" i="157"/>
  <c r="E182" i="157"/>
  <c r="E183" i="157"/>
  <c r="E184" i="157"/>
  <c r="E185" i="157"/>
  <c r="E186" i="157"/>
  <c r="E187" i="157"/>
  <c r="E188" i="157"/>
  <c r="E189" i="157"/>
  <c r="E190" i="157"/>
  <c r="E191" i="157"/>
  <c r="E192" i="157"/>
  <c r="E193" i="157"/>
  <c r="E194" i="157"/>
  <c r="E195" i="157"/>
  <c r="E196" i="157"/>
  <c r="E197" i="157"/>
  <c r="E198" i="157"/>
  <c r="E199" i="157"/>
  <c r="E200" i="157"/>
  <c r="E201" i="157"/>
  <c r="E202" i="157"/>
  <c r="E203" i="157"/>
  <c r="E204" i="157"/>
  <c r="E205" i="157"/>
  <c r="E206" i="157"/>
  <c r="E207" i="157"/>
  <c r="E208" i="157"/>
  <c r="E209" i="157"/>
  <c r="E210" i="157"/>
  <c r="E211" i="157"/>
  <c r="E212" i="157"/>
  <c r="E213" i="157"/>
  <c r="E214" i="157"/>
  <c r="E215" i="157"/>
  <c r="E216" i="157"/>
  <c r="E217" i="157"/>
  <c r="E218" i="157"/>
  <c r="E219" i="157"/>
  <c r="E220" i="157"/>
  <c r="E221" i="157"/>
  <c r="E222" i="157"/>
  <c r="E223" i="157"/>
  <c r="E224" i="157"/>
  <c r="E225" i="157"/>
  <c r="E226" i="157"/>
  <c r="E227" i="157"/>
  <c r="E228" i="157"/>
  <c r="E229" i="157"/>
  <c r="E230" i="157"/>
  <c r="E231" i="157"/>
  <c r="E232" i="157"/>
  <c r="E233" i="157"/>
  <c r="E234" i="157"/>
  <c r="E235" i="157"/>
  <c r="E236" i="157"/>
  <c r="E237" i="157"/>
  <c r="E238" i="157"/>
  <c r="E239" i="157"/>
  <c r="E240" i="157"/>
  <c r="E241" i="157"/>
  <c r="E242" i="157"/>
  <c r="E243" i="157"/>
  <c r="E244" i="157"/>
  <c r="E245" i="157"/>
  <c r="E246" i="157"/>
  <c r="E247" i="157"/>
  <c r="E248" i="157"/>
  <c r="E249" i="157"/>
  <c r="E250" i="157"/>
  <c r="E251" i="157"/>
  <c r="E252" i="157"/>
  <c r="E253" i="157"/>
  <c r="E254" i="157"/>
  <c r="E255" i="157"/>
  <c r="E256" i="157"/>
  <c r="E257" i="157"/>
  <c r="E258" i="157"/>
  <c r="E259" i="157"/>
  <c r="E260" i="157"/>
  <c r="E261" i="157"/>
  <c r="E262" i="157"/>
  <c r="E263" i="157"/>
  <c r="E264" i="157"/>
  <c r="E265" i="157"/>
  <c r="E266" i="157"/>
  <c r="E267" i="157"/>
  <c r="E268" i="157"/>
  <c r="E269" i="157"/>
  <c r="E270" i="157"/>
  <c r="E271" i="157"/>
  <c r="E272" i="157"/>
  <c r="E273" i="157"/>
  <c r="E274" i="157"/>
  <c r="E275" i="157"/>
  <c r="E276" i="157"/>
  <c r="E277" i="157"/>
  <c r="E278" i="157"/>
  <c r="E279" i="157"/>
  <c r="E280" i="157"/>
  <c r="E281" i="157"/>
  <c r="E282" i="157"/>
  <c r="E283" i="157"/>
  <c r="E284" i="157"/>
  <c r="E285" i="157"/>
  <c r="E5" i="157"/>
  <c r="L26" i="101"/>
  <c r="C64" i="101"/>
  <c r="AB113" i="101"/>
  <c r="T39" i="101"/>
  <c r="T66" i="101"/>
  <c r="C92" i="101"/>
  <c r="C103" i="101"/>
  <c r="AB108" i="101"/>
  <c r="C36" i="101"/>
  <c r="L84" i="101"/>
  <c r="T115" i="101"/>
  <c r="L104" i="101"/>
  <c r="L110" i="101"/>
  <c r="T27" i="101"/>
  <c r="AB29" i="101"/>
  <c r="L53" i="101"/>
  <c r="L81" i="101"/>
  <c r="AB74" i="101"/>
  <c r="AB71" i="101"/>
  <c r="L101" i="101"/>
  <c r="C11" i="101"/>
  <c r="AB67" i="101"/>
  <c r="T96" i="101"/>
  <c r="L87" i="101"/>
  <c r="L38" i="101"/>
  <c r="T57" i="101"/>
  <c r="C20" i="101"/>
  <c r="AB84" i="101"/>
  <c r="C96" i="101"/>
  <c r="AB42" i="101"/>
  <c r="T110" i="101"/>
  <c r="AB102" i="101"/>
  <c r="AB62" i="101"/>
  <c r="AB53" i="101"/>
  <c r="AB65" i="101"/>
  <c r="C111" i="101"/>
  <c r="C69" i="101"/>
  <c r="T76" i="101"/>
  <c r="L9" i="101"/>
  <c r="AB40" i="101"/>
  <c r="L27" i="101"/>
  <c r="C72" i="101"/>
  <c r="T45" i="101"/>
  <c r="L111" i="101"/>
  <c r="L21" i="101"/>
  <c r="C51" i="101"/>
  <c r="T49" i="101"/>
  <c r="AB31" i="101"/>
  <c r="L37" i="101"/>
  <c r="C99" i="101"/>
  <c r="C53" i="101"/>
  <c r="AB97" i="101"/>
  <c r="T108" i="101"/>
  <c r="C55" i="101"/>
  <c r="T18" i="101"/>
  <c r="AB39" i="101"/>
  <c r="C58" i="101"/>
  <c r="C100" i="101"/>
  <c r="L29" i="101"/>
  <c r="L95" i="101"/>
  <c r="L35" i="101"/>
  <c r="C40" i="101"/>
  <c r="T100" i="101"/>
  <c r="AB48" i="101"/>
  <c r="L83" i="101"/>
  <c r="T65" i="101"/>
  <c r="T11" i="101"/>
  <c r="T10" i="101"/>
  <c r="C29" i="101"/>
  <c r="L19" i="101"/>
  <c r="L33" i="101"/>
  <c r="AB100" i="101"/>
  <c r="AB10" i="101"/>
  <c r="C26" i="101"/>
  <c r="C88" i="101"/>
  <c r="C66" i="101"/>
  <c r="AB46" i="101"/>
  <c r="T92" i="101"/>
  <c r="C114" i="101"/>
  <c r="L94" i="101"/>
  <c r="L72" i="101"/>
  <c r="AB49" i="101"/>
  <c r="AB90" i="101"/>
  <c r="L75" i="101"/>
  <c r="AB6" i="101"/>
  <c r="C109" i="101"/>
  <c r="C25" i="101"/>
  <c r="L97" i="101"/>
  <c r="L99" i="101"/>
  <c r="AB28" i="101"/>
  <c r="AB75" i="101"/>
  <c r="L13" i="101"/>
  <c r="L79" i="101"/>
  <c r="C71" i="101"/>
  <c r="C79" i="101"/>
  <c r="L82" i="101"/>
  <c r="C75" i="101"/>
  <c r="T21" i="101"/>
  <c r="T52" i="101"/>
  <c r="T71" i="101"/>
  <c r="C54" i="101"/>
  <c r="L92" i="101"/>
  <c r="AB109" i="101"/>
  <c r="L47" i="101"/>
  <c r="AB114" i="101"/>
  <c r="L70" i="101"/>
  <c r="C106" i="101"/>
  <c r="AB57" i="101"/>
  <c r="T51" i="101"/>
  <c r="AB110" i="101"/>
  <c r="C35" i="101"/>
  <c r="C16" i="101"/>
  <c r="AB83" i="101"/>
  <c r="AB91" i="101"/>
  <c r="C112" i="101"/>
  <c r="C27" i="101"/>
  <c r="L103" i="101"/>
  <c r="AB44" i="101"/>
  <c r="L24" i="101"/>
  <c r="L106" i="101"/>
  <c r="C86" i="101"/>
  <c r="AB18" i="101"/>
  <c r="C22" i="101"/>
  <c r="L60" i="101"/>
  <c r="L42" i="101"/>
  <c r="AB93" i="101"/>
  <c r="AB86" i="101"/>
  <c r="T38" i="101"/>
  <c r="L102" i="101"/>
  <c r="C60" i="101"/>
  <c r="AB38" i="101"/>
  <c r="T101" i="101"/>
  <c r="L22" i="101"/>
  <c r="L58" i="101"/>
  <c r="T9" i="101"/>
  <c r="L7" i="101"/>
  <c r="T83" i="101"/>
  <c r="T56" i="101"/>
  <c r="C10" i="101"/>
  <c r="AB54" i="101"/>
  <c r="T87" i="101"/>
  <c r="L91" i="101"/>
  <c r="T111" i="101"/>
  <c r="AB34" i="101"/>
  <c r="L44" i="101"/>
  <c r="C91" i="101"/>
  <c r="T73" i="101"/>
  <c r="T54" i="101"/>
  <c r="L6" i="101"/>
  <c r="T16" i="101"/>
  <c r="AB58" i="101"/>
  <c r="T67" i="101"/>
  <c r="T19" i="101"/>
  <c r="T24" i="101"/>
  <c r="AB87" i="101"/>
  <c r="T46" i="101"/>
  <c r="AB8" i="101"/>
  <c r="AB45" i="101"/>
  <c r="T29" i="101"/>
  <c r="T112" i="101"/>
  <c r="AB13" i="101"/>
  <c r="L16" i="101"/>
  <c r="AB26" i="101"/>
  <c r="T113" i="101"/>
  <c r="C93" i="101"/>
  <c r="T28" i="101"/>
  <c r="C31" i="101"/>
  <c r="T104" i="101"/>
  <c r="L69" i="101"/>
  <c r="AB63" i="101"/>
  <c r="C42" i="101"/>
  <c r="L76" i="101"/>
  <c r="T72" i="101"/>
  <c r="C7" i="101"/>
  <c r="AB85" i="101"/>
  <c r="AB115" i="101"/>
  <c r="C63" i="101"/>
  <c r="T6" i="101"/>
  <c r="AB99" i="101"/>
  <c r="AB103" i="101"/>
  <c r="C19" i="101"/>
  <c r="C102" i="101"/>
  <c r="AB9" i="101"/>
  <c r="AB79" i="101"/>
  <c r="C46" i="101"/>
  <c r="C15" i="101"/>
  <c r="L17" i="101"/>
  <c r="C95" i="101"/>
  <c r="C110" i="101"/>
  <c r="T97" i="101"/>
  <c r="T70" i="101"/>
  <c r="L52" i="101"/>
  <c r="C87" i="101"/>
  <c r="L11" i="101"/>
  <c r="C76" i="101"/>
  <c r="L63" i="101"/>
  <c r="C94" i="101"/>
  <c r="AB47" i="101"/>
  <c r="C62" i="101"/>
  <c r="L55" i="101"/>
  <c r="T12" i="101"/>
  <c r="L108" i="101"/>
  <c r="T63" i="101"/>
  <c r="L18" i="101"/>
  <c r="L39" i="101"/>
  <c r="C48" i="101"/>
  <c r="T88" i="101"/>
  <c r="AB11" i="101"/>
  <c r="C84" i="101"/>
  <c r="AB20" i="101"/>
  <c r="L115" i="101"/>
  <c r="C12" i="101"/>
  <c r="AB24" i="101"/>
  <c r="AB81" i="101"/>
  <c r="C45" i="101"/>
  <c r="C24" i="101"/>
  <c r="T90" i="101"/>
  <c r="L8" i="101"/>
  <c r="AB43" i="101"/>
  <c r="AB35" i="101"/>
  <c r="C74" i="101"/>
  <c r="T102" i="101"/>
  <c r="T94" i="101"/>
  <c r="L34" i="101"/>
  <c r="AB96" i="101"/>
  <c r="L65" i="101"/>
  <c r="L28" i="101"/>
  <c r="AB101" i="101"/>
  <c r="C49" i="101"/>
  <c r="T60" i="101"/>
  <c r="AB37" i="101"/>
  <c r="L93" i="101"/>
  <c r="L48" i="101"/>
  <c r="T62" i="101"/>
  <c r="L66" i="101"/>
  <c r="AB15" i="101"/>
  <c r="T105" i="101"/>
  <c r="AB55" i="101"/>
  <c r="T17" i="101"/>
  <c r="T75" i="101"/>
  <c r="C43" i="101"/>
  <c r="L54" i="101"/>
  <c r="T34" i="101"/>
  <c r="L90" i="101"/>
  <c r="C57" i="101"/>
  <c r="L36" i="101"/>
  <c r="C47" i="101"/>
  <c r="C8" i="101"/>
  <c r="T42" i="101"/>
  <c r="C81" i="101"/>
  <c r="C56" i="101"/>
  <c r="C30" i="101"/>
  <c r="T114" i="101"/>
  <c r="T55" i="101"/>
  <c r="C21" i="101"/>
  <c r="T44" i="101"/>
  <c r="C104" i="101"/>
  <c r="C52" i="101"/>
  <c r="AB19" i="101"/>
  <c r="AB69" i="101"/>
  <c r="C101" i="101"/>
  <c r="L49" i="101"/>
  <c r="C18" i="101"/>
  <c r="C17" i="101"/>
  <c r="T13" i="101"/>
  <c r="T109" i="101"/>
  <c r="L46" i="101"/>
  <c r="T26" i="101"/>
  <c r="AB104" i="101"/>
  <c r="T15" i="101"/>
  <c r="C65" i="101"/>
  <c r="T81" i="101"/>
  <c r="L25" i="101"/>
  <c r="T48" i="101"/>
  <c r="AB92" i="101"/>
  <c r="AB76" i="101"/>
  <c r="L113" i="101"/>
  <c r="L100" i="101"/>
  <c r="T22" i="101"/>
  <c r="T103" i="101"/>
  <c r="L43" i="101"/>
  <c r="C34" i="101"/>
  <c r="C38" i="101"/>
  <c r="AB70" i="101"/>
  <c r="T106" i="101"/>
  <c r="C67" i="101"/>
  <c r="AB105" i="101"/>
  <c r="L96" i="101"/>
  <c r="L20" i="101"/>
  <c r="L31" i="101"/>
  <c r="T40" i="101"/>
  <c r="C105" i="101"/>
  <c r="AB88" i="101"/>
  <c r="AB73" i="101"/>
  <c r="AB61" i="101"/>
  <c r="L71" i="101"/>
  <c r="L73" i="101"/>
  <c r="L88" i="101"/>
  <c r="L40" i="101"/>
  <c r="L45" i="101"/>
  <c r="AB33" i="101"/>
  <c r="T85" i="101"/>
  <c r="L74" i="101"/>
  <c r="C73" i="101"/>
  <c r="C9" i="101"/>
  <c r="L109" i="101"/>
  <c r="T37" i="101"/>
  <c r="C85" i="101"/>
  <c r="AB72" i="101"/>
  <c r="L15" i="101"/>
  <c r="C97" i="101"/>
  <c r="AB22" i="101"/>
  <c r="L64" i="101"/>
  <c r="C90" i="101"/>
  <c r="L85" i="101"/>
  <c r="AB56" i="101"/>
  <c r="T79" i="101"/>
  <c r="T91" i="101"/>
  <c r="AB30" i="101"/>
  <c r="C28" i="101"/>
  <c r="T74" i="101"/>
  <c r="T69" i="101"/>
  <c r="T7" i="101"/>
  <c r="AB16" i="101"/>
  <c r="L61" i="101"/>
  <c r="AB27" i="101"/>
  <c r="C70" i="101"/>
  <c r="C37" i="101"/>
  <c r="T64" i="101"/>
  <c r="C108" i="101"/>
  <c r="L86" i="101"/>
  <c r="AB36" i="101"/>
  <c r="AB64" i="101"/>
  <c r="C44" i="101"/>
  <c r="T31" i="101"/>
  <c r="L105" i="101"/>
  <c r="C33" i="101"/>
  <c r="T47" i="101"/>
  <c r="T99" i="101"/>
  <c r="T58" i="101"/>
  <c r="C113" i="101"/>
  <c r="C82" i="101"/>
  <c r="AB94" i="101"/>
  <c r="L57" i="101"/>
  <c r="C13" i="101"/>
  <c r="L12" i="101"/>
  <c r="T86" i="101"/>
  <c r="L67" i="101"/>
  <c r="AB82" i="101"/>
  <c r="AB95" i="101"/>
  <c r="L30" i="101"/>
  <c r="L51" i="101"/>
  <c r="T61" i="101"/>
  <c r="T30" i="101"/>
  <c r="AB112" i="101"/>
  <c r="T36" i="101"/>
  <c r="T20" i="101"/>
  <c r="T35" i="101"/>
  <c r="AB66" i="101"/>
  <c r="C115" i="101"/>
  <c r="L10" i="101"/>
  <c r="T95" i="101"/>
  <c r="AB106" i="101"/>
  <c r="AB12" i="101"/>
  <c r="T82" i="101"/>
  <c r="T43" i="101"/>
  <c r="L62" i="101"/>
  <c r="L112" i="101"/>
  <c r="C61" i="101"/>
  <c r="L56" i="101"/>
  <c r="C6" i="101"/>
  <c r="AB51" i="101"/>
  <c r="AB7" i="101"/>
  <c r="L114" i="101"/>
  <c r="C83" i="101"/>
  <c r="C39" i="101"/>
  <c r="AB25" i="101"/>
  <c r="AB17" i="101"/>
  <c r="T84" i="101"/>
  <c r="T25" i="101"/>
  <c r="AB21" i="101"/>
  <c r="T93" i="101"/>
  <c r="AB111" i="101"/>
  <c r="T8" i="101"/>
  <c r="T33" i="101"/>
  <c r="AB52" i="101"/>
  <c r="T53" i="101"/>
  <c r="AB60" i="101"/>
  <c r="E38" i="1" l="1"/>
  <c r="D12" i="1"/>
  <c r="D38" i="1"/>
  <c r="E16" i="1" l="1"/>
  <c r="E17" i="1" s="1"/>
  <c r="E39" i="1" s="1"/>
  <c r="D16" i="1"/>
  <c r="D17" i="1" s="1"/>
  <c r="D39" i="1" s="1"/>
  <c r="E5" i="147"/>
  <c r="E6" i="147"/>
  <c r="E7" i="147"/>
  <c r="E8" i="147"/>
  <c r="E9" i="147"/>
  <c r="E10" i="147"/>
  <c r="E11" i="147"/>
  <c r="E12" i="147"/>
  <c r="E13" i="147"/>
  <c r="E14" i="147"/>
  <c r="E15" i="147"/>
  <c r="E16" i="147"/>
  <c r="E17" i="147"/>
  <c r="E18" i="147"/>
  <c r="E19" i="147"/>
  <c r="E20" i="147"/>
  <c r="E21" i="147"/>
  <c r="E22" i="147"/>
  <c r="E23" i="147"/>
  <c r="E24" i="147"/>
  <c r="E25" i="147"/>
  <c r="E26" i="147"/>
  <c r="E27" i="147"/>
  <c r="E28" i="147"/>
  <c r="E29" i="147"/>
  <c r="E30" i="147"/>
  <c r="E31" i="147"/>
  <c r="E32" i="147"/>
  <c r="E33" i="147"/>
  <c r="E34" i="147"/>
  <c r="E35" i="147"/>
  <c r="E36" i="147"/>
  <c r="E37" i="147"/>
  <c r="E38" i="147"/>
  <c r="E39" i="147"/>
  <c r="E40" i="147"/>
  <c r="E41" i="147"/>
  <c r="E42" i="147"/>
  <c r="E43" i="147"/>
  <c r="E44" i="147"/>
  <c r="E45" i="147"/>
  <c r="E46" i="147"/>
  <c r="E47" i="147"/>
  <c r="E48" i="147"/>
  <c r="E49" i="147"/>
  <c r="E50" i="147"/>
  <c r="E51" i="147"/>
  <c r="E52" i="147"/>
  <c r="E53" i="147"/>
  <c r="E54" i="147"/>
  <c r="E55" i="147"/>
  <c r="E56" i="147"/>
  <c r="E57" i="147"/>
  <c r="E58" i="147"/>
  <c r="E59" i="147"/>
  <c r="E60" i="147"/>
  <c r="E61" i="147"/>
  <c r="E62" i="147"/>
  <c r="E63" i="147"/>
  <c r="E64" i="147"/>
  <c r="E66" i="147"/>
  <c r="E67" i="147"/>
  <c r="E68" i="147"/>
  <c r="E69" i="147"/>
  <c r="E70" i="147"/>
  <c r="E71" i="147"/>
  <c r="E72" i="147"/>
  <c r="E73" i="147"/>
  <c r="E74" i="147"/>
  <c r="E75" i="147"/>
  <c r="E76" i="147"/>
  <c r="E77" i="147"/>
  <c r="E78" i="147"/>
  <c r="E79" i="147"/>
  <c r="E80" i="147"/>
  <c r="E81" i="147"/>
  <c r="E82" i="147"/>
  <c r="E83" i="147"/>
  <c r="E84" i="147"/>
  <c r="E85" i="147"/>
  <c r="E86" i="147"/>
  <c r="E87" i="147"/>
  <c r="E88" i="147"/>
  <c r="E89" i="147"/>
  <c r="E90" i="147"/>
  <c r="E91" i="147"/>
  <c r="E92" i="147"/>
  <c r="E93" i="147"/>
  <c r="E94" i="147"/>
  <c r="E95" i="147"/>
  <c r="E96" i="147"/>
  <c r="E97" i="147"/>
  <c r="E98" i="147"/>
  <c r="E99" i="147"/>
  <c r="E100" i="147"/>
  <c r="E101" i="147"/>
  <c r="E102" i="147"/>
  <c r="E103" i="147"/>
  <c r="E104" i="147"/>
  <c r="E105" i="147"/>
  <c r="E106" i="147"/>
  <c r="E107" i="147"/>
  <c r="E108" i="147"/>
  <c r="E109" i="147"/>
  <c r="E110" i="147"/>
  <c r="E111" i="147"/>
  <c r="E112" i="147"/>
  <c r="E113" i="147"/>
  <c r="E114" i="147"/>
  <c r="E115" i="147"/>
  <c r="E116" i="147"/>
  <c r="E117" i="147"/>
  <c r="E118" i="147"/>
  <c r="E119" i="147"/>
  <c r="E120" i="147"/>
  <c r="E121" i="147"/>
  <c r="E122" i="147"/>
  <c r="E123" i="147"/>
  <c r="E124" i="147"/>
  <c r="E125" i="147"/>
  <c r="E126" i="147"/>
  <c r="E127" i="147"/>
  <c r="E128" i="147"/>
  <c r="E129" i="147"/>
  <c r="E130" i="147"/>
  <c r="E131" i="147"/>
  <c r="E132" i="147"/>
  <c r="E133" i="147"/>
  <c r="E134" i="147"/>
  <c r="E135" i="147"/>
  <c r="E136" i="147"/>
  <c r="E137" i="147"/>
  <c r="E138" i="147"/>
  <c r="E139" i="147"/>
  <c r="E140" i="147"/>
  <c r="E141" i="147"/>
  <c r="E142" i="147"/>
  <c r="E143" i="147"/>
  <c r="E144" i="147"/>
  <c r="E145" i="147"/>
  <c r="E146" i="147"/>
  <c r="E147" i="147"/>
  <c r="E148" i="147"/>
  <c r="E149" i="147"/>
  <c r="E150" i="147"/>
  <c r="E151" i="147"/>
  <c r="E152" i="147"/>
  <c r="E153" i="147"/>
  <c r="E154" i="147"/>
  <c r="E155" i="147"/>
  <c r="E156" i="147"/>
  <c r="E157" i="147"/>
  <c r="E158" i="147"/>
  <c r="E159" i="147"/>
  <c r="E160" i="147"/>
  <c r="E161" i="147"/>
  <c r="E162" i="147"/>
  <c r="E163" i="147"/>
  <c r="E164" i="147"/>
  <c r="E165" i="147"/>
  <c r="E166" i="147"/>
  <c r="E167" i="147"/>
  <c r="E168" i="147"/>
  <c r="E169" i="147"/>
  <c r="E170" i="147"/>
  <c r="E171" i="147"/>
  <c r="E172" i="147"/>
  <c r="E173" i="147"/>
  <c r="E174" i="147"/>
  <c r="E175" i="147"/>
  <c r="E176" i="147"/>
  <c r="E177" i="147"/>
  <c r="E178" i="147"/>
  <c r="E179" i="147"/>
  <c r="E180" i="147"/>
  <c r="E181" i="147"/>
  <c r="E182" i="147"/>
  <c r="E183" i="147"/>
  <c r="E184" i="147"/>
  <c r="E185" i="147"/>
  <c r="E186" i="147"/>
  <c r="E187" i="147"/>
  <c r="E188" i="147"/>
  <c r="E189" i="147"/>
  <c r="E190" i="147"/>
  <c r="E191" i="147"/>
  <c r="E192" i="147"/>
  <c r="E193" i="147"/>
  <c r="E194" i="147"/>
  <c r="E195" i="147"/>
  <c r="E196" i="147"/>
  <c r="E197" i="147"/>
  <c r="E198" i="147"/>
  <c r="E199" i="147"/>
  <c r="E200" i="147"/>
  <c r="E201" i="147"/>
  <c r="E202" i="147"/>
  <c r="E203" i="147"/>
  <c r="E204" i="147"/>
  <c r="E205" i="147"/>
  <c r="E206" i="147"/>
  <c r="E207" i="147"/>
  <c r="E208" i="147"/>
  <c r="E209" i="147"/>
  <c r="E210" i="147"/>
  <c r="E211" i="147"/>
  <c r="E212" i="147"/>
  <c r="E213" i="147"/>
  <c r="E214" i="147"/>
  <c r="E215" i="147"/>
  <c r="E216" i="147"/>
  <c r="E217" i="147"/>
  <c r="E218" i="147"/>
  <c r="E219" i="147"/>
  <c r="E220" i="147"/>
  <c r="E221" i="147"/>
  <c r="E222" i="147"/>
  <c r="E223" i="147"/>
  <c r="E224" i="147"/>
  <c r="E225" i="147"/>
  <c r="E226" i="147"/>
  <c r="E227" i="147"/>
  <c r="E228" i="147"/>
  <c r="E229" i="147"/>
  <c r="E230" i="147"/>
  <c r="E231" i="147"/>
  <c r="E232" i="147"/>
  <c r="E233" i="147"/>
  <c r="E234" i="147"/>
  <c r="E235" i="147"/>
  <c r="E236" i="147"/>
  <c r="E237" i="147"/>
  <c r="E238" i="147"/>
  <c r="E239" i="147"/>
  <c r="E240" i="147"/>
  <c r="E241" i="147"/>
  <c r="E242" i="147"/>
  <c r="E243" i="147"/>
  <c r="E244" i="147"/>
  <c r="E245" i="147"/>
  <c r="E246" i="147"/>
  <c r="E247" i="147"/>
  <c r="E248" i="147"/>
  <c r="E249" i="147"/>
  <c r="E250" i="147"/>
  <c r="E251" i="147"/>
  <c r="E252" i="147"/>
  <c r="E253" i="147"/>
  <c r="E254" i="147"/>
  <c r="E255" i="147"/>
  <c r="E256" i="147"/>
  <c r="E257" i="147"/>
  <c r="E258" i="147"/>
  <c r="E259" i="147"/>
  <c r="E260" i="147"/>
  <c r="E261" i="147"/>
  <c r="E262" i="147"/>
  <c r="E263" i="147"/>
  <c r="E264" i="147"/>
  <c r="E265" i="147"/>
  <c r="E266" i="147"/>
  <c r="E267" i="147"/>
  <c r="E268" i="147"/>
  <c r="E269" i="147"/>
  <c r="E270" i="147"/>
  <c r="E271" i="147"/>
  <c r="E272" i="147"/>
  <c r="E273" i="147"/>
  <c r="E274" i="147"/>
  <c r="E275" i="147"/>
  <c r="E276" i="147"/>
  <c r="E277" i="147"/>
  <c r="E278" i="147"/>
  <c r="E279" i="147"/>
  <c r="E280" i="147"/>
  <c r="E281" i="147"/>
  <c r="E282" i="147"/>
  <c r="E283" i="147"/>
  <c r="E284" i="147"/>
  <c r="E285" i="147"/>
  <c r="E286" i="147"/>
  <c r="C65" i="147"/>
  <c r="E65" i="147" s="1"/>
  <c r="AC116" i="101" l="1"/>
  <c r="U116" i="101"/>
  <c r="M116" i="101"/>
  <c r="AC32" i="101"/>
  <c r="U32" i="101"/>
  <c r="M32" i="101"/>
  <c r="D32" i="101"/>
  <c r="AC77" i="101"/>
  <c r="U77" i="101"/>
  <c r="M77" i="101"/>
  <c r="D77" i="101"/>
  <c r="B1" i="101" l="1"/>
  <c r="W51" i="101" l="1"/>
  <c r="L32" i="101"/>
  <c r="O33" i="101"/>
  <c r="T32" i="101"/>
  <c r="T116" i="101"/>
  <c r="W33" i="101"/>
  <c r="F42" i="101"/>
  <c r="AE51" i="101"/>
  <c r="O51" i="101"/>
  <c r="L77" i="101"/>
  <c r="AB116" i="101"/>
  <c r="AB32" i="101"/>
  <c r="O42" i="101"/>
  <c r="F33" i="101"/>
  <c r="C32" i="101"/>
  <c r="AE33" i="101"/>
  <c r="AB77" i="101"/>
  <c r="F51" i="101"/>
  <c r="AE42" i="101"/>
  <c r="L116" i="101"/>
  <c r="T77" i="101"/>
  <c r="W42" i="101"/>
  <c r="C77" i="101"/>
  <c r="AC107" i="101"/>
  <c r="AC98" i="101"/>
  <c r="AC89" i="101"/>
  <c r="AC80" i="101"/>
  <c r="AC68" i="101"/>
  <c r="AC59" i="101"/>
  <c r="AC50" i="101"/>
  <c r="AC41" i="101"/>
  <c r="AC23" i="101"/>
  <c r="AC14" i="101"/>
  <c r="U107" i="101"/>
  <c r="U98" i="101"/>
  <c r="U89" i="101"/>
  <c r="U80" i="101"/>
  <c r="U68" i="101"/>
  <c r="U59" i="101"/>
  <c r="U50" i="101"/>
  <c r="U41" i="101"/>
  <c r="U23" i="101"/>
  <c r="U14" i="101"/>
  <c r="M107" i="101"/>
  <c r="M98" i="101"/>
  <c r="M89" i="101"/>
  <c r="M80" i="101"/>
  <c r="M68" i="101"/>
  <c r="M59" i="101"/>
  <c r="M50" i="101"/>
  <c r="M41" i="101"/>
  <c r="M23" i="101"/>
  <c r="M14" i="101"/>
  <c r="D116" i="101"/>
  <c r="D107" i="101"/>
  <c r="D98" i="101"/>
  <c r="D89" i="101"/>
  <c r="D23" i="101"/>
  <c r="M117" i="101" l="1"/>
  <c r="U117" i="101"/>
  <c r="AC117" i="101"/>
  <c r="D3" i="101"/>
  <c r="D80" i="101"/>
  <c r="D68" i="101"/>
  <c r="D59" i="101"/>
  <c r="D50" i="101"/>
  <c r="D41" i="101"/>
  <c r="D14" i="101"/>
  <c r="D117" i="101" l="1"/>
  <c r="AD114" i="101"/>
  <c r="AE114" i="101" s="1"/>
  <c r="AD110" i="101"/>
  <c r="AE110" i="101" s="1"/>
  <c r="V115" i="101"/>
  <c r="W115" i="101" s="1"/>
  <c r="V111" i="101"/>
  <c r="W111" i="101" s="1"/>
  <c r="AD113" i="101"/>
  <c r="AE113" i="101" s="1"/>
  <c r="AD109" i="101"/>
  <c r="AE109" i="101" s="1"/>
  <c r="V110" i="101"/>
  <c r="W110" i="101" s="1"/>
  <c r="AD108" i="101"/>
  <c r="V113" i="101"/>
  <c r="W113" i="101" s="1"/>
  <c r="V109" i="101"/>
  <c r="W109" i="101" s="1"/>
  <c r="V112" i="101"/>
  <c r="W112" i="101" s="1"/>
  <c r="V114" i="101"/>
  <c r="W114" i="101" s="1"/>
  <c r="AD115" i="101"/>
  <c r="AE115" i="101" s="1"/>
  <c r="V108" i="101"/>
  <c r="AD112" i="101"/>
  <c r="AE112" i="101" s="1"/>
  <c r="AD111" i="101"/>
  <c r="AE111" i="101" s="1"/>
  <c r="N113" i="101"/>
  <c r="O113" i="101" s="1"/>
  <c r="N114" i="101"/>
  <c r="O114" i="101" s="1"/>
  <c r="N112" i="101"/>
  <c r="O112" i="101" s="1"/>
  <c r="N110" i="101"/>
  <c r="O110" i="101" s="1"/>
  <c r="N108" i="101"/>
  <c r="O108" i="101" s="1"/>
  <c r="N111" i="101"/>
  <c r="O111" i="101" s="1"/>
  <c r="N109" i="101"/>
  <c r="O109" i="101" s="1"/>
  <c r="N115" i="101"/>
  <c r="O115" i="101" s="1"/>
  <c r="AD31" i="101"/>
  <c r="AE31" i="101" s="1"/>
  <c r="AD30" i="101"/>
  <c r="AE30" i="101" s="1"/>
  <c r="AD29" i="101"/>
  <c r="AE29" i="101" s="1"/>
  <c r="AD28" i="101"/>
  <c r="AE28" i="101" s="1"/>
  <c r="AD27" i="101"/>
  <c r="AE27" i="101" s="1"/>
  <c r="AD26" i="101"/>
  <c r="AE26" i="101" s="1"/>
  <c r="AD25" i="101"/>
  <c r="AE25" i="101" s="1"/>
  <c r="AD24" i="101"/>
  <c r="E76" i="101"/>
  <c r="F76" i="101" s="1"/>
  <c r="E75" i="101"/>
  <c r="F75" i="101" s="1"/>
  <c r="E74" i="101"/>
  <c r="F74" i="101" s="1"/>
  <c r="E73" i="101"/>
  <c r="F73" i="101" s="1"/>
  <c r="E72" i="101"/>
  <c r="F72" i="101" s="1"/>
  <c r="E71" i="101"/>
  <c r="F71" i="101" s="1"/>
  <c r="E70" i="101"/>
  <c r="F70" i="101" s="1"/>
  <c r="E69" i="101"/>
  <c r="E29" i="101"/>
  <c r="F29" i="101" s="1"/>
  <c r="N75" i="101"/>
  <c r="O75" i="101" s="1"/>
  <c r="N70" i="101"/>
  <c r="O70" i="101" s="1"/>
  <c r="V31" i="101"/>
  <c r="W31" i="101" s="1"/>
  <c r="V30" i="101"/>
  <c r="W30" i="101" s="1"/>
  <c r="V29" i="101"/>
  <c r="W29" i="101" s="1"/>
  <c r="V28" i="101"/>
  <c r="W28" i="101" s="1"/>
  <c r="V27" i="101"/>
  <c r="W27" i="101" s="1"/>
  <c r="V26" i="101"/>
  <c r="W26" i="101" s="1"/>
  <c r="V25" i="101"/>
  <c r="W25" i="101" s="1"/>
  <c r="V24" i="101"/>
  <c r="W24" i="101" s="1"/>
  <c r="AD76" i="101"/>
  <c r="AE76" i="101" s="1"/>
  <c r="AD75" i="101"/>
  <c r="AE75" i="101" s="1"/>
  <c r="AD74" i="101"/>
  <c r="AE74" i="101" s="1"/>
  <c r="AD73" i="101"/>
  <c r="AE73" i="101" s="1"/>
  <c r="AD72" i="101"/>
  <c r="AE72" i="101" s="1"/>
  <c r="AD71" i="101"/>
  <c r="AE71" i="101" s="1"/>
  <c r="AD70" i="101"/>
  <c r="AE70" i="101" s="1"/>
  <c r="AD69" i="101"/>
  <c r="AE69" i="101" s="1"/>
  <c r="E31" i="101"/>
  <c r="F31" i="101" s="1"/>
  <c r="E30" i="101"/>
  <c r="F30" i="101" s="1"/>
  <c r="E27" i="101"/>
  <c r="F27" i="101" s="1"/>
  <c r="E25" i="101"/>
  <c r="F25" i="101" s="1"/>
  <c r="N74" i="101"/>
  <c r="O74" i="101" s="1"/>
  <c r="N71" i="101"/>
  <c r="O71" i="101" s="1"/>
  <c r="N31" i="101"/>
  <c r="O31" i="101" s="1"/>
  <c r="N30" i="101"/>
  <c r="O30" i="101" s="1"/>
  <c r="N29" i="101"/>
  <c r="O29" i="101" s="1"/>
  <c r="N28" i="101"/>
  <c r="O28" i="101" s="1"/>
  <c r="N27" i="101"/>
  <c r="O27" i="101" s="1"/>
  <c r="N26" i="101"/>
  <c r="O26" i="101" s="1"/>
  <c r="N25" i="101"/>
  <c r="O25" i="101" s="1"/>
  <c r="N24" i="101"/>
  <c r="O24" i="101" s="1"/>
  <c r="V76" i="101"/>
  <c r="W76" i="101" s="1"/>
  <c r="V75" i="101"/>
  <c r="W75" i="101" s="1"/>
  <c r="V74" i="101"/>
  <c r="W74" i="101" s="1"/>
  <c r="V73" i="101"/>
  <c r="W73" i="101" s="1"/>
  <c r="V72" i="101"/>
  <c r="W72" i="101" s="1"/>
  <c r="V71" i="101"/>
  <c r="W71" i="101" s="1"/>
  <c r="V70" i="101"/>
  <c r="W70" i="101" s="1"/>
  <c r="V69" i="101"/>
  <c r="W69" i="101" s="1"/>
  <c r="E28" i="101"/>
  <c r="F28" i="101" s="1"/>
  <c r="E26" i="101"/>
  <c r="F26" i="101" s="1"/>
  <c r="E24" i="101"/>
  <c r="F24" i="101" s="1"/>
  <c r="N76" i="101"/>
  <c r="O76" i="101" s="1"/>
  <c r="N73" i="101"/>
  <c r="O73" i="101" s="1"/>
  <c r="N72" i="101"/>
  <c r="O72" i="101" s="1"/>
  <c r="N69" i="101"/>
  <c r="AB80" i="101"/>
  <c r="T50" i="101"/>
  <c r="T23" i="101"/>
  <c r="L59" i="101"/>
  <c r="L98" i="101"/>
  <c r="L50" i="101"/>
  <c r="AB41" i="101"/>
  <c r="C23" i="101"/>
  <c r="C80" i="101"/>
  <c r="AB23" i="101"/>
  <c r="C89" i="101"/>
  <c r="L23" i="101"/>
  <c r="L89" i="101"/>
  <c r="T41" i="101"/>
  <c r="L41" i="101"/>
  <c r="T14" i="101"/>
  <c r="AB50" i="101"/>
  <c r="AB89" i="101"/>
  <c r="C50" i="101"/>
  <c r="AB68" i="101"/>
  <c r="L80" i="101"/>
  <c r="L14" i="101"/>
  <c r="T68" i="101"/>
  <c r="AB98" i="101"/>
  <c r="T80" i="101"/>
  <c r="T59" i="101"/>
  <c r="C68" i="101"/>
  <c r="L68" i="101"/>
  <c r="C14" i="101"/>
  <c r="C107" i="101"/>
  <c r="L107" i="101"/>
  <c r="C41" i="101"/>
  <c r="C116" i="101"/>
  <c r="C98" i="101"/>
  <c r="T98" i="101"/>
  <c r="AB107" i="101"/>
  <c r="T89" i="101"/>
  <c r="AB14" i="101"/>
  <c r="C59" i="101"/>
  <c r="T107" i="101"/>
  <c r="AB59" i="101"/>
  <c r="AD104" i="101"/>
  <c r="AE104" i="101" s="1"/>
  <c r="AD100" i="101"/>
  <c r="AE100" i="101" s="1"/>
  <c r="AD97" i="101"/>
  <c r="AE97" i="101" s="1"/>
  <c r="AD93" i="101"/>
  <c r="AE93" i="101" s="1"/>
  <c r="AD86" i="101"/>
  <c r="AE86" i="101" s="1"/>
  <c r="AD82" i="101"/>
  <c r="AE82" i="101" s="1"/>
  <c r="AD79" i="101"/>
  <c r="AD66" i="101"/>
  <c r="AE66" i="101" s="1"/>
  <c r="AD62" i="101"/>
  <c r="AE62" i="101" s="1"/>
  <c r="AD55" i="101"/>
  <c r="AE55" i="101" s="1"/>
  <c r="AD47" i="101"/>
  <c r="AE47" i="101" s="1"/>
  <c r="AD43" i="101"/>
  <c r="AE43" i="101" s="1"/>
  <c r="AD39" i="101"/>
  <c r="AE39" i="101" s="1"/>
  <c r="AD35" i="101"/>
  <c r="AE35" i="101" s="1"/>
  <c r="AD22" i="101"/>
  <c r="AE22" i="101" s="1"/>
  <c r="AD18" i="101"/>
  <c r="AE18" i="101" s="1"/>
  <c r="AD11" i="101"/>
  <c r="AE11" i="101" s="1"/>
  <c r="AD7" i="101"/>
  <c r="AE7" i="101" s="1"/>
  <c r="V106" i="101"/>
  <c r="W106" i="101" s="1"/>
  <c r="V102" i="101"/>
  <c r="W102" i="101" s="1"/>
  <c r="V95" i="101"/>
  <c r="W95" i="101" s="1"/>
  <c r="V91" i="101"/>
  <c r="W91" i="101" s="1"/>
  <c r="V64" i="101"/>
  <c r="W64" i="101" s="1"/>
  <c r="V53" i="101"/>
  <c r="W53" i="101" s="1"/>
  <c r="V16" i="101"/>
  <c r="W16" i="101" s="1"/>
  <c r="V9" i="101"/>
  <c r="W9" i="101" s="1"/>
  <c r="V15" i="101"/>
  <c r="W15" i="101" s="1"/>
  <c r="AD103" i="101"/>
  <c r="AE103" i="101" s="1"/>
  <c r="AD99" i="101"/>
  <c r="AE99" i="101" s="1"/>
  <c r="AD96" i="101"/>
  <c r="AE96" i="101" s="1"/>
  <c r="AD92" i="101"/>
  <c r="AE92" i="101" s="1"/>
  <c r="AD85" i="101"/>
  <c r="AE85" i="101" s="1"/>
  <c r="AD81" i="101"/>
  <c r="AE81" i="101" s="1"/>
  <c r="AD65" i="101"/>
  <c r="AE65" i="101" s="1"/>
  <c r="AD61" i="101"/>
  <c r="AE61" i="101" s="1"/>
  <c r="AD58" i="101"/>
  <c r="AE58" i="101" s="1"/>
  <c r="AD54" i="101"/>
  <c r="AE54" i="101" s="1"/>
  <c r="AD46" i="101"/>
  <c r="AE46" i="101" s="1"/>
  <c r="AD38" i="101"/>
  <c r="AE38" i="101" s="1"/>
  <c r="AD34" i="101"/>
  <c r="AE34" i="101" s="1"/>
  <c r="AD21" i="101"/>
  <c r="AE21" i="101" s="1"/>
  <c r="AD17" i="101"/>
  <c r="AE17" i="101" s="1"/>
  <c r="AD10" i="101"/>
  <c r="AE10" i="101" s="1"/>
  <c r="AD6" i="101"/>
  <c r="AE6" i="101" s="1"/>
  <c r="V105" i="101"/>
  <c r="W105" i="101" s="1"/>
  <c r="V101" i="101"/>
  <c r="W101" i="101" s="1"/>
  <c r="V94" i="101"/>
  <c r="W94" i="101" s="1"/>
  <c r="V90" i="101"/>
  <c r="W90" i="101" s="1"/>
  <c r="V87" i="101"/>
  <c r="W87" i="101" s="1"/>
  <c r="V83" i="101"/>
  <c r="W83" i="101" s="1"/>
  <c r="V67" i="101"/>
  <c r="W67" i="101" s="1"/>
  <c r="V63" i="101"/>
  <c r="W63" i="101" s="1"/>
  <c r="V56" i="101"/>
  <c r="W56" i="101" s="1"/>
  <c r="V52" i="101"/>
  <c r="W52" i="101" s="1"/>
  <c r="V48" i="101"/>
  <c r="W48" i="101" s="1"/>
  <c r="V36" i="101"/>
  <c r="W36" i="101" s="1"/>
  <c r="V19" i="101"/>
  <c r="W19" i="101" s="1"/>
  <c r="AD106" i="101"/>
  <c r="AE106" i="101" s="1"/>
  <c r="AD102" i="101"/>
  <c r="AE102" i="101" s="1"/>
  <c r="AD95" i="101"/>
  <c r="AE95" i="101" s="1"/>
  <c r="AD91" i="101"/>
  <c r="AE91" i="101" s="1"/>
  <c r="AD88" i="101"/>
  <c r="AE88" i="101" s="1"/>
  <c r="AD84" i="101"/>
  <c r="AE84" i="101" s="1"/>
  <c r="AD64" i="101"/>
  <c r="AE64" i="101" s="1"/>
  <c r="AD60" i="101"/>
  <c r="AE60" i="101" s="1"/>
  <c r="AD57" i="101"/>
  <c r="AE57" i="101" s="1"/>
  <c r="AD53" i="101"/>
  <c r="AE53" i="101" s="1"/>
  <c r="AD49" i="101"/>
  <c r="AE49" i="101" s="1"/>
  <c r="AD45" i="101"/>
  <c r="AE45" i="101" s="1"/>
  <c r="AD37" i="101"/>
  <c r="AE37" i="101" s="1"/>
  <c r="AD20" i="101"/>
  <c r="AE20" i="101" s="1"/>
  <c r="AD16" i="101"/>
  <c r="AE16" i="101" s="1"/>
  <c r="AD13" i="101"/>
  <c r="AE13" i="101" s="1"/>
  <c r="AD9" i="101"/>
  <c r="AE9" i="101" s="1"/>
  <c r="V104" i="101"/>
  <c r="W104" i="101" s="1"/>
  <c r="V100" i="101"/>
  <c r="W100" i="101" s="1"/>
  <c r="V97" i="101"/>
  <c r="W97" i="101" s="1"/>
  <c r="V93" i="101"/>
  <c r="W93" i="101" s="1"/>
  <c r="V86" i="101"/>
  <c r="W86" i="101" s="1"/>
  <c r="V82" i="101"/>
  <c r="W82" i="101" s="1"/>
  <c r="V79" i="101"/>
  <c r="V66" i="101"/>
  <c r="W66" i="101" s="1"/>
  <c r="V62" i="101"/>
  <c r="W62" i="101" s="1"/>
  <c r="V55" i="101"/>
  <c r="W55" i="101" s="1"/>
  <c r="V47" i="101"/>
  <c r="W47" i="101" s="1"/>
  <c r="V43" i="101"/>
  <c r="W43" i="101" s="1"/>
  <c r="V39" i="101"/>
  <c r="W39" i="101" s="1"/>
  <c r="V35" i="101"/>
  <c r="W35" i="101" s="1"/>
  <c r="V22" i="101"/>
  <c r="W22" i="101" s="1"/>
  <c r="V18" i="101"/>
  <c r="W18" i="101" s="1"/>
  <c r="V11" i="101"/>
  <c r="W11" i="101" s="1"/>
  <c r="V7" i="101"/>
  <c r="W7" i="101" s="1"/>
  <c r="V84" i="101"/>
  <c r="W84" i="101" s="1"/>
  <c r="V60" i="101"/>
  <c r="W60" i="101" s="1"/>
  <c r="V49" i="101"/>
  <c r="W49" i="101" s="1"/>
  <c r="V20" i="101"/>
  <c r="W20" i="101" s="1"/>
  <c r="V44" i="101"/>
  <c r="W44" i="101" s="1"/>
  <c r="V8" i="101"/>
  <c r="W8" i="101" s="1"/>
  <c r="AD105" i="101"/>
  <c r="AE105" i="101" s="1"/>
  <c r="AD101" i="101"/>
  <c r="AE101" i="101" s="1"/>
  <c r="AD94" i="101"/>
  <c r="AE94" i="101" s="1"/>
  <c r="AD90" i="101"/>
  <c r="AE90" i="101" s="1"/>
  <c r="AD87" i="101"/>
  <c r="AE87" i="101" s="1"/>
  <c r="AD83" i="101"/>
  <c r="AE83" i="101" s="1"/>
  <c r="AD67" i="101"/>
  <c r="AE67" i="101" s="1"/>
  <c r="AD63" i="101"/>
  <c r="AE63" i="101" s="1"/>
  <c r="AD56" i="101"/>
  <c r="AE56" i="101" s="1"/>
  <c r="AD52" i="101"/>
  <c r="AE52" i="101" s="1"/>
  <c r="AD48" i="101"/>
  <c r="AE48" i="101" s="1"/>
  <c r="AD44" i="101"/>
  <c r="AE44" i="101" s="1"/>
  <c r="AD40" i="101"/>
  <c r="AE40" i="101" s="1"/>
  <c r="AD36" i="101"/>
  <c r="AE36" i="101" s="1"/>
  <c r="AD19" i="101"/>
  <c r="AE19" i="101" s="1"/>
  <c r="AD15" i="101"/>
  <c r="AE15" i="101" s="1"/>
  <c r="AD12" i="101"/>
  <c r="AE12" i="101" s="1"/>
  <c r="AD8" i="101"/>
  <c r="AE8" i="101" s="1"/>
  <c r="V103" i="101"/>
  <c r="W103" i="101" s="1"/>
  <c r="V99" i="101"/>
  <c r="W99" i="101" s="1"/>
  <c r="V96" i="101"/>
  <c r="W96" i="101" s="1"/>
  <c r="V92" i="101"/>
  <c r="W92" i="101" s="1"/>
  <c r="V85" i="101"/>
  <c r="W85" i="101" s="1"/>
  <c r="V81" i="101"/>
  <c r="W81" i="101" s="1"/>
  <c r="V65" i="101"/>
  <c r="W65" i="101" s="1"/>
  <c r="V61" i="101"/>
  <c r="W61" i="101" s="1"/>
  <c r="V58" i="101"/>
  <c r="W58" i="101" s="1"/>
  <c r="V54" i="101"/>
  <c r="W54" i="101" s="1"/>
  <c r="V46" i="101"/>
  <c r="W46" i="101" s="1"/>
  <c r="V38" i="101"/>
  <c r="W38" i="101" s="1"/>
  <c r="V34" i="101"/>
  <c r="W34" i="101" s="1"/>
  <c r="V21" i="101"/>
  <c r="W21" i="101" s="1"/>
  <c r="V17" i="101"/>
  <c r="W17" i="101" s="1"/>
  <c r="V10" i="101"/>
  <c r="W10" i="101" s="1"/>
  <c r="V6" i="101"/>
  <c r="W6" i="101" s="1"/>
  <c r="V88" i="101"/>
  <c r="W88" i="101" s="1"/>
  <c r="V57" i="101"/>
  <c r="W57" i="101" s="1"/>
  <c r="V45" i="101"/>
  <c r="W45" i="101" s="1"/>
  <c r="V37" i="101"/>
  <c r="W37" i="101" s="1"/>
  <c r="V13" i="101"/>
  <c r="W13" i="101" s="1"/>
  <c r="V40" i="101"/>
  <c r="W40" i="101" s="1"/>
  <c r="V12" i="101"/>
  <c r="W12" i="101" s="1"/>
  <c r="E61" i="101"/>
  <c r="F61" i="101" s="1"/>
  <c r="N104" i="101"/>
  <c r="O104" i="101" s="1"/>
  <c r="N100" i="101"/>
  <c r="O100" i="101" s="1"/>
  <c r="N97" i="101"/>
  <c r="O97" i="101" s="1"/>
  <c r="N93" i="101"/>
  <c r="O93" i="101" s="1"/>
  <c r="N86" i="101"/>
  <c r="O86" i="101" s="1"/>
  <c r="N82" i="101"/>
  <c r="O82" i="101" s="1"/>
  <c r="N67" i="101"/>
  <c r="O67" i="101" s="1"/>
  <c r="N63" i="101"/>
  <c r="O63" i="101" s="1"/>
  <c r="N56" i="101"/>
  <c r="O56" i="101" s="1"/>
  <c r="N52" i="101"/>
  <c r="O52" i="101" s="1"/>
  <c r="N48" i="101"/>
  <c r="O48" i="101" s="1"/>
  <c r="N44" i="101"/>
  <c r="O44" i="101" s="1"/>
  <c r="N40" i="101"/>
  <c r="O40" i="101" s="1"/>
  <c r="N36" i="101"/>
  <c r="O36" i="101" s="1"/>
  <c r="N19" i="101"/>
  <c r="O19" i="101" s="1"/>
  <c r="N15" i="101"/>
  <c r="O15" i="101" s="1"/>
  <c r="N12" i="101"/>
  <c r="O12" i="101" s="1"/>
  <c r="N8" i="101"/>
  <c r="O8" i="101" s="1"/>
  <c r="E112" i="101"/>
  <c r="F112" i="101" s="1"/>
  <c r="E108" i="101"/>
  <c r="F108" i="101" s="1"/>
  <c r="E105" i="101"/>
  <c r="F105" i="101" s="1"/>
  <c r="E101" i="101"/>
  <c r="F101" i="101" s="1"/>
  <c r="N101" i="101"/>
  <c r="O101" i="101" s="1"/>
  <c r="N94" i="101"/>
  <c r="O94" i="101" s="1"/>
  <c r="N87" i="101"/>
  <c r="O87" i="101" s="1"/>
  <c r="N45" i="101"/>
  <c r="O45" i="101" s="1"/>
  <c r="N37" i="101"/>
  <c r="O37" i="101" s="1"/>
  <c r="N16" i="101"/>
  <c r="O16" i="101" s="1"/>
  <c r="N9" i="101"/>
  <c r="O9" i="101" s="1"/>
  <c r="E113" i="101"/>
  <c r="F113" i="101" s="1"/>
  <c r="E106" i="101"/>
  <c r="F106" i="101" s="1"/>
  <c r="N103" i="101"/>
  <c r="O103" i="101" s="1"/>
  <c r="N99" i="101"/>
  <c r="O99" i="101" s="1"/>
  <c r="N96" i="101"/>
  <c r="O96" i="101" s="1"/>
  <c r="N92" i="101"/>
  <c r="O92" i="101" s="1"/>
  <c r="N85" i="101"/>
  <c r="O85" i="101" s="1"/>
  <c r="N81" i="101"/>
  <c r="O81" i="101" s="1"/>
  <c r="N79" i="101"/>
  <c r="N66" i="101"/>
  <c r="O66" i="101" s="1"/>
  <c r="N62" i="101"/>
  <c r="O62" i="101" s="1"/>
  <c r="N55" i="101"/>
  <c r="O55" i="101" s="1"/>
  <c r="N47" i="101"/>
  <c r="O47" i="101" s="1"/>
  <c r="N43" i="101"/>
  <c r="O43" i="101" s="1"/>
  <c r="N39" i="101"/>
  <c r="O39" i="101" s="1"/>
  <c r="N35" i="101"/>
  <c r="O35" i="101" s="1"/>
  <c r="N22" i="101"/>
  <c r="O22" i="101" s="1"/>
  <c r="N18" i="101"/>
  <c r="O18" i="101" s="1"/>
  <c r="N11" i="101"/>
  <c r="O11" i="101" s="1"/>
  <c r="N7" i="101"/>
  <c r="O7" i="101" s="1"/>
  <c r="E115" i="101"/>
  <c r="F115" i="101" s="1"/>
  <c r="E111" i="101"/>
  <c r="F111" i="101" s="1"/>
  <c r="E104" i="101"/>
  <c r="F104" i="101" s="1"/>
  <c r="E100" i="101"/>
  <c r="F100" i="101" s="1"/>
  <c r="N64" i="101"/>
  <c r="O64" i="101" s="1"/>
  <c r="N60" i="101"/>
  <c r="O60" i="101" s="1"/>
  <c r="N57" i="101"/>
  <c r="O57" i="101" s="1"/>
  <c r="N49" i="101"/>
  <c r="O49" i="101" s="1"/>
  <c r="N20" i="101"/>
  <c r="O20" i="101" s="1"/>
  <c r="N106" i="101"/>
  <c r="O106" i="101" s="1"/>
  <c r="N102" i="101"/>
  <c r="O102" i="101" s="1"/>
  <c r="N95" i="101"/>
  <c r="O95" i="101" s="1"/>
  <c r="N91" i="101"/>
  <c r="O91" i="101" s="1"/>
  <c r="N88" i="101"/>
  <c r="O88" i="101" s="1"/>
  <c r="N84" i="101"/>
  <c r="O84" i="101" s="1"/>
  <c r="N65" i="101"/>
  <c r="O65" i="101" s="1"/>
  <c r="N61" i="101"/>
  <c r="O61" i="101" s="1"/>
  <c r="N58" i="101"/>
  <c r="O58" i="101" s="1"/>
  <c r="N54" i="101"/>
  <c r="O54" i="101" s="1"/>
  <c r="N46" i="101"/>
  <c r="O46" i="101" s="1"/>
  <c r="N38" i="101"/>
  <c r="O38" i="101" s="1"/>
  <c r="N34" i="101"/>
  <c r="O34" i="101" s="1"/>
  <c r="N21" i="101"/>
  <c r="O21" i="101" s="1"/>
  <c r="N17" i="101"/>
  <c r="O17" i="101" s="1"/>
  <c r="N10" i="101"/>
  <c r="O10" i="101" s="1"/>
  <c r="N6" i="101"/>
  <c r="O6" i="101" s="1"/>
  <c r="E114" i="101"/>
  <c r="F114" i="101" s="1"/>
  <c r="E110" i="101"/>
  <c r="F110" i="101" s="1"/>
  <c r="E103" i="101"/>
  <c r="F103" i="101" s="1"/>
  <c r="E99" i="101"/>
  <c r="F99" i="101" s="1"/>
  <c r="N105" i="101"/>
  <c r="O105" i="101" s="1"/>
  <c r="N90" i="101"/>
  <c r="O90" i="101" s="1"/>
  <c r="N83" i="101"/>
  <c r="O83" i="101" s="1"/>
  <c r="N53" i="101"/>
  <c r="O53" i="101" s="1"/>
  <c r="N13" i="101"/>
  <c r="O13" i="101" s="1"/>
  <c r="E109" i="101"/>
  <c r="F109" i="101" s="1"/>
  <c r="E102" i="101"/>
  <c r="F102" i="101" s="1"/>
  <c r="E12" i="101"/>
  <c r="F12" i="101" s="1"/>
  <c r="E8" i="101"/>
  <c r="F8" i="101" s="1"/>
  <c r="E39" i="101"/>
  <c r="F39" i="101" s="1"/>
  <c r="E35" i="101"/>
  <c r="F35" i="101" s="1"/>
  <c r="E47" i="101"/>
  <c r="F47" i="101" s="1"/>
  <c r="E52" i="101"/>
  <c r="F52" i="101" s="1"/>
  <c r="E55" i="101"/>
  <c r="F55" i="101" s="1"/>
  <c r="E67" i="101"/>
  <c r="F67" i="101" s="1"/>
  <c r="E63" i="101"/>
  <c r="F63" i="101" s="1"/>
  <c r="E11" i="101"/>
  <c r="F11" i="101" s="1"/>
  <c r="E38" i="101"/>
  <c r="F38" i="101" s="1"/>
  <c r="E66" i="101"/>
  <c r="F66" i="101" s="1"/>
  <c r="E6" i="101"/>
  <c r="F6" i="101" s="1"/>
  <c r="E10" i="101"/>
  <c r="F10" i="101" s="1"/>
  <c r="E34" i="101"/>
  <c r="F34" i="101" s="1"/>
  <c r="E37" i="101"/>
  <c r="F37" i="101" s="1"/>
  <c r="E49" i="101"/>
  <c r="F49" i="101" s="1"/>
  <c r="E45" i="101"/>
  <c r="F45" i="101" s="1"/>
  <c r="E57" i="101"/>
  <c r="F57" i="101" s="1"/>
  <c r="E53" i="101"/>
  <c r="F53" i="101" s="1"/>
  <c r="E65" i="101"/>
  <c r="F65" i="101" s="1"/>
  <c r="E95" i="101"/>
  <c r="F95" i="101" s="1"/>
  <c r="E91" i="101"/>
  <c r="F91" i="101" s="1"/>
  <c r="E88" i="101"/>
  <c r="F88" i="101" s="1"/>
  <c r="E84" i="101"/>
  <c r="F84" i="101" s="1"/>
  <c r="E20" i="101"/>
  <c r="F20" i="101" s="1"/>
  <c r="E16" i="101"/>
  <c r="F16" i="101" s="1"/>
  <c r="E94" i="101"/>
  <c r="F94" i="101" s="1"/>
  <c r="E90" i="101"/>
  <c r="F90" i="101" s="1"/>
  <c r="E87" i="101"/>
  <c r="F87" i="101" s="1"/>
  <c r="E83" i="101"/>
  <c r="F83" i="101" s="1"/>
  <c r="E19" i="101"/>
  <c r="F19" i="101" s="1"/>
  <c r="E15" i="101"/>
  <c r="F15" i="101" s="1"/>
  <c r="E97" i="101"/>
  <c r="F97" i="101" s="1"/>
  <c r="E93" i="101"/>
  <c r="F93" i="101" s="1"/>
  <c r="E86" i="101"/>
  <c r="F86" i="101" s="1"/>
  <c r="E82" i="101"/>
  <c r="F82" i="101" s="1"/>
  <c r="E22" i="101"/>
  <c r="F22" i="101" s="1"/>
  <c r="E18" i="101"/>
  <c r="F18" i="101" s="1"/>
  <c r="E92" i="101"/>
  <c r="F92" i="101" s="1"/>
  <c r="E85" i="101"/>
  <c r="F85" i="101" s="1"/>
  <c r="E81" i="101"/>
  <c r="F81" i="101" s="1"/>
  <c r="E17" i="101"/>
  <c r="F17" i="101" s="1"/>
  <c r="E96" i="101"/>
  <c r="F96" i="101" s="1"/>
  <c r="E21" i="101"/>
  <c r="F21" i="101" s="1"/>
  <c r="E7" i="101"/>
  <c r="F7" i="101" s="1"/>
  <c r="E43" i="101"/>
  <c r="F43" i="101" s="1"/>
  <c r="E46" i="101"/>
  <c r="F46" i="101" s="1"/>
  <c r="E58" i="101"/>
  <c r="F58" i="101" s="1"/>
  <c r="E54" i="101"/>
  <c r="F54" i="101" s="1"/>
  <c r="E62" i="101"/>
  <c r="F62" i="101" s="1"/>
  <c r="E13" i="101"/>
  <c r="F13" i="101" s="1"/>
  <c r="E9" i="101"/>
  <c r="F9" i="101" s="1"/>
  <c r="E40" i="101"/>
  <c r="F40" i="101" s="1"/>
  <c r="E36" i="101"/>
  <c r="F36" i="101" s="1"/>
  <c r="E48" i="101"/>
  <c r="F48" i="101" s="1"/>
  <c r="E44" i="101"/>
  <c r="F44" i="101" s="1"/>
  <c r="E56" i="101"/>
  <c r="F56" i="101" s="1"/>
  <c r="E60" i="101"/>
  <c r="F60" i="101" s="1"/>
  <c r="E64" i="101"/>
  <c r="F64" i="101" s="1"/>
  <c r="E79" i="101"/>
  <c r="T117" i="101" l="1"/>
  <c r="AB117" i="101"/>
  <c r="L117" i="101"/>
  <c r="E77" i="101"/>
  <c r="F69" i="101"/>
  <c r="AD116" i="101"/>
  <c r="AE108" i="101"/>
  <c r="V116" i="101"/>
  <c r="W108" i="101"/>
  <c r="E80" i="101"/>
  <c r="F79" i="101"/>
  <c r="C117" i="101"/>
  <c r="AD32" i="101"/>
  <c r="AE24" i="101"/>
  <c r="AD80" i="101"/>
  <c r="AE79" i="101"/>
  <c r="V80" i="101"/>
  <c r="W79" i="101"/>
  <c r="N80" i="101"/>
  <c r="O79" i="101"/>
  <c r="N77" i="101"/>
  <c r="O69" i="101"/>
  <c r="E32" i="101"/>
  <c r="N116" i="101"/>
  <c r="AD77" i="101"/>
  <c r="V32" i="101"/>
  <c r="V77" i="101"/>
  <c r="N32" i="101"/>
  <c r="N41" i="101"/>
  <c r="N50" i="101"/>
  <c r="AD59" i="101"/>
  <c r="E107" i="101"/>
  <c r="AD50" i="101"/>
  <c r="V23" i="101"/>
  <c r="AD14" i="101"/>
  <c r="V89" i="101"/>
  <c r="AD23" i="101"/>
  <c r="AD98" i="101"/>
  <c r="V68" i="101"/>
  <c r="V50" i="101"/>
  <c r="V107" i="101"/>
  <c r="V98" i="101"/>
  <c r="V41" i="101"/>
  <c r="AD41" i="101"/>
  <c r="V59" i="101"/>
  <c r="V14" i="101"/>
  <c r="AD68" i="101"/>
  <c r="AD89" i="101"/>
  <c r="AD107" i="101"/>
  <c r="N14" i="101"/>
  <c r="N59" i="101"/>
  <c r="E116" i="101"/>
  <c r="N98" i="101"/>
  <c r="N89" i="101"/>
  <c r="N107" i="101"/>
  <c r="N68" i="101"/>
  <c r="N23" i="101"/>
  <c r="E23" i="101"/>
  <c r="E89" i="101"/>
  <c r="E98" i="101"/>
  <c r="E14" i="101"/>
  <c r="E59" i="101"/>
  <c r="E41" i="101"/>
  <c r="E68" i="101"/>
  <c r="E50" i="101"/>
  <c r="V117" i="101" l="1"/>
  <c r="AD117" i="101"/>
  <c r="N117" i="101"/>
  <c r="E117" i="101"/>
  <c r="E49" i="1" l="1"/>
  <c r="D40" i="1" l="1"/>
  <c r="E40" i="1" l="1"/>
</calcChain>
</file>

<file path=xl/sharedStrings.xml><?xml version="1.0" encoding="utf-8"?>
<sst xmlns="http://schemas.openxmlformats.org/spreadsheetml/2006/main" count="15991" uniqueCount="1480">
  <si>
    <t>2019–20 Worksheet A by </t>
  </si>
  <si>
    <t xml:space="preserve">Office of Superintendent of Public Instruction is licensed </t>
  </si>
  <si>
    <t>under a Creative Commons Attribution 4.0 International License.</t>
  </si>
  <si>
    <t>CCDDD</t>
  </si>
  <si>
    <t>ESD</t>
  </si>
  <si>
    <t>LEA</t>
  </si>
  <si>
    <t>14005</t>
  </si>
  <si>
    <t>113</t>
  </si>
  <si>
    <t>Aberdeen</t>
  </si>
  <si>
    <t>21226</t>
  </si>
  <si>
    <t>Adna</t>
  </si>
  <si>
    <t>22017</t>
  </si>
  <si>
    <t>101</t>
  </si>
  <si>
    <t>Almira</t>
  </si>
  <si>
    <t>29103</t>
  </si>
  <si>
    <t>189</t>
  </si>
  <si>
    <t>Anacortes</t>
  </si>
  <si>
    <t>31016</t>
  </si>
  <si>
    <t>Arlington</t>
  </si>
  <si>
    <t>02420</t>
  </si>
  <si>
    <t>123</t>
  </si>
  <si>
    <t>Asotin-Anatone</t>
  </si>
  <si>
    <t>17408</t>
  </si>
  <si>
    <t>121</t>
  </si>
  <si>
    <t>Auburn</t>
  </si>
  <si>
    <t>18303</t>
  </si>
  <si>
    <t>Bainbridge Island</t>
  </si>
  <si>
    <t>06119</t>
  </si>
  <si>
    <t>112</t>
  </si>
  <si>
    <t>Battle Ground</t>
  </si>
  <si>
    <t>17405</t>
  </si>
  <si>
    <t>Bellevue</t>
  </si>
  <si>
    <t>37501</t>
  </si>
  <si>
    <t>Bellingham</t>
  </si>
  <si>
    <t>01122</t>
  </si>
  <si>
    <t>Benge</t>
  </si>
  <si>
    <t>27403</t>
  </si>
  <si>
    <t>Bethel</t>
  </si>
  <si>
    <t>20203</t>
  </si>
  <si>
    <t>105</t>
  </si>
  <si>
    <t>Bickleton</t>
  </si>
  <si>
    <t>37503</t>
  </si>
  <si>
    <t>Blaine</t>
  </si>
  <si>
    <t>21234</t>
  </si>
  <si>
    <t>Boistfort</t>
  </si>
  <si>
    <t>18100</t>
  </si>
  <si>
    <t>114</t>
  </si>
  <si>
    <t>Bremerton</t>
  </si>
  <si>
    <t>24111</t>
  </si>
  <si>
    <t>171</t>
  </si>
  <si>
    <t xml:space="preserve">Brewster </t>
  </si>
  <si>
    <t>09075</t>
  </si>
  <si>
    <t>Bridgeport</t>
  </si>
  <si>
    <t>16046</t>
  </si>
  <si>
    <t>Brinnon</t>
  </si>
  <si>
    <t>29100</t>
  </si>
  <si>
    <t>Burlington-Edison</t>
  </si>
  <si>
    <t>06117</t>
  </si>
  <si>
    <t>Camas</t>
  </si>
  <si>
    <t>05401</t>
  </si>
  <si>
    <t>Cape Flattery</t>
  </si>
  <si>
    <t>27019</t>
  </si>
  <si>
    <t>Carbonado</t>
  </si>
  <si>
    <t>04228</t>
  </si>
  <si>
    <t>Cascade</t>
  </si>
  <si>
    <t>04222</t>
  </si>
  <si>
    <t>Cashmere</t>
  </si>
  <si>
    <t>08401</t>
  </si>
  <si>
    <t>Castle Rock</t>
  </si>
  <si>
    <t>18901</t>
  </si>
  <si>
    <t>Catalyst Charter</t>
  </si>
  <si>
    <t>20215</t>
  </si>
  <si>
    <t>Centerville</t>
  </si>
  <si>
    <t>18401</t>
  </si>
  <si>
    <t>Central Kitsap</t>
  </si>
  <si>
    <t>32356</t>
  </si>
  <si>
    <t>Central Valley</t>
  </si>
  <si>
    <t>21401</t>
  </si>
  <si>
    <t>Centralia</t>
  </si>
  <si>
    <t>21302</t>
  </si>
  <si>
    <t>Chehalis</t>
  </si>
  <si>
    <t>32360</t>
  </si>
  <si>
    <t>Cheney</t>
  </si>
  <si>
    <t>33036</t>
  </si>
  <si>
    <t>Chewelah</t>
  </si>
  <si>
    <t>16049</t>
  </si>
  <si>
    <t>Chimacum</t>
  </si>
  <si>
    <t>02250</t>
  </si>
  <si>
    <t>Clarkston</t>
  </si>
  <si>
    <t>19404</t>
  </si>
  <si>
    <t>Cle Elum - Roslyn</t>
  </si>
  <si>
    <t>27400</t>
  </si>
  <si>
    <t xml:space="preserve">Clover Park </t>
  </si>
  <si>
    <t>38300</t>
  </si>
  <si>
    <t>Colfax</t>
  </si>
  <si>
    <t>36250</t>
  </si>
  <si>
    <t>College Place</t>
  </si>
  <si>
    <t>38306</t>
  </si>
  <si>
    <t>Colton</t>
  </si>
  <si>
    <t>33206</t>
  </si>
  <si>
    <t>Columbia No. 206 (Stevens)</t>
  </si>
  <si>
    <t>36400</t>
  </si>
  <si>
    <t>Columbia No. 400 (Walla Walla)</t>
  </si>
  <si>
    <t>33115</t>
  </si>
  <si>
    <t>Colville</t>
  </si>
  <si>
    <t>29011</t>
  </si>
  <si>
    <t>Concrete</t>
  </si>
  <si>
    <t>29317</t>
  </si>
  <si>
    <t>Conway</t>
  </si>
  <si>
    <t>14099</t>
  </si>
  <si>
    <t>Cosmopolis</t>
  </si>
  <si>
    <t>13151</t>
  </si>
  <si>
    <t>Coulee-Hartline</t>
  </si>
  <si>
    <t>15204</t>
  </si>
  <si>
    <t>Coupeville</t>
  </si>
  <si>
    <t>05313</t>
  </si>
  <si>
    <t>Crescent</t>
  </si>
  <si>
    <t>22073</t>
  </si>
  <si>
    <t>Creston</t>
  </si>
  <si>
    <t>10050</t>
  </si>
  <si>
    <t>Curlew</t>
  </si>
  <si>
    <t>26059</t>
  </si>
  <si>
    <t>Cusick</t>
  </si>
  <si>
    <t>19007</t>
  </si>
  <si>
    <t>Damman</t>
  </si>
  <si>
    <t>31330</t>
  </si>
  <si>
    <t>Darrington</t>
  </si>
  <si>
    <t>22207</t>
  </si>
  <si>
    <t>Davenport</t>
  </si>
  <si>
    <t>07002</t>
  </si>
  <si>
    <t>Dayton</t>
  </si>
  <si>
    <t>32414</t>
  </si>
  <si>
    <t>Deer Park</t>
  </si>
  <si>
    <t>27343</t>
  </si>
  <si>
    <t>Dieringer</t>
  </si>
  <si>
    <t>36101</t>
  </si>
  <si>
    <t>Dixie</t>
  </si>
  <si>
    <t>32361</t>
  </si>
  <si>
    <t>East Valley No. 361 (Spokane)</t>
  </si>
  <si>
    <t>39090</t>
  </si>
  <si>
    <t>East Valley No. 90 (Yakima)</t>
  </si>
  <si>
    <t>09206</t>
  </si>
  <si>
    <t>Eastmont</t>
  </si>
  <si>
    <t>19028</t>
  </si>
  <si>
    <t>Easton</t>
  </si>
  <si>
    <t>27404</t>
  </si>
  <si>
    <t>Eatonville</t>
  </si>
  <si>
    <t>31015</t>
  </si>
  <si>
    <t>Edmonds</t>
  </si>
  <si>
    <t>19401</t>
  </si>
  <si>
    <t>Ellensburg</t>
  </si>
  <si>
    <t>14068</t>
  </si>
  <si>
    <t>Elma</t>
  </si>
  <si>
    <t>38308</t>
  </si>
  <si>
    <t>Endicott</t>
  </si>
  <si>
    <t>04127</t>
  </si>
  <si>
    <t>Entiat</t>
  </si>
  <si>
    <t>17216</t>
  </si>
  <si>
    <t>Enumclaw</t>
  </si>
  <si>
    <t>13165</t>
  </si>
  <si>
    <t>Ephrata</t>
  </si>
  <si>
    <t>06701</t>
  </si>
  <si>
    <t>ESA 112</t>
  </si>
  <si>
    <t>21036</t>
  </si>
  <si>
    <t>Evaline</t>
  </si>
  <si>
    <t>31002</t>
  </si>
  <si>
    <t>Everett</t>
  </si>
  <si>
    <t>06114</t>
  </si>
  <si>
    <t>Evergreen No. 114 (Clark)</t>
  </si>
  <si>
    <t>33205</t>
  </si>
  <si>
    <t>Evergreen No. 205 (Stevens)</t>
  </si>
  <si>
    <t>17210</t>
  </si>
  <si>
    <t>Federal Way</t>
  </si>
  <si>
    <t>37502</t>
  </si>
  <si>
    <t>Ferndale</t>
  </si>
  <si>
    <t>27417</t>
  </si>
  <si>
    <t>Fife</t>
  </si>
  <si>
    <t>03053</t>
  </si>
  <si>
    <t>Finley</t>
  </si>
  <si>
    <t>27402</t>
  </si>
  <si>
    <t>Franklin Pierce</t>
  </si>
  <si>
    <t>32358</t>
  </si>
  <si>
    <t>Freeman</t>
  </si>
  <si>
    <t>38302</t>
  </si>
  <si>
    <t>Garfield</t>
  </si>
  <si>
    <t>20401</t>
  </si>
  <si>
    <t>Glenwood</t>
  </si>
  <si>
    <t>20404</t>
  </si>
  <si>
    <t>Goldendale</t>
  </si>
  <si>
    <t>13301</t>
  </si>
  <si>
    <t>Grand Coulee Dam</t>
  </si>
  <si>
    <t>39200</t>
  </si>
  <si>
    <t>Grandview</t>
  </si>
  <si>
    <t>39204</t>
  </si>
  <si>
    <t>Granger</t>
  </si>
  <si>
    <t>31332</t>
  </si>
  <si>
    <t>Granite Falls</t>
  </si>
  <si>
    <t>23054</t>
  </si>
  <si>
    <t>Grapeview</t>
  </si>
  <si>
    <t>32312</t>
  </si>
  <si>
    <t>Great Northern</t>
  </si>
  <si>
    <t>06103</t>
  </si>
  <si>
    <t>Green Mountain</t>
  </si>
  <si>
    <t>34324</t>
  </si>
  <si>
    <t>Griffin</t>
  </si>
  <si>
    <t>22204</t>
  </si>
  <si>
    <t>Harrington</t>
  </si>
  <si>
    <t>39203</t>
  </si>
  <si>
    <t>Highland</t>
  </si>
  <si>
    <t>17401</t>
  </si>
  <si>
    <t>Highline</t>
  </si>
  <si>
    <t>06098</t>
  </si>
  <si>
    <t>Hockinson</t>
  </si>
  <si>
    <t>23404</t>
  </si>
  <si>
    <t>Hood Canal</t>
  </si>
  <si>
    <t>14028</t>
  </si>
  <si>
    <t>Hoquiam</t>
  </si>
  <si>
    <t>27902</t>
  </si>
  <si>
    <t>Impact Commencement Bay Charter</t>
  </si>
  <si>
    <t>17911</t>
  </si>
  <si>
    <t>Impact Puget Sound Elem Charter</t>
  </si>
  <si>
    <t>17916</t>
  </si>
  <si>
    <t>Impact Salish Sea Charter</t>
  </si>
  <si>
    <t>10070</t>
  </si>
  <si>
    <t>Inchelium</t>
  </si>
  <si>
    <t>31063</t>
  </si>
  <si>
    <t>Index</t>
  </si>
  <si>
    <t>36901</t>
  </si>
  <si>
    <t>Innovation Charter School (Willow)</t>
  </si>
  <si>
    <t>17411</t>
  </si>
  <si>
    <t>Issaquah</t>
  </si>
  <si>
    <t>11056</t>
  </si>
  <si>
    <t>Kahlotus</t>
  </si>
  <si>
    <t>08402</t>
  </si>
  <si>
    <t>Kalama</t>
  </si>
  <si>
    <t>10003</t>
  </si>
  <si>
    <t>Keller</t>
  </si>
  <si>
    <t>08458</t>
  </si>
  <si>
    <t>Kelso</t>
  </si>
  <si>
    <t>03017</t>
  </si>
  <si>
    <t>Kennewick</t>
  </si>
  <si>
    <t>17415</t>
  </si>
  <si>
    <t>Kent</t>
  </si>
  <si>
    <t>33212</t>
  </si>
  <si>
    <t>Kettle Falls</t>
  </si>
  <si>
    <t>03052</t>
  </si>
  <si>
    <t>Kiona-Benton</t>
  </si>
  <si>
    <t>19403</t>
  </si>
  <si>
    <t>Kittitas</t>
  </si>
  <si>
    <t>20402</t>
  </si>
  <si>
    <t>Klickitat</t>
  </si>
  <si>
    <t>06101</t>
  </si>
  <si>
    <t>La Center</t>
  </si>
  <si>
    <t>29311</t>
  </si>
  <si>
    <t>La Conner</t>
  </si>
  <si>
    <t>38126</t>
  </si>
  <si>
    <t>LaCrosse</t>
  </si>
  <si>
    <t>04129</t>
  </si>
  <si>
    <t>Lake Chelan</t>
  </si>
  <si>
    <t>14097</t>
  </si>
  <si>
    <t>Lake Quinault</t>
  </si>
  <si>
    <t>31004</t>
  </si>
  <si>
    <t>Lake Stevens</t>
  </si>
  <si>
    <t>17414</t>
  </si>
  <si>
    <t>Lake Washington</t>
  </si>
  <si>
    <t>31306</t>
  </si>
  <si>
    <t>Lakewood</t>
  </si>
  <si>
    <t>38264</t>
  </si>
  <si>
    <t>Lamont</t>
  </si>
  <si>
    <t>32362</t>
  </si>
  <si>
    <t>Liberty</t>
  </si>
  <si>
    <t>01158</t>
  </si>
  <si>
    <t>Lind</t>
  </si>
  <si>
    <t>08122</t>
  </si>
  <si>
    <t>Longview</t>
  </si>
  <si>
    <t>33183</t>
  </si>
  <si>
    <t>Loon Lake</t>
  </si>
  <si>
    <t>28144</t>
  </si>
  <si>
    <t>Lopez Island</t>
  </si>
  <si>
    <t>32903</t>
  </si>
  <si>
    <t>Lumen Charter</t>
  </si>
  <si>
    <t>20406</t>
  </si>
  <si>
    <t>Lyle</t>
  </si>
  <si>
    <t>37504</t>
  </si>
  <si>
    <t>Lynden</t>
  </si>
  <si>
    <t>39120</t>
  </si>
  <si>
    <t>Mabton</t>
  </si>
  <si>
    <t>09207</t>
  </si>
  <si>
    <t>Mansfield</t>
  </si>
  <si>
    <t>04019</t>
  </si>
  <si>
    <t>Manson</t>
  </si>
  <si>
    <t>23311</t>
  </si>
  <si>
    <t>Mary M Knight</t>
  </si>
  <si>
    <t>33207</t>
  </si>
  <si>
    <t>Mary Walker</t>
  </si>
  <si>
    <t>31025</t>
  </si>
  <si>
    <t>Marysville</t>
  </si>
  <si>
    <t>14065</t>
  </si>
  <si>
    <t>McCleary</t>
  </si>
  <si>
    <t>32354</t>
  </si>
  <si>
    <t>Mead</t>
  </si>
  <si>
    <t>32326</t>
  </si>
  <si>
    <t>Medical Lake</t>
  </si>
  <si>
    <t>17400</t>
  </si>
  <si>
    <t>Mercer Island</t>
  </si>
  <si>
    <t>37505</t>
  </si>
  <si>
    <t>Meridian</t>
  </si>
  <si>
    <t>24350</t>
  </si>
  <si>
    <t>Methow Valley</t>
  </si>
  <si>
    <t>30031</t>
  </si>
  <si>
    <t>Mill A</t>
  </si>
  <si>
    <t>31103</t>
  </si>
  <si>
    <t>Monroe</t>
  </si>
  <si>
    <t>14066</t>
  </si>
  <si>
    <t>Montesano</t>
  </si>
  <si>
    <t>21214</t>
  </si>
  <si>
    <t>Morton</t>
  </si>
  <si>
    <t>13161</t>
  </si>
  <si>
    <t>Moses Lake</t>
  </si>
  <si>
    <t>21206</t>
  </si>
  <si>
    <t>Mossyrock</t>
  </si>
  <si>
    <t>39209</t>
  </si>
  <si>
    <t>Mount Adams</t>
  </si>
  <si>
    <t>37507</t>
  </si>
  <si>
    <t xml:space="preserve">Mount Baker </t>
  </si>
  <si>
    <t>30029</t>
  </si>
  <si>
    <t>Mount Pleasant</t>
  </si>
  <si>
    <t>29320</t>
  </si>
  <si>
    <t>Mount Vernon</t>
  </si>
  <si>
    <t>31006</t>
  </si>
  <si>
    <t>Mukilteo</t>
  </si>
  <si>
    <t>39003</t>
  </si>
  <si>
    <t>Naches Valley</t>
  </si>
  <si>
    <t>21014</t>
  </si>
  <si>
    <t>Napavine</t>
  </si>
  <si>
    <t>25155</t>
  </si>
  <si>
    <t>Naselle-Grays River</t>
  </si>
  <si>
    <t>24014</t>
  </si>
  <si>
    <t>Nespelem</t>
  </si>
  <si>
    <t>26056</t>
  </si>
  <si>
    <t>Newport</t>
  </si>
  <si>
    <t>32325</t>
  </si>
  <si>
    <t>Nine Mile Falls</t>
  </si>
  <si>
    <t>37506</t>
  </si>
  <si>
    <t>Nooksack Valley</t>
  </si>
  <si>
    <t>14064</t>
  </si>
  <si>
    <t>North Beach</t>
  </si>
  <si>
    <t>11051</t>
  </si>
  <si>
    <t>North Franklin</t>
  </si>
  <si>
    <t>18400</t>
  </si>
  <si>
    <t>North Kitsap</t>
  </si>
  <si>
    <t>23403</t>
  </si>
  <si>
    <t>North Mason</t>
  </si>
  <si>
    <t>25200</t>
  </si>
  <si>
    <t>North River</t>
  </si>
  <si>
    <t>34003</t>
  </si>
  <si>
    <t>North Thurston</t>
  </si>
  <si>
    <t>33211</t>
  </si>
  <si>
    <t>Northport</t>
  </si>
  <si>
    <t>17417</t>
  </si>
  <si>
    <t>Northshore</t>
  </si>
  <si>
    <t>15201</t>
  </si>
  <si>
    <t>Oak Harbor</t>
  </si>
  <si>
    <t>38324</t>
  </si>
  <si>
    <t>Oakesdale</t>
  </si>
  <si>
    <t>14400</t>
  </si>
  <si>
    <t>Oakville</t>
  </si>
  <si>
    <t>25101</t>
  </si>
  <si>
    <t>Ocean Beach</t>
  </si>
  <si>
    <t>14172</t>
  </si>
  <si>
    <t>Ocosta</t>
  </si>
  <si>
    <t>22105</t>
  </si>
  <si>
    <t>Odessa</t>
  </si>
  <si>
    <t>24105</t>
  </si>
  <si>
    <t>Okanogan</t>
  </si>
  <si>
    <t>34111</t>
  </si>
  <si>
    <t>Olympia</t>
  </si>
  <si>
    <t>24019</t>
  </si>
  <si>
    <t>Omak</t>
  </si>
  <si>
    <t>21300</t>
  </si>
  <si>
    <t>Onalaska</t>
  </si>
  <si>
    <t>33030</t>
  </si>
  <si>
    <t>Onion Creek</t>
  </si>
  <si>
    <t>28137</t>
  </si>
  <si>
    <t>Orcas Island</t>
  </si>
  <si>
    <t>32123</t>
  </si>
  <si>
    <t>Orchard Prairie</t>
  </si>
  <si>
    <t>10065</t>
  </si>
  <si>
    <t>Orient</t>
  </si>
  <si>
    <t>09013</t>
  </si>
  <si>
    <t>Orondo</t>
  </si>
  <si>
    <t>24410</t>
  </si>
  <si>
    <t>Oroville</t>
  </si>
  <si>
    <t>27344</t>
  </si>
  <si>
    <t>Orting</t>
  </si>
  <si>
    <t>01147</t>
  </si>
  <si>
    <t>Othello</t>
  </si>
  <si>
    <t>09102</t>
  </si>
  <si>
    <t>Palisades</t>
  </si>
  <si>
    <t>38301</t>
  </si>
  <si>
    <t>Palouse</t>
  </si>
  <si>
    <t>11001</t>
  </si>
  <si>
    <t>Pasco</t>
  </si>
  <si>
    <t>24122</t>
  </si>
  <si>
    <t>Pateros</t>
  </si>
  <si>
    <t>03050</t>
  </si>
  <si>
    <t>Paterson</t>
  </si>
  <si>
    <t>21301</t>
  </si>
  <si>
    <t>Pe Ell</t>
  </si>
  <si>
    <t>27401</t>
  </si>
  <si>
    <t>Peninsula</t>
  </si>
  <si>
    <t>04901</t>
  </si>
  <si>
    <t>Pinnacles Prep Charter</t>
  </si>
  <si>
    <t>23402</t>
  </si>
  <si>
    <t>Pioneer</t>
  </si>
  <si>
    <t>12110</t>
  </si>
  <si>
    <t>Pomeroy</t>
  </si>
  <si>
    <t>05121</t>
  </si>
  <si>
    <t>Port Angeles</t>
  </si>
  <si>
    <t>16050</t>
  </si>
  <si>
    <t>Port Townsend</t>
  </si>
  <si>
    <t>36402</t>
  </si>
  <si>
    <t>Prescott</t>
  </si>
  <si>
    <t>32907</t>
  </si>
  <si>
    <t>Pride Prep Charter</t>
  </si>
  <si>
    <t>03116</t>
  </si>
  <si>
    <t>Prosser</t>
  </si>
  <si>
    <t>38267</t>
  </si>
  <si>
    <t>Pullman</t>
  </si>
  <si>
    <t>38901</t>
  </si>
  <si>
    <t>Pullman Community Montessori Charter</t>
  </si>
  <si>
    <t>27003</t>
  </si>
  <si>
    <t>Puyallup</t>
  </si>
  <si>
    <t>16020</t>
  </si>
  <si>
    <t>Queets-Clearwater</t>
  </si>
  <si>
    <t>16048</t>
  </si>
  <si>
    <t>Quilcene</t>
  </si>
  <si>
    <t>05402</t>
  </si>
  <si>
    <t>Quillayute Valley</t>
  </si>
  <si>
    <t>13144</t>
  </si>
  <si>
    <t>Quincy</t>
  </si>
  <si>
    <t>34307</t>
  </si>
  <si>
    <t>Rainier</t>
  </si>
  <si>
    <t>17908</t>
  </si>
  <si>
    <t>Rainier Prep Charter</t>
  </si>
  <si>
    <t>17910</t>
  </si>
  <si>
    <t>Rainier Valley Leadership Acad Charter</t>
  </si>
  <si>
    <t>25116</t>
  </si>
  <si>
    <t>Raymond</t>
  </si>
  <si>
    <t>22009</t>
  </si>
  <si>
    <t>Reardan-Edwall</t>
  </si>
  <si>
    <t>17403</t>
  </si>
  <si>
    <t>Renton</t>
  </si>
  <si>
    <t>10309</t>
  </si>
  <si>
    <t>Republic</t>
  </si>
  <si>
    <t>03400</t>
  </si>
  <si>
    <t>Richland</t>
  </si>
  <si>
    <t>06122</t>
  </si>
  <si>
    <t>Ridgefield</t>
  </si>
  <si>
    <t>01160</t>
  </si>
  <si>
    <t>Ritzville</t>
  </si>
  <si>
    <t>32416</t>
  </si>
  <si>
    <t>Riverside</t>
  </si>
  <si>
    <t>17407</t>
  </si>
  <si>
    <t>Riverview</t>
  </si>
  <si>
    <t>34401</t>
  </si>
  <si>
    <t>Rochester</t>
  </si>
  <si>
    <t>20403</t>
  </si>
  <si>
    <t>Roosevelt</t>
  </si>
  <si>
    <t>38320</t>
  </si>
  <si>
    <t>Rosalia</t>
  </si>
  <si>
    <t>13160</t>
  </si>
  <si>
    <t>Royal</t>
  </si>
  <si>
    <t>38322</t>
  </si>
  <si>
    <t>Saint John</t>
  </si>
  <si>
    <t>28149</t>
  </si>
  <si>
    <t>San Juan Island</t>
  </si>
  <si>
    <t>14104</t>
  </si>
  <si>
    <t>Satsop</t>
  </si>
  <si>
    <t>17001</t>
  </si>
  <si>
    <t>Seattle</t>
  </si>
  <si>
    <t>29101</t>
  </si>
  <si>
    <t>Sedro-Woolley</t>
  </si>
  <si>
    <t>39119</t>
  </si>
  <si>
    <t>Selah</t>
  </si>
  <si>
    <t>26070</t>
  </si>
  <si>
    <t>Selkirk</t>
  </si>
  <si>
    <t>05323</t>
  </si>
  <si>
    <t>Sequim</t>
  </si>
  <si>
    <t>28010</t>
  </si>
  <si>
    <t>Shaw Island</t>
  </si>
  <si>
    <t>23309</t>
  </si>
  <si>
    <t>Shelton</t>
  </si>
  <si>
    <t>17412</t>
  </si>
  <si>
    <t>Shoreline</t>
  </si>
  <si>
    <t>30002</t>
  </si>
  <si>
    <t>Skamania</t>
  </si>
  <si>
    <t>17404</t>
  </si>
  <si>
    <t>Skykomish</t>
  </si>
  <si>
    <t>31201</t>
  </si>
  <si>
    <t>Snohomish</t>
  </si>
  <si>
    <t>17410</t>
  </si>
  <si>
    <t>Snoqualmie Valley</t>
  </si>
  <si>
    <t>13156</t>
  </si>
  <si>
    <t>Soap Lake</t>
  </si>
  <si>
    <t>25118</t>
  </si>
  <si>
    <t>South Bend</t>
  </si>
  <si>
    <t>18402</t>
  </si>
  <si>
    <t>South Kitsap</t>
  </si>
  <si>
    <t>15206</t>
  </si>
  <si>
    <t>South Whidbey</t>
  </si>
  <si>
    <t>23042</t>
  </si>
  <si>
    <t>Southside</t>
  </si>
  <si>
    <t>32081</t>
  </si>
  <si>
    <t>Spokane</t>
  </si>
  <si>
    <t>32901</t>
  </si>
  <si>
    <t>Spokane International Academy Charter</t>
  </si>
  <si>
    <t>22008</t>
  </si>
  <si>
    <t>Sprague</t>
  </si>
  <si>
    <t>31401</t>
  </si>
  <si>
    <t>Stanwood-Camano</t>
  </si>
  <si>
    <t>11054</t>
  </si>
  <si>
    <t>Star</t>
  </si>
  <si>
    <t>07035</t>
  </si>
  <si>
    <t>Starbuck</t>
  </si>
  <si>
    <t>04069</t>
  </si>
  <si>
    <t>Stehekin</t>
  </si>
  <si>
    <t>27001</t>
  </si>
  <si>
    <t>Steilacoom Historical</t>
  </si>
  <si>
    <t>38304</t>
  </si>
  <si>
    <t>Steptoe</t>
  </si>
  <si>
    <t>30303</t>
  </si>
  <si>
    <t>Stevenson-Carson</t>
  </si>
  <si>
    <t>31311</t>
  </si>
  <si>
    <t>Sultan</t>
  </si>
  <si>
    <t>17905</t>
  </si>
  <si>
    <t>Summit Atlas Charter</t>
  </si>
  <si>
    <t>27905</t>
  </si>
  <si>
    <t>Summit Olympus Charter</t>
  </si>
  <si>
    <t>17902</t>
  </si>
  <si>
    <t>Summit Sierra Charter</t>
  </si>
  <si>
    <t>33202</t>
  </si>
  <si>
    <t>Summit Valley</t>
  </si>
  <si>
    <t>27320</t>
  </si>
  <si>
    <t>Sumner-Bonney Lake</t>
  </si>
  <si>
    <t>39201</t>
  </si>
  <si>
    <t>Sunnyside</t>
  </si>
  <si>
    <t>900</t>
  </si>
  <si>
    <t>Suquamish Tribal Education Department</t>
  </si>
  <si>
    <t>27010</t>
  </si>
  <si>
    <t>Tacoma</t>
  </si>
  <si>
    <t>14077</t>
  </si>
  <si>
    <t>Taholah</t>
  </si>
  <si>
    <t>17409</t>
  </si>
  <si>
    <t>Tahoma</t>
  </si>
  <si>
    <t>38265</t>
  </si>
  <si>
    <t>Tekoa</t>
  </si>
  <si>
    <t>34402</t>
  </si>
  <si>
    <t>Tenino</t>
  </si>
  <si>
    <t>19400</t>
  </si>
  <si>
    <t>Thorp</t>
  </si>
  <si>
    <t>21237</t>
  </si>
  <si>
    <t>Toledo</t>
  </si>
  <si>
    <t>24404</t>
  </si>
  <si>
    <t>Tonasket</t>
  </si>
  <si>
    <t>39202</t>
  </si>
  <si>
    <t>Toppenish</t>
  </si>
  <si>
    <t>36300</t>
  </si>
  <si>
    <t>Touchet</t>
  </si>
  <si>
    <t>08130</t>
  </si>
  <si>
    <t>Toutle Lake</t>
  </si>
  <si>
    <t>20400</t>
  </si>
  <si>
    <t>Trout Lake</t>
  </si>
  <si>
    <t>17406</t>
  </si>
  <si>
    <t>Tukwila</t>
  </si>
  <si>
    <t>34033</t>
  </si>
  <si>
    <t>Tumwater</t>
  </si>
  <si>
    <t>39002</t>
  </si>
  <si>
    <t>Union Gap</t>
  </si>
  <si>
    <t>27083</t>
  </si>
  <si>
    <t>University Place</t>
  </si>
  <si>
    <t>33070</t>
  </si>
  <si>
    <t>Valley</t>
  </si>
  <si>
    <t>06037</t>
  </si>
  <si>
    <t>Vancouver</t>
  </si>
  <si>
    <t>17402</t>
  </si>
  <si>
    <t>Vashon Island</t>
  </si>
  <si>
    <t>WA State School for the Blind</t>
  </si>
  <si>
    <t>WA State School for the Deaf (CDHY)</t>
  </si>
  <si>
    <t>35200</t>
  </si>
  <si>
    <t>Wahkiakum</t>
  </si>
  <si>
    <t>13073</t>
  </si>
  <si>
    <t>Wahluke</t>
  </si>
  <si>
    <t>36401</t>
  </si>
  <si>
    <t>Waitsburg</t>
  </si>
  <si>
    <t>36140</t>
  </si>
  <si>
    <t>Walla Walla</t>
  </si>
  <si>
    <t>39207</t>
  </si>
  <si>
    <t>Wapato</t>
  </si>
  <si>
    <t>13146</t>
  </si>
  <si>
    <t>Warden</t>
  </si>
  <si>
    <t>06112</t>
  </si>
  <si>
    <t>Washougal</t>
  </si>
  <si>
    <t>01109</t>
  </si>
  <si>
    <t>Washtucna</t>
  </si>
  <si>
    <t>09209</t>
  </si>
  <si>
    <t>Waterville</t>
  </si>
  <si>
    <t>33049</t>
  </si>
  <si>
    <t>Wellpinit</t>
  </si>
  <si>
    <t>04246</t>
  </si>
  <si>
    <t>Wenatchee</t>
  </si>
  <si>
    <t>39208</t>
  </si>
  <si>
    <t>West Valley No. 208 (Yakima)</t>
  </si>
  <si>
    <t>32363</t>
  </si>
  <si>
    <t>West Valley No. 363 (Spokane)</t>
  </si>
  <si>
    <t>37902</t>
  </si>
  <si>
    <t>Whatcom Intergenerational Charter</t>
  </si>
  <si>
    <t>21303</t>
  </si>
  <si>
    <t>White Pass</t>
  </si>
  <si>
    <t>27416</t>
  </si>
  <si>
    <t>White River</t>
  </si>
  <si>
    <t>20405</t>
  </si>
  <si>
    <t>White Salmon</t>
  </si>
  <si>
    <t>17917</t>
  </si>
  <si>
    <t>Why Not You Academy Charter</t>
  </si>
  <si>
    <t>22200</t>
  </si>
  <si>
    <t>Wilbur</t>
  </si>
  <si>
    <t>25160</t>
  </si>
  <si>
    <t>Willapa Valley</t>
  </si>
  <si>
    <t>13167</t>
  </si>
  <si>
    <t>Wilson Creek</t>
  </si>
  <si>
    <t>21232</t>
  </si>
  <si>
    <t>Winlock</t>
  </si>
  <si>
    <t>14117</t>
  </si>
  <si>
    <t>Wishkah Valley</t>
  </si>
  <si>
    <t>20094</t>
  </si>
  <si>
    <t>Wishram</t>
  </si>
  <si>
    <t>08404</t>
  </si>
  <si>
    <t>Woodland</t>
  </si>
  <si>
    <t>39007</t>
  </si>
  <si>
    <t>Yakima</t>
  </si>
  <si>
    <t>34002</t>
  </si>
  <si>
    <t>Yelm</t>
  </si>
  <si>
    <t>39205</t>
  </si>
  <si>
    <t>Zillah</t>
  </si>
  <si>
    <t xml:space="preserve">Insert County/District number in Cell B6. Insert data in cells highlighted in green. </t>
  </si>
  <si>
    <t>Total Direct Expenditures (Sum of Lines 1 through 5)</t>
  </si>
  <si>
    <t>- Expenditures for Supplemental Contracts</t>
  </si>
  <si>
    <t>- Expenditures for Summer School</t>
  </si>
  <si>
    <t>- CCEIS Mandatory Set-aside</t>
  </si>
  <si>
    <t>+ Indirect Expenditures</t>
  </si>
  <si>
    <t>Net Expenditures (Line 6 - Line 7 - Line 8 - Line 9 + Line 10)</t>
  </si>
  <si>
    <t xml:space="preserve">Account 3121 - Gen Apport Generated by Sp Ed </t>
  </si>
  <si>
    <t>Account 4126 - St Institutions Sp Ed</t>
  </si>
  <si>
    <t>Account 4321 - St Medicaid Reimbursement</t>
  </si>
  <si>
    <t>Account 4326 - St Institutions Sp Ed</t>
  </si>
  <si>
    <t>Account 5329 - Federal Impact Aid</t>
  </si>
  <si>
    <t xml:space="preserve">Account 6121 - Federal Medicaid Reimbursements  </t>
  </si>
  <si>
    <t>+ Federal Carryover</t>
  </si>
  <si>
    <t>Account 6124 - Federal Flow-Through and Carryover</t>
  </si>
  <si>
    <t>+ Federal Flow-Through (FP 267)</t>
  </si>
  <si>
    <t>+ Federal Safety Net Award</t>
  </si>
  <si>
    <t>Account 6257 - Institutions Neglected and Delinquint</t>
  </si>
  <si>
    <t>Account 6321 - Medicaid Reimbursements</t>
  </si>
  <si>
    <t>Account 6324 - Federal Special Ed-Supplemental</t>
  </si>
  <si>
    <t>Account 7121 - Revenue From Other Districts</t>
  </si>
  <si>
    <t>Transfer of Special Ed Funding From Other Districts</t>
  </si>
  <si>
    <t>Monetary Donations Designated for Special Education</t>
  </si>
  <si>
    <t>Other Sources</t>
  </si>
  <si>
    <t>Maximum Capacity for Safety Net Awards</t>
  </si>
  <si>
    <t>Total</t>
  </si>
  <si>
    <t>A</t>
  </si>
  <si>
    <t>B</t>
  </si>
  <si>
    <t>Total Year-to-Date Expenditures for Program 21.</t>
  </si>
  <si>
    <t>C</t>
  </si>
  <si>
    <t>D</t>
  </si>
  <si>
    <t>Total Year-to-Date Expenditures for Program 24.</t>
  </si>
  <si>
    <t>E</t>
  </si>
  <si>
    <t>Total Year-to-Date Expenditures for Program 26.</t>
  </si>
  <si>
    <t>F</t>
  </si>
  <si>
    <t>CoDist</t>
  </si>
  <si>
    <t>District</t>
  </si>
  <si>
    <t>Provide explanation of differences if there is a 10% difference between budgeted expenditures and annualized year to date expenditures. When there is a 10% difference, the cell will be highlighted in green. If no explanation is provided between the budgeted and annualized expenditures, the lesser number will be used in the analysis for the district's demonstration of capacity for Safety Net funding.</t>
  </si>
  <si>
    <t>Month</t>
  </si>
  <si>
    <t>February</t>
  </si>
  <si>
    <t>Program 21</t>
  </si>
  <si>
    <t>Program 24</t>
  </si>
  <si>
    <t>Program 26</t>
  </si>
  <si>
    <t>Program 29</t>
  </si>
  <si>
    <t>Activity</t>
  </si>
  <si>
    <t>Object</t>
  </si>
  <si>
    <t>Budgeted</t>
  </si>
  <si>
    <t>YTD</t>
  </si>
  <si>
    <t>Annualized YTD</t>
  </si>
  <si>
    <t>Difference between Budgeted and AYTD</t>
  </si>
  <si>
    <t>Explanation of difference</t>
  </si>
  <si>
    <t>Catalyst Public Schools</t>
  </si>
  <si>
    <t>Clover Park</t>
  </si>
  <si>
    <t>Mount Baker</t>
  </si>
  <si>
    <t>06901</t>
  </si>
  <si>
    <t>Summit Public School: Atlas</t>
  </si>
  <si>
    <t>34974</t>
  </si>
  <si>
    <t>34975</t>
  </si>
  <si>
    <t>Battle Ground School District</t>
  </si>
  <si>
    <t>Bellevue School District</t>
  </si>
  <si>
    <t>Bethel School District</t>
  </si>
  <si>
    <t>Boistfort School District</t>
  </si>
  <si>
    <t>Centralia School District</t>
  </si>
  <si>
    <t>Chewelah School District</t>
  </si>
  <si>
    <t>Clover Park School District</t>
  </si>
  <si>
    <t>Eastmont School District</t>
  </si>
  <si>
    <t>Edmonds School District</t>
  </si>
  <si>
    <t>Educational Service District 112</t>
  </si>
  <si>
    <t>Ellensburg School District</t>
  </si>
  <si>
    <t>Federal Way School District</t>
  </si>
  <si>
    <t>Granite Falls School District</t>
  </si>
  <si>
    <t>Hockinson School District</t>
  </si>
  <si>
    <t>Issaquah School District</t>
  </si>
  <si>
    <t>Kennewick School District</t>
  </si>
  <si>
    <t>Kent School District</t>
  </si>
  <si>
    <t>Medical Lake School District</t>
  </si>
  <si>
    <t>Montesano School District</t>
  </si>
  <si>
    <t>Morton School District</t>
  </si>
  <si>
    <t>Mossyrock School District</t>
  </si>
  <si>
    <t>Napavine School District</t>
  </si>
  <si>
    <t>North Franklin School District</t>
  </si>
  <si>
    <t>North Mason School District</t>
  </si>
  <si>
    <t>North Thurston Public Schools</t>
  </si>
  <si>
    <t>Ocosta School District</t>
  </si>
  <si>
    <t>Omak School District</t>
  </si>
  <si>
    <t>Oroville School District</t>
  </si>
  <si>
    <t>Othello School District</t>
  </si>
  <si>
    <t>Pasco School District</t>
  </si>
  <si>
    <t>Pe Ell School District</t>
  </si>
  <si>
    <t>Port Angeles School District</t>
  </si>
  <si>
    <t>Port Townsend School District</t>
  </si>
  <si>
    <t>Prosser School District</t>
  </si>
  <si>
    <t>Pullman School District</t>
  </si>
  <si>
    <t>Puyallup School District</t>
  </si>
  <si>
    <t>Sedro-Woolley School District</t>
  </si>
  <si>
    <t>Snohomish School District</t>
  </si>
  <si>
    <t>South Bend School District</t>
  </si>
  <si>
    <t>Toledo School District</t>
  </si>
  <si>
    <t>University Place School District</t>
  </si>
  <si>
    <t>Wahluke School District</t>
  </si>
  <si>
    <t>Washougal School District</t>
  </si>
  <si>
    <t>Wenatchee School District</t>
  </si>
  <si>
    <t>Winlock School District</t>
  </si>
  <si>
    <t>Washtucna School District</t>
  </si>
  <si>
    <t>Lind School District</t>
  </si>
  <si>
    <t>Ritzville School District</t>
  </si>
  <si>
    <t>Clarkston School District</t>
  </si>
  <si>
    <t>Asotin-Anatone School District</t>
  </si>
  <si>
    <t>Paterson School District</t>
  </si>
  <si>
    <t>Kiona-Benton City School District</t>
  </si>
  <si>
    <t>Finley School District</t>
  </si>
  <si>
    <t>Richland School District</t>
  </si>
  <si>
    <t>Manson School District</t>
  </si>
  <si>
    <t>Entiat School District</t>
  </si>
  <si>
    <t>Lake Chelan School District</t>
  </si>
  <si>
    <t>Cascade School District</t>
  </si>
  <si>
    <t>Pinnacles Prep</t>
  </si>
  <si>
    <t>Crescent School District</t>
  </si>
  <si>
    <t>Sequim School District</t>
  </si>
  <si>
    <t>Cape Flattery School District</t>
  </si>
  <si>
    <t>Quillayute Valley School District</t>
  </si>
  <si>
    <t>05903</t>
  </si>
  <si>
    <t>Vancouver School District</t>
  </si>
  <si>
    <t>La Center School District</t>
  </si>
  <si>
    <t>Evergreen School District (Clark)</t>
  </si>
  <si>
    <t>Camas School District</t>
  </si>
  <si>
    <t>Ridgefield School District</t>
  </si>
  <si>
    <t>Rooted School Vancouver</t>
  </si>
  <si>
    <t>Starbuck School District</t>
  </si>
  <si>
    <t>Longview School District</t>
  </si>
  <si>
    <t>Castle Rock School District</t>
  </si>
  <si>
    <t>Woodland School District</t>
  </si>
  <si>
    <t>Kelso School District</t>
  </si>
  <si>
    <t>Bridgeport School District</t>
  </si>
  <si>
    <t>Keller School District</t>
  </si>
  <si>
    <t>Curlew School District</t>
  </si>
  <si>
    <t>Orient School District</t>
  </si>
  <si>
    <t>Inchelium School District</t>
  </si>
  <si>
    <t>Republic School District</t>
  </si>
  <si>
    <t>Pomeroy School District</t>
  </si>
  <si>
    <t>Quincy School District</t>
  </si>
  <si>
    <t>Warden School District</t>
  </si>
  <si>
    <t>Coulee-Hartline School District</t>
  </si>
  <si>
    <t>Soap Lake School District</t>
  </si>
  <si>
    <t>Royal School District</t>
  </si>
  <si>
    <t>Moses Lake School District</t>
  </si>
  <si>
    <t>Ephrata School District</t>
  </si>
  <si>
    <t>Wilson Creek School District</t>
  </si>
  <si>
    <t>Grand Coulee Dam School District</t>
  </si>
  <si>
    <t>Aberdeen School District</t>
  </si>
  <si>
    <t>Hoquiam School District</t>
  </si>
  <si>
    <t>McCleary School District</t>
  </si>
  <si>
    <t>Elma School District</t>
  </si>
  <si>
    <t>Taholah School District</t>
  </si>
  <si>
    <t>Cosmopolis School District</t>
  </si>
  <si>
    <t>Satsop School District</t>
  </si>
  <si>
    <t>Wishkah Valley School District</t>
  </si>
  <si>
    <t>Oakville School District</t>
  </si>
  <si>
    <t>Oak Harbor School District</t>
  </si>
  <si>
    <t>Coupeville School District</t>
  </si>
  <si>
    <t>South Whidbey School District</t>
  </si>
  <si>
    <t>Queets-Clearwater School District</t>
  </si>
  <si>
    <t>Brinnon School District</t>
  </si>
  <si>
    <t>Quilcene School District</t>
  </si>
  <si>
    <t>Chimacum School District</t>
  </si>
  <si>
    <t>Enumclaw School District</t>
  </si>
  <si>
    <t>Mercer Island School District</t>
  </si>
  <si>
    <t>Highline School District</t>
  </si>
  <si>
    <t>Vashon Island School District</t>
  </si>
  <si>
    <t>Renton School District</t>
  </si>
  <si>
    <t>Skykomish School District</t>
  </si>
  <si>
    <t>Tukwila School District</t>
  </si>
  <si>
    <t>Riverview School District</t>
  </si>
  <si>
    <t>Auburn School District</t>
  </si>
  <si>
    <t>Tahoma School District</t>
  </si>
  <si>
    <t>Snoqualmie Valley School District</t>
  </si>
  <si>
    <t>Shoreline School District</t>
  </si>
  <si>
    <t>Lake Washington School District</t>
  </si>
  <si>
    <t>Northshore School District</t>
  </si>
  <si>
    <t>Summit Public School: Sierra</t>
  </si>
  <si>
    <t>17903</t>
  </si>
  <si>
    <t>Rainier Prep Charter School District</t>
  </si>
  <si>
    <t>Impact | Puget Sound Elementary</t>
  </si>
  <si>
    <t>Impact | Salish Sea Elementary</t>
  </si>
  <si>
    <t>17919</t>
  </si>
  <si>
    <t>Impact | Black River Elementary</t>
  </si>
  <si>
    <t>Bremerton School District</t>
  </si>
  <si>
    <t>Bainbridge Island School District</t>
  </si>
  <si>
    <t>North Kitsap School District</t>
  </si>
  <si>
    <t>Central Kitsap School District</t>
  </si>
  <si>
    <t>South Kitsap School District</t>
  </si>
  <si>
    <t>18902</t>
  </si>
  <si>
    <t>Easton School District</t>
  </si>
  <si>
    <t>Thorp School District</t>
  </si>
  <si>
    <t>Kittitas School District</t>
  </si>
  <si>
    <t>Cle Elum-Roslyn School District</t>
  </si>
  <si>
    <t>Evaline School District</t>
  </si>
  <si>
    <t>Adna School District</t>
  </si>
  <si>
    <t>Onalaska School District</t>
  </si>
  <si>
    <t>Chehalis School District</t>
  </si>
  <si>
    <t>White Pass School District</t>
  </si>
  <si>
    <t>Sprague School District</t>
  </si>
  <si>
    <t>Reardan-Edwall School District</t>
  </si>
  <si>
    <t>Almira School District</t>
  </si>
  <si>
    <t>Creston School District</t>
  </si>
  <si>
    <t>Odessa School District</t>
  </si>
  <si>
    <t>Wilbur School District</t>
  </si>
  <si>
    <t>Harrington School District</t>
  </si>
  <si>
    <t>Davenport School District</t>
  </si>
  <si>
    <t>Southside School District</t>
  </si>
  <si>
    <t>Grapeview School District</t>
  </si>
  <si>
    <t>Shelton School District</t>
  </si>
  <si>
    <t>Mary M Knight School District</t>
  </si>
  <si>
    <t>Pioneer School District</t>
  </si>
  <si>
    <t>Hood Canal School District</t>
  </si>
  <si>
    <t>Okanogan School District</t>
  </si>
  <si>
    <t>Brewster School District</t>
  </si>
  <si>
    <t>Pateros School District</t>
  </si>
  <si>
    <t>Tonasket School District</t>
  </si>
  <si>
    <t>24915</t>
  </si>
  <si>
    <t>Raymond School District</t>
  </si>
  <si>
    <t>Willapa Valley School District</t>
  </si>
  <si>
    <t>North River School District</t>
  </si>
  <si>
    <t>Newport School District</t>
  </si>
  <si>
    <t>Cusick School District</t>
  </si>
  <si>
    <t>Selkirk School District</t>
  </si>
  <si>
    <t>Steilacoom Hist. School District</t>
  </si>
  <si>
    <t>Tacoma School District</t>
  </si>
  <si>
    <t>Carbonado School District</t>
  </si>
  <si>
    <t>Sumner School District</t>
  </si>
  <si>
    <t>Dieringer School District</t>
  </si>
  <si>
    <t>Orting School District</t>
  </si>
  <si>
    <t>Peninsula School District</t>
  </si>
  <si>
    <t>Franklin Pierce School District</t>
  </si>
  <si>
    <t>Eatonville School District</t>
  </si>
  <si>
    <t>White River School District</t>
  </si>
  <si>
    <t>Fife School District</t>
  </si>
  <si>
    <t>27901</t>
  </si>
  <si>
    <t>Impact | Commencement Bay Elementary</t>
  </si>
  <si>
    <t>Summit Public School: Olympus</t>
  </si>
  <si>
    <t>Orcas Island School District</t>
  </si>
  <si>
    <t>Lopez School District</t>
  </si>
  <si>
    <t>San Juan Island School District</t>
  </si>
  <si>
    <t>Concrete School District</t>
  </si>
  <si>
    <t>Burlington-Edison School District</t>
  </si>
  <si>
    <t>Anacortes School District</t>
  </si>
  <si>
    <t>La Conner School District</t>
  </si>
  <si>
    <t>Conway School District</t>
  </si>
  <si>
    <t>Mount Vernon School District</t>
  </si>
  <si>
    <t>Everett School District</t>
  </si>
  <si>
    <t>Lake Stevens School District</t>
  </si>
  <si>
    <t>Mukilteo School District</t>
  </si>
  <si>
    <t>Arlington School District</t>
  </si>
  <si>
    <t>Marysville School District</t>
  </si>
  <si>
    <t>Monroe School District</t>
  </si>
  <si>
    <t>Lakewood School District</t>
  </si>
  <si>
    <t>Sultan School District</t>
  </si>
  <si>
    <t>Darrington School District</t>
  </si>
  <si>
    <t>Stanwood-Camano School District</t>
  </si>
  <si>
    <t>Spokane School District</t>
  </si>
  <si>
    <t>Orchard Prairie School District</t>
  </si>
  <si>
    <t>Great Northern School District</t>
  </si>
  <si>
    <t>Nine Mile Falls School District</t>
  </si>
  <si>
    <t>Mead School District</t>
  </si>
  <si>
    <t>Central Valley School District</t>
  </si>
  <si>
    <t>Freeman School District</t>
  </si>
  <si>
    <t>Cheney School District</t>
  </si>
  <si>
    <t>East Valley School District (Spokane)</t>
  </si>
  <si>
    <t>Liberty School District</t>
  </si>
  <si>
    <t>West Valley School District (Spokane)</t>
  </si>
  <si>
    <t>Deer Park School District</t>
  </si>
  <si>
    <t>Riverside School District</t>
  </si>
  <si>
    <t>Spokane International Academy</t>
  </si>
  <si>
    <t>Lumen Public School</t>
  </si>
  <si>
    <t>PRIDE Prep Charter School District</t>
  </si>
  <si>
    <t>Onion Creek School District</t>
  </si>
  <si>
    <t>Valley School District</t>
  </si>
  <si>
    <t>Colville School District</t>
  </si>
  <si>
    <t>Loon Lake School District</t>
  </si>
  <si>
    <t>Summit Valley School District</t>
  </si>
  <si>
    <t>Evergreen School District (Stevens)</t>
  </si>
  <si>
    <t>Columbia (Stevens) School District</t>
  </si>
  <si>
    <t>Mary Walker School District</t>
  </si>
  <si>
    <t>Northport School District</t>
  </si>
  <si>
    <t>Kettle Falls School District</t>
  </si>
  <si>
    <t>Yelm School District</t>
  </si>
  <si>
    <t>Tumwater School District</t>
  </si>
  <si>
    <t>Olympia School District</t>
  </si>
  <si>
    <t>Rainier School District</t>
  </si>
  <si>
    <t>Griffin School District</t>
  </si>
  <si>
    <t>Rochester School District</t>
  </si>
  <si>
    <t>Tenino School District</t>
  </si>
  <si>
    <t>34901</t>
  </si>
  <si>
    <t>Office of the Governor (Sch for Blind)</t>
  </si>
  <si>
    <t>Washington Center for Deaf and Hard of Hearing Youth</t>
  </si>
  <si>
    <t>Walla Walla Public Schools</t>
  </si>
  <si>
    <t>College Place School District</t>
  </si>
  <si>
    <t>Touchet School District</t>
  </si>
  <si>
    <t>Columbia (Walla Walla) School District</t>
  </si>
  <si>
    <t>Prescott School District</t>
  </si>
  <si>
    <t>Bellingham School District</t>
  </si>
  <si>
    <t>Ferndale School District</t>
  </si>
  <si>
    <t>Blaine School District</t>
  </si>
  <si>
    <t>Lynden School District</t>
  </si>
  <si>
    <t>Meridian School District</t>
  </si>
  <si>
    <t>Nooksack Valley School District</t>
  </si>
  <si>
    <t>Mount Baker School District</t>
  </si>
  <si>
    <t>Whatcom Intergenerational High School</t>
  </si>
  <si>
    <t>37903</t>
  </si>
  <si>
    <t>LaCrosse School District</t>
  </si>
  <si>
    <t>Lamont School District</t>
  </si>
  <si>
    <t>Tekoa School District</t>
  </si>
  <si>
    <t>Colfax School District</t>
  </si>
  <si>
    <t>Palouse School District</t>
  </si>
  <si>
    <t>Garfield School District</t>
  </si>
  <si>
    <t>Steptoe School District</t>
  </si>
  <si>
    <t>Colton School District</t>
  </si>
  <si>
    <t>Endicott School District</t>
  </si>
  <si>
    <t>Rosalia School District</t>
  </si>
  <si>
    <t>St. John School District</t>
  </si>
  <si>
    <t>Oakesdale School District</t>
  </si>
  <si>
    <t>Pullman Community Montessori</t>
  </si>
  <si>
    <t>Union Gap School District</t>
  </si>
  <si>
    <t>Naches Valley School District</t>
  </si>
  <si>
    <t>Yakima School District</t>
  </si>
  <si>
    <t>East Valley School District (Yakima)</t>
  </si>
  <si>
    <t>Selah School District</t>
  </si>
  <si>
    <t>Mabton School District</t>
  </si>
  <si>
    <t>Grandview School District</t>
  </si>
  <si>
    <t>Sunnyside School District</t>
  </si>
  <si>
    <t>Toppenish School District</t>
  </si>
  <si>
    <t>Highland School District</t>
  </si>
  <si>
    <t>Granger School District</t>
  </si>
  <si>
    <t>Zillah School District</t>
  </si>
  <si>
    <t>Wapato School District</t>
  </si>
  <si>
    <t>West Valley School District (Yakima)</t>
  </si>
  <si>
    <t>Mount Adams School District</t>
  </si>
  <si>
    <t>39901</t>
  </si>
  <si>
    <t xml:space="preserve">Source: </t>
  </si>
  <si>
    <t>https://ospi.k12.wa.us/policy-funding/school-apportionment/instructions-and-tools/indirect-cost-rates</t>
  </si>
  <si>
    <t>For use with federal programs, as allowable, in:</t>
  </si>
  <si>
    <t>Name</t>
  </si>
  <si>
    <t>State Average</t>
  </si>
  <si>
    <t>ABERDEEN</t>
  </si>
  <si>
    <t>ADNA</t>
  </si>
  <si>
    <t>ALMIRA</t>
  </si>
  <si>
    <t>ANACORTES</t>
  </si>
  <si>
    <t>ARLINGTON</t>
  </si>
  <si>
    <t>ASOTIN</t>
  </si>
  <si>
    <t>AUBURN</t>
  </si>
  <si>
    <t>BAINBRIDGE</t>
  </si>
  <si>
    <t>BATTLE GROUND</t>
  </si>
  <si>
    <t>BELLEVUE</t>
  </si>
  <si>
    <t>BELLINGHAM</t>
  </si>
  <si>
    <t>BENGE</t>
  </si>
  <si>
    <t>BETHEL</t>
  </si>
  <si>
    <t>BICKLETON</t>
  </si>
  <si>
    <t>BLAINE</t>
  </si>
  <si>
    <t>BOISTFORT</t>
  </si>
  <si>
    <t>BREMERTON</t>
  </si>
  <si>
    <t>BREWSTER</t>
  </si>
  <si>
    <t>BRIDGEPORT</t>
  </si>
  <si>
    <t>BRINNON</t>
  </si>
  <si>
    <t>BURLINGTON EDISON</t>
  </si>
  <si>
    <t>CAMAS</t>
  </si>
  <si>
    <t>CAPE FLATTERY</t>
  </si>
  <si>
    <t>CARBONADO</t>
  </si>
  <si>
    <t>CASCADE</t>
  </si>
  <si>
    <t>CASHMERE</t>
  </si>
  <si>
    <t>CASTLE ROCK</t>
  </si>
  <si>
    <t>CATALYST CHARTER</t>
  </si>
  <si>
    <t>CENTERVILLE</t>
  </si>
  <si>
    <t>CENTRAL KITSAP</t>
  </si>
  <si>
    <t>CENTRAL VALLEY</t>
  </si>
  <si>
    <t>CENTRALIA</t>
  </si>
  <si>
    <t>CHEHALIS</t>
  </si>
  <si>
    <t>CHENEY</t>
  </si>
  <si>
    <t>CHEWELAH</t>
  </si>
  <si>
    <t>CHIEF LESCHI TRIBAL SCHOOL</t>
  </si>
  <si>
    <t>CHIMACUM</t>
  </si>
  <si>
    <t>CLARKSTON</t>
  </si>
  <si>
    <t>CLE ELUM-ROSLYN</t>
  </si>
  <si>
    <t>CLOVER PARK</t>
  </si>
  <si>
    <t>COLFAX</t>
  </si>
  <si>
    <t>COLLEGE PLACE</t>
  </si>
  <si>
    <t>COLTON</t>
  </si>
  <si>
    <t>COLUMBIA-Stevens</t>
  </si>
  <si>
    <t>COLUMBIA-Walla Walla</t>
  </si>
  <si>
    <t>COLVILLE</t>
  </si>
  <si>
    <t>CONCRETE</t>
  </si>
  <si>
    <t>CONWAY</t>
  </si>
  <si>
    <t>COSMOPOLIS</t>
  </si>
  <si>
    <t>COULEE-HARTLINE</t>
  </si>
  <si>
    <t>COUPEVILLE</t>
  </si>
  <si>
    <t>CRESCENT</t>
  </si>
  <si>
    <t>CRESTON</t>
  </si>
  <si>
    <t>CURLEW</t>
  </si>
  <si>
    <t>CUSICK</t>
  </si>
  <si>
    <t>DAMMAN</t>
  </si>
  <si>
    <t>DARRINGTON</t>
  </si>
  <si>
    <t>DAVENPORT</t>
  </si>
  <si>
    <t>DAYTON</t>
  </si>
  <si>
    <t>DEER PARK</t>
  </si>
  <si>
    <t>DIERINGER</t>
  </si>
  <si>
    <t>DIXIE</t>
  </si>
  <si>
    <t>EAST VALLEY-Spokane</t>
  </si>
  <si>
    <t>EAST VALLEY-Yakima</t>
  </si>
  <si>
    <t>EASTMONT</t>
  </si>
  <si>
    <t>EASTON</t>
  </si>
  <si>
    <t>EATONVILLE</t>
  </si>
  <si>
    <t>EDMONDS</t>
  </si>
  <si>
    <t>ELLENSBURG</t>
  </si>
  <si>
    <t>ELMA</t>
  </si>
  <si>
    <t>ENDICOTT</t>
  </si>
  <si>
    <t>ENTIAT</t>
  </si>
  <si>
    <t>ENUMCLAW</t>
  </si>
  <si>
    <t>EPHRATA</t>
  </si>
  <si>
    <t>EVALINE</t>
  </si>
  <si>
    <t>EVERETT</t>
  </si>
  <si>
    <t>EVERGREEN-Clark</t>
  </si>
  <si>
    <t>EVERGREEN-Stevens</t>
  </si>
  <si>
    <t>FEDERAL WAY</t>
  </si>
  <si>
    <t>FERNDALE</t>
  </si>
  <si>
    <t>FIFE</t>
  </si>
  <si>
    <t>FINLEY</t>
  </si>
  <si>
    <t>FRANKLIN PIERCE</t>
  </si>
  <si>
    <t>FREEMAN</t>
  </si>
  <si>
    <t>GARFIELD</t>
  </si>
  <si>
    <t>GLENWOOD</t>
  </si>
  <si>
    <t>GOLDENDALE</t>
  </si>
  <si>
    <t>GRAND COULEE DAM</t>
  </si>
  <si>
    <t>GRANDVIEW</t>
  </si>
  <si>
    <t>GRANGER</t>
  </si>
  <si>
    <t>GRANITE FALLS</t>
  </si>
  <si>
    <t>GRAPEVIEW</t>
  </si>
  <si>
    <t>GREAT NORTHERN</t>
  </si>
  <si>
    <t>GREEN DOT RAINIER VALLEY</t>
  </si>
  <si>
    <t>GREEN MOUNTAIN</t>
  </si>
  <si>
    <t>GRIFFIN</t>
  </si>
  <si>
    <t>HARRINGTON</t>
  </si>
  <si>
    <t>HIGHLAND</t>
  </si>
  <si>
    <t>HIGHLINE</t>
  </si>
  <si>
    <t>HOCKINSON</t>
  </si>
  <si>
    <t>HOOD CANAL</t>
  </si>
  <si>
    <t>HOQUIAM</t>
  </si>
  <si>
    <t>IMPACT COMMENCEMENT BAY CHARTER</t>
  </si>
  <si>
    <t>IMPACT PUGET SOUND CHARTER</t>
  </si>
  <si>
    <t>IMPACT SALISH SEA CHARTER</t>
  </si>
  <si>
    <t>INCHELIUM</t>
  </si>
  <si>
    <t>INDEX</t>
  </si>
  <si>
    <t>ISSAQUAH</t>
  </si>
  <si>
    <t>KAHLOTUS</t>
  </si>
  <si>
    <t>KALAMA</t>
  </si>
  <si>
    <t>KELLER</t>
  </si>
  <si>
    <t>KELSO</t>
  </si>
  <si>
    <t>KENNEWICK</t>
  </si>
  <si>
    <t>KENT</t>
  </si>
  <si>
    <t>KETTLE FALLS</t>
  </si>
  <si>
    <t>KIONA-BENTON</t>
  </si>
  <si>
    <t>KITTITAS</t>
  </si>
  <si>
    <t>KLICKITAT</t>
  </si>
  <si>
    <t>LA CONNER</t>
  </si>
  <si>
    <t>LACENTER</t>
  </si>
  <si>
    <t>LACROSSE JOINT</t>
  </si>
  <si>
    <t>LAKE CHELAN</t>
  </si>
  <si>
    <t>LAKE STEVENS</t>
  </si>
  <si>
    <t>LAKE WASHINGTON</t>
  </si>
  <si>
    <t>LAKEWOOD</t>
  </si>
  <si>
    <t>LAMONT</t>
  </si>
  <si>
    <t>LIBERTY</t>
  </si>
  <si>
    <t>LIND</t>
  </si>
  <si>
    <t>LONGVIEW</t>
  </si>
  <si>
    <t>LOON LAKE</t>
  </si>
  <si>
    <t>LOPEZ</t>
  </si>
  <si>
    <t>LUMENS HIGH SCHOOL CHARTER</t>
  </si>
  <si>
    <t>LUMMI TRIBAL AGENCY</t>
  </si>
  <si>
    <t>LYLE</t>
  </si>
  <si>
    <t>LYNDEN</t>
  </si>
  <si>
    <t>MABTON</t>
  </si>
  <si>
    <t>MANSFIELD</t>
  </si>
  <si>
    <t>MANSON</t>
  </si>
  <si>
    <t>MARY M KNIGHT</t>
  </si>
  <si>
    <t>MARY WALKER</t>
  </si>
  <si>
    <t>MARYSVILLE</t>
  </si>
  <si>
    <t>MC CLEARY</t>
  </si>
  <si>
    <t>MEAD</t>
  </si>
  <si>
    <t>MEDICAL LAKE</t>
  </si>
  <si>
    <t>MERCER ISLAND</t>
  </si>
  <si>
    <t>MERIDIAN</t>
  </si>
  <si>
    <t>METHOW VALLEY</t>
  </si>
  <si>
    <t>MILL A</t>
  </si>
  <si>
    <t>MONROE</t>
  </si>
  <si>
    <t>MONTESANO</t>
  </si>
  <si>
    <t>MORTON</t>
  </si>
  <si>
    <t>MOSES LAKE</t>
  </si>
  <si>
    <t>MOSSYROCK</t>
  </si>
  <si>
    <t>MOUNT ADAMS</t>
  </si>
  <si>
    <t>MOUNT BAKER</t>
  </si>
  <si>
    <t>MOUNT PLEASANT</t>
  </si>
  <si>
    <t>MT VERNON</t>
  </si>
  <si>
    <t>MUCKLESHOOT TRIBAL</t>
  </si>
  <si>
    <t>MUKILTEO</t>
  </si>
  <si>
    <t>NACHES VALLEY</t>
  </si>
  <si>
    <t>NAPAVINE</t>
  </si>
  <si>
    <t>NASELLE GRAYS RIV</t>
  </si>
  <si>
    <t>NESPELEM</t>
  </si>
  <si>
    <t>NEWPORT</t>
  </si>
  <si>
    <t>NINE MILE FALLS</t>
  </si>
  <si>
    <t>NOOKSACK VALLEY</t>
  </si>
  <si>
    <t>NORTH BEACH</t>
  </si>
  <si>
    <t>NORTH FRANKLIN</t>
  </si>
  <si>
    <t>NORTH KITSAP</t>
  </si>
  <si>
    <t>NORTH MASON</t>
  </si>
  <si>
    <t>NORTH RIVER</t>
  </si>
  <si>
    <t>NORTH THURSTON</t>
  </si>
  <si>
    <t>NORTHPORT</t>
  </si>
  <si>
    <t>NORTHSHORE</t>
  </si>
  <si>
    <t>OAK HARBOR</t>
  </si>
  <si>
    <t>OAKESDALE</t>
  </si>
  <si>
    <t>OAKVILLE</t>
  </si>
  <si>
    <t>OCEAN BEACH</t>
  </si>
  <si>
    <t>OCOSTA</t>
  </si>
  <si>
    <t>ODESSA</t>
  </si>
  <si>
    <t>OKANOGAN</t>
  </si>
  <si>
    <t>OLYMPIA</t>
  </si>
  <si>
    <t>OMAK</t>
  </si>
  <si>
    <t>ONALASKA</t>
  </si>
  <si>
    <t>ONION CREEK</t>
  </si>
  <si>
    <t>ORCAS ISLAND</t>
  </si>
  <si>
    <t>ORCHARD PRAIRIE</t>
  </si>
  <si>
    <t>ORIENT</t>
  </si>
  <si>
    <t>ORONDO</t>
  </si>
  <si>
    <t>OROVILLE</t>
  </si>
  <si>
    <t>ORTING</t>
  </si>
  <si>
    <t>OTHELLO</t>
  </si>
  <si>
    <t>PALISADES</t>
  </si>
  <si>
    <t>PALOUSE</t>
  </si>
  <si>
    <t>PASCO</t>
  </si>
  <si>
    <t>PATEROS</t>
  </si>
  <si>
    <t>PATERSON</t>
  </si>
  <si>
    <t>PE ELL</t>
  </si>
  <si>
    <t>PENINSULA</t>
  </si>
  <si>
    <t>PINNACLES PREP CHARTER</t>
  </si>
  <si>
    <t>PIONEER</t>
  </si>
  <si>
    <t>POMEROY</t>
  </si>
  <si>
    <t>PORT ANGELES</t>
  </si>
  <si>
    <t>PORT TOWNSEND</t>
  </si>
  <si>
    <t>PRESCOTT</t>
  </si>
  <si>
    <t>PRIDE PREP CHARTER</t>
  </si>
  <si>
    <t>PROSSER</t>
  </si>
  <si>
    <t>PULLMAN</t>
  </si>
  <si>
    <t>PULLMAN COMM MONTESOURI CHARTER</t>
  </si>
  <si>
    <t>PUYALLUP</t>
  </si>
  <si>
    <t>Queets-CLEARWATER</t>
  </si>
  <si>
    <t>QUILCENE</t>
  </si>
  <si>
    <t>QUILLAYUTE VALLEY</t>
  </si>
  <si>
    <t>QUILEUTE TRIBAL</t>
  </si>
  <si>
    <t>QUINAULT</t>
  </si>
  <si>
    <t>QUINCY</t>
  </si>
  <si>
    <t>RAINIER</t>
  </si>
  <si>
    <t>RAINIER PREP CHARTER</t>
  </si>
  <si>
    <t>RAYMOND</t>
  </si>
  <si>
    <t>REARDAN</t>
  </si>
  <si>
    <t>RENTON</t>
  </si>
  <si>
    <t>REPUBLIC</t>
  </si>
  <si>
    <t>RICHLAND</t>
  </si>
  <si>
    <t>RIDGEFIELD</t>
  </si>
  <si>
    <t>RITZVILLE</t>
  </si>
  <si>
    <t>RIVERSIDE</t>
  </si>
  <si>
    <t>RIVERVIEW</t>
  </si>
  <si>
    <t>ROCHESTER</t>
  </si>
  <si>
    <t>ROOSEVELT</t>
  </si>
  <si>
    <t>ROSALIA</t>
  </si>
  <si>
    <t>ROYAL</t>
  </si>
  <si>
    <t>SAN JUAN</t>
  </si>
  <si>
    <t>SATSOP</t>
  </si>
  <si>
    <t>SEATTLE</t>
  </si>
  <si>
    <t>SEDRO WOOLLEY</t>
  </si>
  <si>
    <t>SELAH</t>
  </si>
  <si>
    <t>SELKIRK</t>
  </si>
  <si>
    <t>SEQUIM</t>
  </si>
  <si>
    <t>SHAW</t>
  </si>
  <si>
    <t>SHELTON</t>
  </si>
  <si>
    <t>SHORELINE</t>
  </si>
  <si>
    <t>SKAMANIA</t>
  </si>
  <si>
    <t>SKYKOMISH</t>
  </si>
  <si>
    <t>SNOHOMISH</t>
  </si>
  <si>
    <t>SNOQUALMIE VALLEY</t>
  </si>
  <si>
    <t>SOAP LAKE</t>
  </si>
  <si>
    <t>SOUTH BEND</t>
  </si>
  <si>
    <t>SOUTH KITSAP</t>
  </si>
  <si>
    <t>SOUTH WHIDBEY</t>
  </si>
  <si>
    <t>SOUTHSIDE</t>
  </si>
  <si>
    <t>SPOKANE</t>
  </si>
  <si>
    <t>SPOKANE INT'L CHARTER</t>
  </si>
  <si>
    <t>SPRAGUE</t>
  </si>
  <si>
    <t>ST JOHN</t>
  </si>
  <si>
    <t>STANWOOD</t>
  </si>
  <si>
    <t>STAR</t>
  </si>
  <si>
    <t>STARBUCK</t>
  </si>
  <si>
    <t>STEHEKIN</t>
  </si>
  <si>
    <t>STEILACOOM HIST.</t>
  </si>
  <si>
    <t>STEPTOE</t>
  </si>
  <si>
    <t>STEVENSON-CARSON</t>
  </si>
  <si>
    <t>SULTAN</t>
  </si>
  <si>
    <t>SUMMIT ATLAS CHARTER</t>
  </si>
  <si>
    <t>SUMMIT OLYMPUS CHARTER</t>
  </si>
  <si>
    <t>SUMMIT SIERRA CHARTER</t>
  </si>
  <si>
    <t>SUMMIT VALLEY</t>
  </si>
  <si>
    <t>SUMNER</t>
  </si>
  <si>
    <t>SUNNYSIDE</t>
  </si>
  <si>
    <t>SUQUAMISH TRIBAL ED DEPT</t>
  </si>
  <si>
    <t>TACOMA</t>
  </si>
  <si>
    <t>TAHOLAH</t>
  </si>
  <si>
    <t>TAHOMA</t>
  </si>
  <si>
    <t>TEKOA</t>
  </si>
  <si>
    <t>TENINO</t>
  </si>
  <si>
    <t>THORP</t>
  </si>
  <si>
    <t>TOLEDO</t>
  </si>
  <si>
    <t>TONASKET</t>
  </si>
  <si>
    <t>TOPPENISH</t>
  </si>
  <si>
    <t>TOUCHET</t>
  </si>
  <si>
    <t>TOUTLE LAKE</t>
  </si>
  <si>
    <t>TROUT LAKE</t>
  </si>
  <si>
    <t>TUKWILA</t>
  </si>
  <si>
    <t>TUMWATER</t>
  </si>
  <si>
    <t>UNION GAP</t>
  </si>
  <si>
    <t>UNIVERSITY PLACE</t>
  </si>
  <si>
    <t>VALLEY</t>
  </si>
  <si>
    <t>VANCOUVER</t>
  </si>
  <si>
    <t>VASHON ISLAND</t>
  </si>
  <si>
    <t>WAHKIAKUM</t>
  </si>
  <si>
    <t>WAHLUKE</t>
  </si>
  <si>
    <t>WAITSBURG</t>
  </si>
  <si>
    <t>WALLA WALLA</t>
  </si>
  <si>
    <t>WAPATO</t>
  </si>
  <si>
    <t>WARDEN</t>
  </si>
  <si>
    <t>WASHOUGAL</t>
  </si>
  <si>
    <t>WASHTUCNA</t>
  </si>
  <si>
    <t>WATERVILLE</t>
  </si>
  <si>
    <t>WA HE LUT TRIBAL</t>
  </si>
  <si>
    <t>WELLPINIT</t>
  </si>
  <si>
    <t>WENATCHEE</t>
  </si>
  <si>
    <t>WEST VALLEY-Spokane</t>
  </si>
  <si>
    <t>WEST VALLEY-Yakima</t>
  </si>
  <si>
    <t>WHATCOM INTERGENERATIONAL CHARTER</t>
  </si>
  <si>
    <t>WHITE PASS</t>
  </si>
  <si>
    <t>WHITE RIVER</t>
  </si>
  <si>
    <t>WHITE SALMON</t>
  </si>
  <si>
    <t>WILBUR</t>
  </si>
  <si>
    <t>WILLAPA VALLEY</t>
  </si>
  <si>
    <t>WILLOW CHARTER</t>
  </si>
  <si>
    <t>WILSON CREEK</t>
  </si>
  <si>
    <t>WINLOCK</t>
  </si>
  <si>
    <t>WISHKAH VALLEY</t>
  </si>
  <si>
    <t>WISHRAM</t>
  </si>
  <si>
    <t>WOODLAND</t>
  </si>
  <si>
    <t>YAKIMA</t>
  </si>
  <si>
    <t>WHY NOT YOU ACADEMY CHARTER</t>
  </si>
  <si>
    <t>YAKAMA NATION TRIBAL SCHOOL</t>
  </si>
  <si>
    <t>YELM</t>
  </si>
  <si>
    <t>ZILLAH</t>
  </si>
  <si>
    <t>Org Code</t>
  </si>
  <si>
    <t>Cashmere School District</t>
  </si>
  <si>
    <t>06801</t>
  </si>
  <si>
    <t>North Beach School District No. 64</t>
  </si>
  <si>
    <t>Seattle School District No. 1</t>
  </si>
  <si>
    <t>Brewster</t>
  </si>
  <si>
    <t>Cle Elum-Roslyn</t>
  </si>
  <si>
    <t>Coulee/Hartline</t>
  </si>
  <si>
    <t>East Valley (Spokane)</t>
  </si>
  <si>
    <t>East Valley (Yakima)</t>
  </si>
  <si>
    <t>Evergreen (Clark)</t>
  </si>
  <si>
    <t>Kiona Benton</t>
  </si>
  <si>
    <t>Lopez</t>
  </si>
  <si>
    <t>Mc Cleary</t>
  </si>
  <si>
    <t>St John</t>
  </si>
  <si>
    <t>Steilacoom Hist.</t>
  </si>
  <si>
    <t>Sumner</t>
  </si>
  <si>
    <t>West Valley (Spokane)</t>
  </si>
  <si>
    <t xml:space="preserve">District </t>
  </si>
  <si>
    <t>ASOTIN-ANATONE</t>
  </si>
  <si>
    <t xml:space="preserve">Catalyst </t>
  </si>
  <si>
    <t>Chief Leschi Schools K-12th</t>
  </si>
  <si>
    <t>COLUMBIA 206 (Stevens 101)</t>
  </si>
  <si>
    <t>COLUMBIA 400 (Walla Walla 123)</t>
  </si>
  <si>
    <t>EAST VALLEY 361 (Spokane ESD 101)</t>
  </si>
  <si>
    <t>EAST VALLEY 90 (Yakima ESD 105)</t>
  </si>
  <si>
    <t>EVERGREEN 114 (Clark ESD 112)</t>
  </si>
  <si>
    <t>EVERGREEN 205 (Stevens ESD 101)</t>
  </si>
  <si>
    <t>Impact Commencement</t>
  </si>
  <si>
    <t>Impact Puget Sound</t>
  </si>
  <si>
    <t>Impact Salish Sea</t>
  </si>
  <si>
    <t>Innovation</t>
  </si>
  <si>
    <t>KIONA BENTON</t>
  </si>
  <si>
    <t>LA CENTER</t>
  </si>
  <si>
    <t>LAKE QUINAULT</t>
  </si>
  <si>
    <t>LOPEZ ISLAND</t>
  </si>
  <si>
    <t>Lumen</t>
  </si>
  <si>
    <t>Lummi Nation Tribal K-12th</t>
  </si>
  <si>
    <t>Mukleshoot</t>
  </si>
  <si>
    <t>NASELLE GRAYS RIVER</t>
  </si>
  <si>
    <t>PRIDE PREP 6TH-12TH</t>
  </si>
  <si>
    <t>QUEETS-CLEARWATER</t>
  </si>
  <si>
    <t xml:space="preserve">Quileute Tribal </t>
  </si>
  <si>
    <t>RAINIER PREP 5TH-8TH</t>
  </si>
  <si>
    <t>REARDAN-EDWALL</t>
  </si>
  <si>
    <t>SCHOOL FOR THE BLIND</t>
  </si>
  <si>
    <t>SCHOOL FOR THE DEAF</t>
  </si>
  <si>
    <t>27909</t>
  </si>
  <si>
    <t>SOAR ACADEMY K-5TH</t>
  </si>
  <si>
    <t>SPOKANE INTL ACADEMY K-8TH</t>
  </si>
  <si>
    <t>STANWOOD-CAMANO</t>
  </si>
  <si>
    <t>SUMMIT ATLAS 6TH-12TH</t>
  </si>
  <si>
    <t>SUMMIT OLYMPUS 9TH-11TH</t>
  </si>
  <si>
    <t>SUMMIT SIERRA 9TH-11TH</t>
  </si>
  <si>
    <t>Suquamish Tribal - Chief Kitsap Academy</t>
  </si>
  <si>
    <t>Wa He Lut Indian School Agency</t>
  </si>
  <si>
    <t>WEST VALLEY 208</t>
  </si>
  <si>
    <t>WEST VALLEY 363</t>
  </si>
  <si>
    <t>WILLOW PUBLIC CHARTER 6TH-8TH</t>
  </si>
  <si>
    <t>Yakama Nation Tribal</t>
  </si>
  <si>
    <t>LEA Name</t>
  </si>
  <si>
    <t>Section 611</t>
  </si>
  <si>
    <t>Section 619</t>
  </si>
  <si>
    <t>Columbia (Stevens)</t>
  </si>
  <si>
    <t>Columbia (Walla Walla)</t>
  </si>
  <si>
    <t>Lacrosse</t>
  </si>
  <si>
    <t>Pride Prep</t>
  </si>
  <si>
    <t>Rainier Prep</t>
  </si>
  <si>
    <t>Rainier Valley Leadership Academy</t>
  </si>
  <si>
    <t>Summit Atlas</t>
  </si>
  <si>
    <t>Summit Olympus</t>
  </si>
  <si>
    <t>Summit Sierra</t>
  </si>
  <si>
    <t>Suquamish</t>
  </si>
  <si>
    <t>WA State Center for Childhood Deafness and Hearing Loss</t>
  </si>
  <si>
    <t>Why Not You Academy</t>
  </si>
  <si>
    <t>Organization Name</t>
  </si>
  <si>
    <t>Impact Black River</t>
  </si>
  <si>
    <t>Paschal Sherman</t>
  </si>
  <si>
    <t>Whatcom Intergenerational</t>
  </si>
  <si>
    <t>Why Not You</t>
  </si>
  <si>
    <t>East Valley Spokane</t>
  </si>
  <si>
    <t>East Valley Yakima</t>
  </si>
  <si>
    <t>Evergreen Clark</t>
  </si>
  <si>
    <t>Evergreen Stevens</t>
  </si>
  <si>
    <t>West Valley Spokane</t>
  </si>
  <si>
    <t>West Valley Yakima</t>
  </si>
  <si>
    <t>Why Not You Academy (Cascade Midway)</t>
  </si>
  <si>
    <t>2024-25</t>
  </si>
  <si>
    <t>Based on  22-23 expenditure data</t>
  </si>
  <si>
    <t>IMPACT BLACK RIVER CHARTER</t>
  </si>
  <si>
    <t>Paschal Sherman Tribal</t>
  </si>
  <si>
    <t>Rooted Schools Charter</t>
  </si>
  <si>
    <t>CurrentFY_611</t>
  </si>
  <si>
    <t>CurrentFY_619</t>
  </si>
  <si>
    <t>CurrentFY_AllocTotal</t>
  </si>
  <si>
    <t>Org ID</t>
  </si>
  <si>
    <t>Subrecipient Organization</t>
  </si>
  <si>
    <t>Index Elementary School District 63</t>
  </si>
  <si>
    <t>Intergenerational High School</t>
  </si>
  <si>
    <t>Nespelem School District</t>
  </si>
  <si>
    <t>Pinnacles Prep Charter School</t>
  </si>
  <si>
    <t>Rooted School Washington</t>
  </si>
  <si>
    <t>Wellpinit School District #49</t>
  </si>
  <si>
    <t>611 Amount</t>
  </si>
  <si>
    <t>619 Amount</t>
  </si>
  <si>
    <t>Following the accompanying line-by-line instructions, complete Worksheet A by inserting data in the cells highlighted in green. Submit the most recent completed monthly detailed expenditure reports for the special education programs showing the budgeted and actual year-to-date expenditures. The reports must sub-total at three separate levels: (1) Object (i.e. 21-27-5), (2) Activity (i.e. 21-27), (3) Program (i.e. 21). The reports will be used by the State Oversight Committee when reviewing capacity for Safety Net funding.</t>
  </si>
  <si>
    <t>Expenditure Data</t>
  </si>
  <si>
    <t xml:space="preserve">24–25 Year-End (F-196) </t>
  </si>
  <si>
    <t>25–26 Budgeted
(F-195)</t>
  </si>
  <si>
    <t>Capacity Calculation</t>
  </si>
  <si>
    <t>Annualized Year-to-Date Expenditures</t>
  </si>
  <si>
    <t>Total Year-to-date Annualized Expenditures for 2025–26.</t>
  </si>
  <si>
    <t>2025–26 Worksheet A</t>
  </si>
  <si>
    <t>2025–26 YTD</t>
  </si>
  <si>
    <t>2025–26 AYTD</t>
  </si>
  <si>
    <t>Number of Months from most recent year-to-date expenditure report.</t>
  </si>
  <si>
    <t>+ Other Special Education Grants</t>
  </si>
  <si>
    <t>Total Year-to-Date Expenditures for Program 29.</t>
  </si>
  <si>
    <t>19a</t>
  </si>
  <si>
    <t>19b</t>
  </si>
  <si>
    <t>19c</t>
  </si>
  <si>
    <t>19d</t>
  </si>
  <si>
    <t>Resource Data</t>
  </si>
  <si>
    <t>Rooted School WA</t>
  </si>
  <si>
    <t>Impact Black River Charter</t>
  </si>
  <si>
    <t>Year of Data</t>
  </si>
  <si>
    <t>2024–25</t>
  </si>
  <si>
    <t>2025–26</t>
  </si>
  <si>
    <t>Note, this data is pulled from district allocations, not from what they budget around this area.</t>
  </si>
  <si>
    <t>2025-26</t>
  </si>
  <si>
    <t>Based on  23-24 expenditure data</t>
  </si>
  <si>
    <t>Sum of Final Recommended Award</t>
  </si>
  <si>
    <t>Sum of State Total</t>
  </si>
  <si>
    <t>Sum of Fed 611 total</t>
  </si>
  <si>
    <t>Catalyst Public Schools (K-8)</t>
  </si>
  <si>
    <t>Impact Black River Elementary (K-5)</t>
  </si>
  <si>
    <t>Impact Commencement Bay Tacoma (K-5)</t>
  </si>
  <si>
    <t>Impact Puget Sound (K-5)</t>
  </si>
  <si>
    <t>Impact Salish Sea (K-5)</t>
  </si>
  <si>
    <t>Rooted School WA (serves 9th-12th grades)</t>
  </si>
  <si>
    <t>Spokane Intl Academy (K-8)</t>
  </si>
  <si>
    <t>2024-25 Total Supplemental Contracts</t>
  </si>
  <si>
    <t>Program</t>
  </si>
  <si>
    <t>Amount</t>
  </si>
  <si>
    <t>Sum of Amount</t>
  </si>
  <si>
    <t>2025-26 Total Supplemental Contracts</t>
  </si>
  <si>
    <t>Impact Commencement Bay</t>
  </si>
  <si>
    <t>PRIDE PREP 6TH-12TH (CLOSED)</t>
  </si>
  <si>
    <t>September</t>
  </si>
  <si>
    <t>October</t>
  </si>
  <si>
    <t>November</t>
  </si>
  <si>
    <t>December</t>
  </si>
  <si>
    <t>January</t>
  </si>
  <si>
    <t>March</t>
  </si>
  <si>
    <t>April</t>
  </si>
  <si>
    <t>May</t>
  </si>
  <si>
    <t>June</t>
  </si>
  <si>
    <t>July</t>
  </si>
  <si>
    <t>August</t>
  </si>
  <si>
    <t>Account 4121 - State Special Education Allocation (AGE 3–21)</t>
  </si>
  <si>
    <t>Total Resources (Sum of Lines 12 through 26)</t>
  </si>
  <si>
    <t>Difference: (Line 27 - Line 11)</t>
  </si>
  <si>
    <t>Is the district required to use 15% of 2025-26 funds?</t>
  </si>
  <si>
    <t>Notes</t>
  </si>
  <si>
    <t>Yes, but they will be spending the 25-26 set aside amount in 26-27. They are spending their 24-25 set aside for implementing this year (25-26).</t>
  </si>
  <si>
    <t>Source</t>
  </si>
  <si>
    <t>List from Jennifer Story</t>
  </si>
  <si>
    <t>611 24-25 Carryover</t>
  </si>
  <si>
    <t>619 24-25 Carryover</t>
  </si>
  <si>
    <t>Benge School District</t>
  </si>
  <si>
    <t>Carryover Total</t>
  </si>
  <si>
    <t>Source:</t>
  </si>
  <si>
    <t>Michelle Sartain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</si>
</sst>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 #,##0_);_(* \(#,##0\);_(* &quot;-&quot;??_);_(@_)"/>
    <numFmt numFmtId="166" formatCode="&quot;$&quot;#,##0"/>
    <numFmt numFmtId="167" formatCode="&quot;$&quot;#,##0.00"/>
  </numFmts>
  <fonts count="75">
    <font>
      <sz val="10"/>
      <name val="Arial"/>
    </font>
    <font>
      <sz val="11"/>
      <color theme="1"/>
      <name val="Segoe UI"/>
      <family val="2"/>
    </font>
    <font>
      <sz val="11"/>
      <color theme="1"/>
      <name val="Segoe U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b/>
      <sz val="11"/>
      <color indexed="8"/>
      <name val="Calibri"/>
      <family val="2"/>
    </font>
    <font>
      <sz val="10"/>
      <name val="Arial"/>
      <family val="2"/>
    </font>
    <font>
      <sz val="10"/>
      <name val="Arial MT"/>
    </font>
    <font>
      <sz val="10"/>
      <name val="Arial"/>
      <family val="2"/>
    </font>
    <font>
      <sz val="9"/>
      <name val="Arial"/>
      <family val="2"/>
    </font>
    <font>
      <sz val="10"/>
      <name val="Arial"/>
      <family val="2"/>
    </font>
    <font>
      <sz val="10"/>
      <name val="Arial"/>
      <family val="2"/>
    </font>
    <font>
      <sz val="10"/>
      <name val="Arial"/>
      <family val="2"/>
    </font>
    <font>
      <sz val="10"/>
      <name val="Arial"/>
      <family val="2"/>
    </font>
    <font>
      <sz val="12"/>
      <name val="Arial"/>
      <family val="2"/>
    </font>
    <font>
      <sz val="10"/>
      <color indexed="8"/>
      <name val="MS Sans Serif"/>
      <family val="2"/>
    </font>
    <font>
      <sz val="10"/>
      <color indexed="8"/>
      <name val="MS Sans Serif"/>
      <family val="2"/>
    </font>
    <font>
      <sz val="11"/>
      <color theme="1"/>
      <name val="Calibri"/>
      <family val="2"/>
      <scheme val="minor"/>
    </font>
    <font>
      <sz val="10"/>
      <name val="Arial"/>
      <family val="2"/>
    </font>
    <font>
      <sz val="11"/>
      <name val="Segoe UI"/>
      <family val="2"/>
    </font>
    <font>
      <u/>
      <sz val="9"/>
      <color indexed="12"/>
      <name val="Geneva"/>
    </font>
    <font>
      <u/>
      <sz val="18"/>
      <color indexed="12"/>
      <name val="Arial"/>
      <family val="2"/>
    </font>
    <font>
      <sz val="10"/>
      <name val="Arial"/>
      <family val="2"/>
    </font>
    <font>
      <sz val="12"/>
      <name val="Segoe UI"/>
      <family val="2"/>
    </font>
    <font>
      <sz val="10"/>
      <name val="Segoe UI"/>
      <family val="2"/>
    </font>
    <font>
      <sz val="14"/>
      <name val="Segoe UI"/>
      <family val="2"/>
    </font>
    <font>
      <sz val="18"/>
      <color rgb="FF464646"/>
      <name val="Segoe UI"/>
      <family val="2"/>
    </font>
    <font>
      <b/>
      <sz val="11"/>
      <color theme="1"/>
      <name val="Calibri"/>
      <family val="2"/>
      <scheme val="minor"/>
    </font>
    <font>
      <b/>
      <sz val="11"/>
      <name val="Segoe UI"/>
      <family val="2"/>
    </font>
    <font>
      <b/>
      <sz val="11"/>
      <color theme="1"/>
      <name val="Segoe UI"/>
      <family val="2"/>
    </font>
    <font>
      <b/>
      <sz val="10"/>
      <name val="Segoe UI"/>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2"/>
      <color theme="1"/>
      <name val="Calibri"/>
      <family val="2"/>
      <scheme val="minor"/>
    </font>
    <font>
      <b/>
      <sz val="14"/>
      <name val="Segoe UI"/>
      <family val="2"/>
    </font>
    <font>
      <b/>
      <sz val="12"/>
      <color rgb="FF000000"/>
      <name val="Segoe UI"/>
      <family val="2"/>
    </font>
    <font>
      <b/>
      <sz val="12"/>
      <color indexed="9"/>
      <name val="Segoe UI"/>
      <family val="2"/>
    </font>
    <font>
      <sz val="11"/>
      <color indexed="8"/>
      <name val="Calibri"/>
    </font>
    <font>
      <sz val="10"/>
      <color indexed="8"/>
      <name val="Arial"/>
    </font>
    <font>
      <b/>
      <sz val="16"/>
      <name val="Segoe UI"/>
      <family val="2"/>
    </font>
    <font>
      <b/>
      <sz val="11"/>
      <color theme="1"/>
      <name val="Calibri"/>
      <family val="2"/>
    </font>
  </fonts>
  <fills count="57">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rgb="FFCCFFCC"/>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92D050"/>
        <bgColor indexed="64"/>
      </patternFill>
    </fill>
    <fill>
      <patternFill patternType="solid">
        <fgColor indexed="22"/>
        <bgColor indexed="0"/>
      </patternFill>
    </fill>
    <fill>
      <patternFill patternType="solid">
        <fgColor theme="4" tint="0.79998168889431442"/>
        <bgColor indexed="64"/>
      </patternFill>
    </fill>
    <fill>
      <patternFill patternType="solid">
        <fgColor theme="0"/>
        <bgColor indexed="64"/>
      </patternFill>
    </fill>
  </fills>
  <borders count="3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bottom/>
      <diagonal/>
    </border>
  </borders>
  <cellStyleXfs count="230">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4" borderId="0" applyNumberFormat="0" applyBorder="0" applyAlignment="0" applyProtection="0"/>
    <xf numFmtId="0" fontId="11" fillId="6"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6" borderId="0" applyNumberFormat="0" applyBorder="0" applyAlignment="0" applyProtection="0"/>
    <xf numFmtId="0" fontId="11" fillId="4" borderId="0" applyNumberFormat="0" applyBorder="0" applyAlignment="0" applyProtection="0"/>
    <xf numFmtId="0" fontId="12" fillId="6"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8" borderId="0" applyNumberFormat="0" applyBorder="0" applyAlignment="0" applyProtection="0"/>
    <xf numFmtId="0" fontId="12" fillId="6" borderId="0" applyNumberFormat="0" applyBorder="0" applyAlignment="0" applyProtection="0"/>
    <xf numFmtId="0" fontId="12" fillId="3" borderId="0" applyNumberFormat="0" applyBorder="0" applyAlignment="0" applyProtection="0"/>
    <xf numFmtId="0" fontId="12" fillId="11"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3" fillId="15" borderId="0" applyNumberFormat="0" applyBorder="0" applyAlignment="0" applyProtection="0"/>
    <xf numFmtId="0" fontId="14" fillId="16" borderId="1" applyNumberFormat="0" applyAlignment="0" applyProtection="0"/>
    <xf numFmtId="0" fontId="15" fillId="17" borderId="2" applyNumberFormat="0" applyAlignment="0" applyProtection="0"/>
    <xf numFmtId="43" fontId="10" fillId="0" borderId="0" applyFont="0" applyFill="0" applyBorder="0" applyAlignment="0" applyProtection="0"/>
    <xf numFmtId="43" fontId="29" fillId="0" borderId="0" applyFont="0" applyFill="0" applyBorder="0" applyAlignment="0" applyProtection="0"/>
    <xf numFmtId="43" fontId="3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3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4" fontId="10" fillId="0" borderId="0" applyFont="0" applyFill="0" applyBorder="0" applyAlignment="0" applyProtection="0"/>
    <xf numFmtId="44" fontId="3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8"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16" fillId="0" borderId="0" applyNumberFormat="0" applyFill="0" applyBorder="0" applyAlignment="0" applyProtection="0"/>
    <xf numFmtId="0" fontId="17" fillId="6"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21" fillId="7" borderId="1" applyNumberFormat="0" applyAlignment="0" applyProtection="0"/>
    <xf numFmtId="0" fontId="22" fillId="0" borderId="6" applyNumberFormat="0" applyFill="0" applyAlignment="0" applyProtection="0"/>
    <xf numFmtId="0" fontId="23" fillId="7" borderId="0" applyNumberFormat="0" applyBorder="0" applyAlignment="0" applyProtection="0"/>
    <xf numFmtId="0" fontId="38" fillId="0" borderId="0"/>
    <xf numFmtId="0" fontId="10" fillId="0" borderId="0"/>
    <xf numFmtId="0" fontId="10" fillId="0" borderId="0"/>
    <xf numFmtId="0" fontId="10" fillId="0" borderId="0"/>
    <xf numFmtId="0" fontId="33" fillId="0" borderId="0">
      <alignment wrapText="1"/>
    </xf>
    <xf numFmtId="0" fontId="38" fillId="0" borderId="0"/>
    <xf numFmtId="0" fontId="34" fillId="0" borderId="0"/>
    <xf numFmtId="0" fontId="10" fillId="0" borderId="0"/>
    <xf numFmtId="0" fontId="10" fillId="0" borderId="0" applyNumberFormat="0" applyFill="0" applyBorder="0" applyAlignment="0" applyProtection="0"/>
    <xf numFmtId="0" fontId="38" fillId="0" borderId="0"/>
    <xf numFmtId="0" fontId="34" fillId="0" borderId="0"/>
    <xf numFmtId="0" fontId="28" fillId="0" borderId="0"/>
    <xf numFmtId="0" fontId="10" fillId="0" borderId="0" applyNumberFormat="0" applyFill="0" applyBorder="0" applyAlignment="0" applyProtection="0"/>
    <xf numFmtId="0" fontId="38" fillId="0" borderId="0"/>
    <xf numFmtId="0" fontId="10" fillId="0" borderId="0"/>
    <xf numFmtId="0" fontId="28" fillId="0" borderId="0"/>
    <xf numFmtId="0" fontId="10" fillId="0" borderId="0" applyNumberFormat="0" applyFill="0" applyBorder="0" applyAlignment="0" applyProtection="0"/>
    <xf numFmtId="0" fontId="38" fillId="0" borderId="0"/>
    <xf numFmtId="0" fontId="28"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34" fillId="0" borderId="0"/>
    <xf numFmtId="0" fontId="27" fillId="0" borderId="0"/>
    <xf numFmtId="0" fontId="10" fillId="0" borderId="0"/>
    <xf numFmtId="0" fontId="36" fillId="0" borderId="0"/>
    <xf numFmtId="0" fontId="31" fillId="0" borderId="0"/>
    <xf numFmtId="0" fontId="10" fillId="0" borderId="0"/>
    <xf numFmtId="0" fontId="38" fillId="0" borderId="0"/>
    <xf numFmtId="0" fontId="28" fillId="0" borderId="0"/>
    <xf numFmtId="0" fontId="10" fillId="0" borderId="0"/>
    <xf numFmtId="0" fontId="38" fillId="0" borderId="0"/>
    <xf numFmtId="0" fontId="38" fillId="0" borderId="0"/>
    <xf numFmtId="0" fontId="38" fillId="0" borderId="0"/>
    <xf numFmtId="0" fontId="28" fillId="0" borderId="0"/>
    <xf numFmtId="0" fontId="38" fillId="0" borderId="0"/>
    <xf numFmtId="0" fontId="37" fillId="0" borderId="0"/>
    <xf numFmtId="0" fontId="35" fillId="0" borderId="0"/>
    <xf numFmtId="0" fontId="38" fillId="0" borderId="0"/>
    <xf numFmtId="0" fontId="10" fillId="0" borderId="0"/>
    <xf numFmtId="0" fontId="38" fillId="0" borderId="0"/>
    <xf numFmtId="0" fontId="38" fillId="0" borderId="0"/>
    <xf numFmtId="0" fontId="38" fillId="0" borderId="0"/>
    <xf numFmtId="0" fontId="10" fillId="4" borderId="7" applyNumberFormat="0" applyFont="0" applyAlignment="0" applyProtection="0"/>
    <xf numFmtId="0" fontId="24" fillId="16" borderId="8" applyNumberFormat="0" applyAlignment="0" applyProtection="0"/>
    <xf numFmtId="9" fontId="10" fillId="0" borderId="0" applyFont="0" applyFill="0" applyBorder="0" applyAlignment="0" applyProtection="0"/>
    <xf numFmtId="9" fontId="31" fillId="0" borderId="0" applyFont="0" applyFill="0" applyBorder="0" applyAlignment="0" applyProtection="0"/>
    <xf numFmtId="0" fontId="10"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9"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9"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9" fontId="38" fillId="0" borderId="0" applyFont="0" applyFill="0" applyBorder="0" applyAlignment="0" applyProtection="0"/>
    <xf numFmtId="9" fontId="32" fillId="0" borderId="0" applyFont="0" applyFill="0" applyBorder="0" applyAlignment="0" applyProtection="0"/>
    <xf numFmtId="9" fontId="38"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2" fillId="0" borderId="0" applyNumberForma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36" fillId="0" borderId="0"/>
    <xf numFmtId="0" fontId="36" fillId="0" borderId="0"/>
    <xf numFmtId="0" fontId="36" fillId="0" borderId="0"/>
    <xf numFmtId="0" fontId="10" fillId="0" borderId="0"/>
    <xf numFmtId="0" fontId="10" fillId="0" borderId="0"/>
    <xf numFmtId="0" fontId="10" fillId="0" borderId="0"/>
    <xf numFmtId="0" fontId="10" fillId="0" borderId="0"/>
    <xf numFmtId="0" fontId="10" fillId="0" borderId="0"/>
    <xf numFmtId="0" fontId="8" fillId="0" borderId="0"/>
    <xf numFmtId="0" fontId="36" fillId="0" borderId="0"/>
    <xf numFmtId="0" fontId="36" fillId="0" borderId="0"/>
    <xf numFmtId="0" fontId="36" fillId="0" borderId="0"/>
    <xf numFmtId="0" fontId="10" fillId="0" borderId="0"/>
    <xf numFmtId="0" fontId="10" fillId="0" borderId="0"/>
    <xf numFmtId="9" fontId="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7" fillId="0" borderId="0"/>
    <xf numFmtId="0" fontId="6" fillId="0" borderId="0"/>
    <xf numFmtId="0" fontId="36" fillId="0" borderId="0"/>
    <xf numFmtId="0" fontId="5" fillId="0" borderId="0"/>
    <xf numFmtId="0" fontId="36" fillId="0" borderId="0"/>
    <xf numFmtId="0" fontId="10" fillId="0" borderId="0">
      <alignment wrapText="1"/>
    </xf>
    <xf numFmtId="0" fontId="10" fillId="0" borderId="0">
      <alignment wrapText="1"/>
    </xf>
    <xf numFmtId="0" fontId="41" fillId="0" borderId="0" applyNumberFormat="0" applyFill="0" applyBorder="0" applyAlignment="0" applyProtection="0">
      <alignment vertical="top"/>
      <protection locked="0"/>
    </xf>
    <xf numFmtId="43" fontId="43" fillId="0" borderId="0" applyFont="0" applyFill="0" applyBorder="0" applyAlignment="0" applyProtection="0"/>
    <xf numFmtId="44" fontId="43" fillId="0" borderId="0" applyFont="0" applyFill="0" applyBorder="0" applyAlignment="0" applyProtection="0"/>
    <xf numFmtId="0" fontId="4" fillId="0" borderId="0"/>
    <xf numFmtId="9" fontId="4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52" fillId="0" borderId="0" applyNumberFormat="0" applyFill="0" applyBorder="0" applyAlignment="0" applyProtection="0"/>
    <xf numFmtId="0" fontId="53" fillId="0" borderId="23" applyNumberFormat="0" applyFill="0" applyAlignment="0" applyProtection="0"/>
    <xf numFmtId="0" fontId="54" fillId="0" borderId="24" applyNumberFormat="0" applyFill="0" applyAlignment="0" applyProtection="0"/>
    <xf numFmtId="0" fontId="55" fillId="0" borderId="25" applyNumberFormat="0" applyFill="0" applyAlignment="0" applyProtection="0"/>
    <xf numFmtId="0" fontId="55" fillId="0" borderId="0" applyNumberFormat="0" applyFill="0" applyBorder="0" applyAlignment="0" applyProtection="0"/>
    <xf numFmtId="0" fontId="56" fillId="21" borderId="0" applyNumberFormat="0" applyBorder="0" applyAlignment="0" applyProtection="0"/>
    <xf numFmtId="0" fontId="57" fillId="22" borderId="0" applyNumberFormat="0" applyBorder="0" applyAlignment="0" applyProtection="0"/>
    <xf numFmtId="0" fontId="58" fillId="23" borderId="0" applyNumberFormat="0" applyBorder="0" applyAlignment="0" applyProtection="0"/>
    <xf numFmtId="0" fontId="59" fillId="24" borderId="26" applyNumberFormat="0" applyAlignment="0" applyProtection="0"/>
    <xf numFmtId="0" fontId="60" fillId="25" borderId="27" applyNumberFormat="0" applyAlignment="0" applyProtection="0"/>
    <xf numFmtId="0" fontId="61" fillId="25" borderId="26" applyNumberFormat="0" applyAlignment="0" applyProtection="0"/>
    <xf numFmtId="0" fontId="62" fillId="0" borderId="28" applyNumberFormat="0" applyFill="0" applyAlignment="0" applyProtection="0"/>
    <xf numFmtId="0" fontId="63" fillId="26" borderId="29" applyNumberFormat="0" applyAlignment="0" applyProtection="0"/>
    <xf numFmtId="0" fontId="64" fillId="0" borderId="0" applyNumberFormat="0" applyFill="0" applyBorder="0" applyAlignment="0" applyProtection="0"/>
    <xf numFmtId="0" fontId="3" fillId="27" borderId="30" applyNumberFormat="0" applyFont="0" applyAlignment="0" applyProtection="0"/>
    <xf numFmtId="0" fontId="65" fillId="0" borderId="0" applyNumberFormat="0" applyFill="0" applyBorder="0" applyAlignment="0" applyProtection="0"/>
    <xf numFmtId="0" fontId="48" fillId="0" borderId="31" applyNumberFormat="0" applyFill="0" applyAlignment="0" applyProtection="0"/>
    <xf numFmtId="0" fontId="66"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66"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6"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66"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66"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6" fillId="48"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67" fillId="0" borderId="0"/>
    <xf numFmtId="0" fontId="3" fillId="0" borderId="0"/>
    <xf numFmtId="0" fontId="10" fillId="0" borderId="0"/>
    <xf numFmtId="0" fontId="72" fillId="0" borderId="0"/>
  </cellStyleXfs>
  <cellXfs count="167">
    <xf numFmtId="0" fontId="0" fillId="0" borderId="0" xfId="0"/>
    <xf numFmtId="0" fontId="10" fillId="0" borderId="0" xfId="0" applyFont="1"/>
    <xf numFmtId="0" fontId="9" fillId="0" borderId="0" xfId="0" applyFont="1"/>
    <xf numFmtId="0" fontId="10" fillId="0" borderId="0" xfId="0" applyFont="1" applyAlignment="1">
      <alignment horizontal="center"/>
    </xf>
    <xf numFmtId="164" fontId="9" fillId="0" borderId="0" xfId="115" applyNumberFormat="1" applyFont="1" applyAlignment="1" applyProtection="1">
      <alignment horizontal="left"/>
    </xf>
    <xf numFmtId="0" fontId="3" fillId="0" borderId="0" xfId="182"/>
    <xf numFmtId="0" fontId="9" fillId="0" borderId="16" xfId="182" applyFont="1" applyBorder="1" applyAlignment="1">
      <alignment horizontal="centerContinuous"/>
    </xf>
    <xf numFmtId="0" fontId="10" fillId="0" borderId="17" xfId="182" applyFont="1" applyBorder="1" applyAlignment="1">
      <alignment horizontal="centerContinuous"/>
    </xf>
    <xf numFmtId="0" fontId="10" fillId="0" borderId="17" xfId="182" applyFont="1" applyBorder="1"/>
    <xf numFmtId="0" fontId="45" fillId="0" borderId="0" xfId="0" applyFont="1"/>
    <xf numFmtId="0" fontId="46" fillId="0" borderId="0" xfId="0" applyFont="1" applyAlignment="1">
      <alignment vertical="center"/>
    </xf>
    <xf numFmtId="0" fontId="44" fillId="0" borderId="0" xfId="0" applyFont="1"/>
    <xf numFmtId="0" fontId="40" fillId="0" borderId="10" xfId="0" applyFont="1" applyBorder="1" applyAlignment="1">
      <alignment horizontal="left"/>
    </xf>
    <xf numFmtId="0" fontId="41" fillId="0" borderId="0" xfId="177" applyAlignment="1" applyProtection="1"/>
    <xf numFmtId="0" fontId="0" fillId="0" borderId="0" xfId="0" applyAlignment="1">
      <alignment horizontal="left"/>
    </xf>
    <xf numFmtId="0" fontId="10" fillId="0" borderId="0" xfId="0" quotePrefix="1" applyFont="1"/>
    <xf numFmtId="167" fontId="45" fillId="0" borderId="0" xfId="0" applyNumberFormat="1" applyFont="1"/>
    <xf numFmtId="0" fontId="50" fillId="20" borderId="10" xfId="0" applyFont="1" applyFill="1" applyBorder="1" applyAlignment="1">
      <alignment horizontal="center" vertical="center" wrapText="1"/>
    </xf>
    <xf numFmtId="0" fontId="50" fillId="20" borderId="10" xfId="0" applyFont="1" applyFill="1" applyBorder="1" applyAlignment="1">
      <alignment horizontal="center" vertical="center"/>
    </xf>
    <xf numFmtId="0" fontId="50" fillId="20" borderId="10" xfId="0" applyFont="1" applyFill="1" applyBorder="1" applyAlignment="1">
      <alignment horizontal="left" vertical="center" wrapText="1"/>
    </xf>
    <xf numFmtId="10" fontId="10" fillId="0" borderId="0" xfId="0" applyNumberFormat="1" applyFont="1"/>
    <xf numFmtId="49" fontId="45" fillId="0" borderId="0" xfId="0" applyNumberFormat="1" applyFont="1"/>
    <xf numFmtId="0" fontId="45" fillId="0" borderId="0" xfId="0" applyFont="1" applyProtection="1">
      <protection locked="0"/>
    </xf>
    <xf numFmtId="165" fontId="45" fillId="0" borderId="0" xfId="28" applyNumberFormat="1" applyFont="1" applyAlignment="1" applyProtection="1">
      <alignment horizontal="center"/>
    </xf>
    <xf numFmtId="0" fontId="45" fillId="0" borderId="12" xfId="0" applyFont="1" applyBorder="1" applyAlignment="1" applyProtection="1">
      <alignment horizontal="right"/>
      <protection locked="0"/>
    </xf>
    <xf numFmtId="0" fontId="45" fillId="0" borderId="0" xfId="0" applyFont="1" applyAlignment="1" applyProtection="1">
      <alignment horizontal="right"/>
      <protection locked="0"/>
    </xf>
    <xf numFmtId="0" fontId="45" fillId="0" borderId="18" xfId="0" applyFont="1" applyBorder="1" applyProtection="1">
      <protection locked="0"/>
    </xf>
    <xf numFmtId="0" fontId="45" fillId="0" borderId="22" xfId="0" applyFont="1" applyBorder="1" applyProtection="1">
      <protection locked="0"/>
    </xf>
    <xf numFmtId="38" fontId="45" fillId="0" borderId="22" xfId="28" applyNumberFormat="1" applyFont="1" applyBorder="1" applyProtection="1">
      <protection locked="0"/>
    </xf>
    <xf numFmtId="10" fontId="45" fillId="0" borderId="22" xfId="28" applyNumberFormat="1" applyFont="1" applyBorder="1" applyProtection="1">
      <protection locked="0"/>
    </xf>
    <xf numFmtId="0" fontId="45" fillId="0" borderId="21" xfId="0" applyFont="1" applyBorder="1" applyProtection="1">
      <protection locked="0"/>
    </xf>
    <xf numFmtId="38" fontId="45" fillId="0" borderId="0" xfId="28" applyNumberFormat="1" applyFont="1" applyBorder="1" applyProtection="1">
      <protection locked="0"/>
    </xf>
    <xf numFmtId="10" fontId="45" fillId="0" borderId="0" xfId="28" applyNumberFormat="1" applyFont="1" applyBorder="1" applyProtection="1">
      <protection locked="0"/>
    </xf>
    <xf numFmtId="38" fontId="45" fillId="0" borderId="0" xfId="0" applyNumberFormat="1" applyFont="1" applyProtection="1">
      <protection locked="0"/>
    </xf>
    <xf numFmtId="0" fontId="45" fillId="0" borderId="16" xfId="0" applyFont="1" applyBorder="1" applyProtection="1">
      <protection locked="0"/>
    </xf>
    <xf numFmtId="0" fontId="45" fillId="0" borderId="17" xfId="0" applyFont="1" applyBorder="1" applyProtection="1">
      <protection locked="0"/>
    </xf>
    <xf numFmtId="165" fontId="45" fillId="0" borderId="17" xfId="28" applyNumberFormat="1" applyFont="1" applyBorder="1" applyProtection="1">
      <protection locked="0"/>
    </xf>
    <xf numFmtId="0" fontId="45" fillId="0" borderId="20" xfId="0" applyFont="1" applyBorder="1" applyProtection="1">
      <protection locked="0"/>
    </xf>
    <xf numFmtId="0" fontId="45" fillId="0" borderId="0" xfId="0" applyFont="1" applyAlignment="1" applyProtection="1">
      <alignment wrapText="1"/>
      <protection locked="0"/>
    </xf>
    <xf numFmtId="0" fontId="51" fillId="0" borderId="0" xfId="0" applyFont="1" applyProtection="1">
      <protection locked="0"/>
    </xf>
    <xf numFmtId="0" fontId="51" fillId="0" borderId="17" xfId="0" applyFont="1" applyBorder="1" applyProtection="1">
      <protection locked="0"/>
    </xf>
    <xf numFmtId="165" fontId="45" fillId="0" borderId="0" xfId="28" applyNumberFormat="1" applyFont="1" applyBorder="1" applyAlignment="1" applyProtection="1">
      <alignment horizontal="center"/>
      <protection locked="0"/>
    </xf>
    <xf numFmtId="0" fontId="45" fillId="0" borderId="0" xfId="0" applyFont="1" applyAlignment="1" applyProtection="1">
      <alignment horizontal="center"/>
      <protection locked="0"/>
    </xf>
    <xf numFmtId="165" fontId="45" fillId="0" borderId="0" xfId="28" applyNumberFormat="1" applyFont="1" applyBorder="1" applyAlignment="1" applyProtection="1">
      <alignment horizontal="center" wrapText="1"/>
      <protection locked="0"/>
    </xf>
    <xf numFmtId="38" fontId="45" fillId="18" borderId="22" xfId="0" applyNumberFormat="1" applyFont="1" applyFill="1" applyBorder="1" applyProtection="1">
      <protection locked="0"/>
    </xf>
    <xf numFmtId="38" fontId="45" fillId="18" borderId="0" xfId="0" applyNumberFormat="1" applyFont="1" applyFill="1" applyProtection="1">
      <protection locked="0"/>
    </xf>
    <xf numFmtId="38" fontId="51" fillId="0" borderId="13" xfId="28" applyNumberFormat="1" applyFont="1" applyBorder="1" applyProtection="1">
      <protection locked="0"/>
    </xf>
    <xf numFmtId="38" fontId="51" fillId="0" borderId="17" xfId="28" applyNumberFormat="1" applyFont="1" applyBorder="1" applyProtection="1">
      <protection locked="0"/>
    </xf>
    <xf numFmtId="0" fontId="51" fillId="0" borderId="20" xfId="0" applyFont="1" applyBorder="1" applyProtection="1">
      <protection locked="0"/>
    </xf>
    <xf numFmtId="38" fontId="51" fillId="0" borderId="22" xfId="28" applyNumberFormat="1" applyFont="1" applyBorder="1" applyProtection="1">
      <protection locked="0"/>
    </xf>
    <xf numFmtId="38" fontId="51" fillId="0" borderId="0" xfId="28" applyNumberFormat="1" applyFont="1" applyBorder="1" applyProtection="1">
      <protection locked="0"/>
    </xf>
    <xf numFmtId="0" fontId="51" fillId="0" borderId="18" xfId="0" applyFont="1" applyBorder="1" applyProtection="1">
      <protection locked="0"/>
    </xf>
    <xf numFmtId="0" fontId="51" fillId="0" borderId="12" xfId="0" applyFont="1" applyBorder="1" applyProtection="1">
      <protection locked="0"/>
    </xf>
    <xf numFmtId="38" fontId="51" fillId="0" borderId="15" xfId="0" applyNumberFormat="1" applyFont="1" applyBorder="1" applyProtection="1">
      <protection locked="0"/>
    </xf>
    <xf numFmtId="0" fontId="45" fillId="0" borderId="18" xfId="0" applyFont="1" applyBorder="1" applyAlignment="1" applyProtection="1">
      <alignment wrapText="1"/>
      <protection locked="0"/>
    </xf>
    <xf numFmtId="166" fontId="0" fillId="0" borderId="0" xfId="0" applyNumberFormat="1"/>
    <xf numFmtId="0" fontId="0" fillId="0" borderId="0" xfId="0" applyAlignment="1">
      <alignment wrapText="1"/>
    </xf>
    <xf numFmtId="0" fontId="2" fillId="0" borderId="10" xfId="0" applyFont="1" applyBorder="1" applyAlignment="1">
      <alignment horizontal="center" vertical="center"/>
    </xf>
    <xf numFmtId="49" fontId="2" fillId="0" borderId="10" xfId="0" applyNumberFormat="1" applyFont="1" applyBorder="1" applyAlignment="1">
      <alignment horizontal="center" vertical="center"/>
    </xf>
    <xf numFmtId="0" fontId="2" fillId="0" borderId="10" xfId="0" applyFont="1" applyBorder="1" applyAlignment="1">
      <alignment horizontal="left" vertical="center"/>
    </xf>
    <xf numFmtId="49" fontId="2" fillId="0" borderId="10" xfId="0" quotePrefix="1" applyNumberFormat="1" applyFont="1" applyBorder="1" applyAlignment="1">
      <alignment horizontal="center" vertical="center"/>
    </xf>
    <xf numFmtId="0" fontId="2" fillId="0" borderId="10" xfId="0" quotePrefix="1" applyFont="1" applyBorder="1" applyAlignment="1">
      <alignment horizontal="center" vertical="center"/>
    </xf>
    <xf numFmtId="0" fontId="2" fillId="0" borderId="10" xfId="73" quotePrefix="1" applyFont="1" applyBorder="1" applyAlignment="1">
      <alignment horizontal="center" vertical="center"/>
    </xf>
    <xf numFmtId="0" fontId="10" fillId="0" borderId="19" xfId="0" applyFont="1" applyBorder="1"/>
    <xf numFmtId="0" fontId="9" fillId="0" borderId="16" xfId="0" applyFont="1" applyBorder="1" applyAlignment="1">
      <alignment horizontal="left" vertical="center"/>
    </xf>
    <xf numFmtId="0" fontId="10" fillId="0" borderId="12" xfId="0" applyFont="1" applyBorder="1"/>
    <xf numFmtId="0" fontId="9" fillId="0" borderId="16" xfId="0" applyFont="1" applyBorder="1"/>
    <xf numFmtId="0" fontId="9" fillId="0" borderId="17" xfId="0" applyFont="1" applyBorder="1"/>
    <xf numFmtId="0" fontId="9" fillId="0" borderId="11" xfId="0" applyFont="1" applyBorder="1"/>
    <xf numFmtId="0" fontId="9" fillId="0" borderId="14" xfId="0" applyFont="1" applyBorder="1" applyAlignment="1">
      <alignment horizontal="right"/>
    </xf>
    <xf numFmtId="4" fontId="10" fillId="0" borderId="18" xfId="0" applyNumberFormat="1" applyFont="1" applyBorder="1"/>
    <xf numFmtId="49" fontId="10" fillId="0" borderId="12" xfId="0" applyNumberFormat="1" applyFont="1" applyBorder="1"/>
    <xf numFmtId="0" fontId="10" fillId="0" borderId="12" xfId="0" quotePrefix="1" applyFont="1" applyBorder="1"/>
    <xf numFmtId="49" fontId="10" fillId="0" borderId="12" xfId="0" quotePrefix="1" applyNumberFormat="1" applyFont="1" applyBorder="1"/>
    <xf numFmtId="4" fontId="10" fillId="0" borderId="0" xfId="0" applyNumberFormat="1" applyFont="1"/>
    <xf numFmtId="164" fontId="9" fillId="0" borderId="33" xfId="0" applyNumberFormat="1" applyFont="1" applyBorder="1" applyAlignment="1">
      <alignment horizontal="center"/>
    </xf>
    <xf numFmtId="164" fontId="30" fillId="0" borderId="32" xfId="0" applyNumberFormat="1" applyFont="1" applyBorder="1" applyAlignment="1">
      <alignment horizontal="center" vertical="center" wrapText="1"/>
    </xf>
    <xf numFmtId="0" fontId="10" fillId="0" borderId="32" xfId="0" applyFont="1" applyBorder="1"/>
    <xf numFmtId="10" fontId="9" fillId="0" borderId="10" xfId="0" applyNumberFormat="1" applyFont="1" applyBorder="1" applyAlignment="1">
      <alignment horizontal="center"/>
    </xf>
    <xf numFmtId="10" fontId="10" fillId="0" borderId="32" xfId="0" applyNumberFormat="1" applyFont="1" applyBorder="1" applyAlignment="1">
      <alignment horizontal="center"/>
    </xf>
    <xf numFmtId="0" fontId="10" fillId="0" borderId="16" xfId="0" applyFont="1" applyBorder="1"/>
    <xf numFmtId="4" fontId="10" fillId="0" borderId="20" xfId="0" applyNumberFormat="1" applyFont="1" applyBorder="1"/>
    <xf numFmtId="10" fontId="10" fillId="0" borderId="34" xfId="0" applyNumberFormat="1" applyFont="1" applyBorder="1" applyAlignment="1">
      <alignment horizontal="center"/>
    </xf>
    <xf numFmtId="0" fontId="10" fillId="0" borderId="0" xfId="0" applyFont="1" applyAlignment="1">
      <alignment horizontal="center" wrapText="1"/>
    </xf>
    <xf numFmtId="164" fontId="9" fillId="0" borderId="0" xfId="115" applyNumberFormat="1" applyFont="1" applyAlignment="1" applyProtection="1">
      <alignment horizontal="center"/>
    </xf>
    <xf numFmtId="0" fontId="45" fillId="0" borderId="10" xfId="0" applyFont="1" applyBorder="1" applyAlignment="1">
      <alignment horizontal="left"/>
    </xf>
    <xf numFmtId="0" fontId="45" fillId="0" borderId="10" xfId="0" applyFont="1" applyBorder="1"/>
    <xf numFmtId="164" fontId="9" fillId="0" borderId="0" xfId="115" applyNumberFormat="1" applyFont="1" applyFill="1" applyAlignment="1" applyProtection="1">
      <alignment horizontal="left"/>
    </xf>
    <xf numFmtId="164" fontId="9" fillId="0" borderId="0" xfId="115" applyNumberFormat="1" applyFont="1" applyFill="1" applyAlignment="1" applyProtection="1">
      <alignment horizontal="center"/>
    </xf>
    <xf numFmtId="3" fontId="45" fillId="18" borderId="10" xfId="28" applyNumberFormat="1" applyFont="1" applyFill="1" applyBorder="1" applyAlignment="1" applyProtection="1">
      <protection locked="0"/>
    </xf>
    <xf numFmtId="3" fontId="45" fillId="0" borderId="10" xfId="28" applyNumberFormat="1" applyFont="1" applyFill="1" applyBorder="1" applyAlignment="1" applyProtection="1">
      <alignment horizontal="right"/>
    </xf>
    <xf numFmtId="3" fontId="45" fillId="0" borderId="10" xfId="0" applyNumberFormat="1" applyFont="1" applyBorder="1"/>
    <xf numFmtId="166" fontId="10" fillId="0" borderId="0" xfId="0" applyNumberFormat="1" applyFont="1" applyAlignment="1">
      <alignment horizontal="center"/>
    </xf>
    <xf numFmtId="3" fontId="10" fillId="0" borderId="0" xfId="43" applyNumberFormat="1" applyFont="1" applyFill="1" applyBorder="1" applyAlignment="1" applyProtection="1">
      <alignment horizontal="right"/>
    </xf>
    <xf numFmtId="3" fontId="10" fillId="0" borderId="0" xfId="0" applyNumberFormat="1" applyFont="1" applyAlignment="1">
      <alignment horizontal="right"/>
    </xf>
    <xf numFmtId="0" fontId="51" fillId="0" borderId="0" xfId="0" applyFont="1"/>
    <xf numFmtId="3" fontId="10" fillId="0" borderId="0" xfId="0" applyNumberFormat="1" applyFont="1"/>
    <xf numFmtId="166" fontId="9" fillId="0" borderId="0" xfId="0" applyNumberFormat="1" applyFont="1" applyAlignment="1">
      <alignment horizontal="center"/>
    </xf>
    <xf numFmtId="0" fontId="9" fillId="0" borderId="0" xfId="0" applyFont="1" applyAlignment="1">
      <alignment horizontal="left"/>
    </xf>
    <xf numFmtId="166" fontId="9" fillId="0" borderId="0" xfId="115" applyNumberFormat="1" applyFont="1" applyAlignment="1" applyProtection="1">
      <alignment horizontal="left"/>
    </xf>
    <xf numFmtId="0" fontId="45" fillId="0" borderId="0" xfId="0" applyFont="1" applyAlignment="1">
      <alignment vertical="top"/>
    </xf>
    <xf numFmtId="165" fontId="40" fillId="0" borderId="10" xfId="28" applyNumberFormat="1" applyFont="1" applyFill="1" applyBorder="1" applyProtection="1"/>
    <xf numFmtId="165" fontId="40" fillId="18" borderId="10" xfId="28" applyNumberFormat="1" applyFont="1" applyFill="1" applyBorder="1" applyProtection="1"/>
    <xf numFmtId="165" fontId="40" fillId="0" borderId="10" xfId="28" applyNumberFormat="1" applyFont="1" applyFill="1" applyBorder="1" applyAlignment="1" applyProtection="1"/>
    <xf numFmtId="3" fontId="40" fillId="19" borderId="10" xfId="0" applyNumberFormat="1" applyFont="1" applyFill="1" applyBorder="1" applyAlignment="1">
      <alignment horizontal="right"/>
    </xf>
    <xf numFmtId="2" fontId="9" fillId="0" borderId="0" xfId="115" applyNumberFormat="1" applyFont="1" applyAlignment="1" applyProtection="1">
      <alignment horizontal="center"/>
    </xf>
    <xf numFmtId="0" fontId="40" fillId="0" borderId="14" xfId="0" applyFont="1" applyBorder="1" applyAlignment="1">
      <alignment horizontal="left" indent="2"/>
    </xf>
    <xf numFmtId="0" fontId="45" fillId="0" borderId="34" xfId="0" applyFont="1" applyBorder="1"/>
    <xf numFmtId="0" fontId="45" fillId="18" borderId="34" xfId="0" applyFont="1" applyFill="1" applyBorder="1" applyProtection="1">
      <protection locked="0"/>
    </xf>
    <xf numFmtId="0" fontId="40" fillId="0" borderId="11" xfId="0" quotePrefix="1" applyFont="1" applyBorder="1" applyAlignment="1">
      <alignment horizontal="left" indent="2"/>
    </xf>
    <xf numFmtId="0" fontId="1" fillId="0" borderId="10" xfId="0" quotePrefix="1" applyFont="1" applyBorder="1" applyAlignment="1">
      <alignment horizontal="center" vertical="center"/>
    </xf>
    <xf numFmtId="49" fontId="1" fillId="0" borderId="10" xfId="0" applyNumberFormat="1" applyFont="1" applyBorder="1" applyAlignment="1">
      <alignment horizontal="center" vertical="center"/>
    </xf>
    <xf numFmtId="0" fontId="1" fillId="0" borderId="10" xfId="0" applyFont="1" applyBorder="1" applyAlignment="1">
      <alignment horizontal="left" vertical="center"/>
    </xf>
    <xf numFmtId="0" fontId="35" fillId="0" borderId="0" xfId="0" applyFont="1"/>
    <xf numFmtId="0" fontId="35" fillId="53" borderId="0" xfId="0" applyFont="1" applyFill="1"/>
    <xf numFmtId="165" fontId="40" fillId="0" borderId="10" xfId="43" applyNumberFormat="1" applyFont="1" applyFill="1" applyBorder="1" applyAlignment="1" applyProtection="1">
      <alignment horizontal="right"/>
    </xf>
    <xf numFmtId="10" fontId="10" fillId="0" borderId="33" xfId="0" applyNumberFormat="1" applyFont="1" applyBorder="1" applyAlignment="1">
      <alignment horizontal="center"/>
    </xf>
    <xf numFmtId="0" fontId="0" fillId="0" borderId="0" xfId="0" applyAlignment="1">
      <alignment horizontal="center" vertical="center"/>
    </xf>
    <xf numFmtId="165" fontId="10" fillId="0" borderId="0" xfId="0" applyNumberFormat="1" applyFont="1"/>
    <xf numFmtId="0" fontId="71" fillId="54" borderId="35" xfId="229" applyFont="1" applyFill="1" applyBorder="1" applyAlignment="1">
      <alignment horizontal="center"/>
    </xf>
    <xf numFmtId="0" fontId="71" fillId="0" borderId="7" xfId="229" applyFont="1" applyBorder="1" applyAlignment="1">
      <alignment wrapText="1"/>
    </xf>
    <xf numFmtId="0" fontId="71" fillId="0" borderId="7" xfId="229" applyFont="1" applyBorder="1" applyAlignment="1">
      <alignment horizontal="right" wrapText="1"/>
    </xf>
    <xf numFmtId="0" fontId="0" fillId="0" borderId="0" xfId="0" pivotButton="1"/>
    <xf numFmtId="0" fontId="46" fillId="0" borderId="0" xfId="0" applyFont="1"/>
    <xf numFmtId="49" fontId="68" fillId="18" borderId="10" xfId="0" quotePrefix="1" applyNumberFormat="1" applyFont="1" applyFill="1" applyBorder="1" applyAlignment="1" applyProtection="1">
      <alignment horizontal="center" vertical="center" wrapText="1"/>
      <protection locked="0"/>
    </xf>
    <xf numFmtId="0" fontId="40" fillId="0" borderId="10" xfId="0" applyFont="1" applyBorder="1" applyAlignment="1">
      <alignment horizontal="center" vertical="center" wrapText="1"/>
    </xf>
    <xf numFmtId="0" fontId="49" fillId="0" borderId="10" xfId="0" applyFont="1" applyBorder="1" applyAlignment="1">
      <alignment horizontal="center" vertical="center" wrapText="1"/>
    </xf>
    <xf numFmtId="0" fontId="68" fillId="0" borderId="0" xfId="0" applyFont="1" applyAlignment="1">
      <alignment horizontal="center"/>
    </xf>
    <xf numFmtId="43" fontId="10" fillId="0" borderId="0" xfId="0" applyNumberFormat="1" applyFont="1"/>
    <xf numFmtId="0" fontId="11" fillId="0" borderId="36" xfId="229" quotePrefix="1" applyFont="1" applyBorder="1" applyAlignment="1">
      <alignment wrapText="1"/>
    </xf>
    <xf numFmtId="0" fontId="0" fillId="0" borderId="0" xfId="0" quotePrefix="1"/>
    <xf numFmtId="0" fontId="74" fillId="55" borderId="0" xfId="0" applyFont="1" applyFill="1" applyAlignment="1">
      <alignment wrapText="1"/>
    </xf>
    <xf numFmtId="4" fontId="74" fillId="55" borderId="0" xfId="0" applyNumberFormat="1" applyFont="1" applyFill="1" applyAlignment="1">
      <alignment horizontal="right" wrapText="1"/>
    </xf>
    <xf numFmtId="4" fontId="0" fillId="0" borderId="0" xfId="0" applyNumberFormat="1"/>
    <xf numFmtId="164" fontId="49" fillId="0" borderId="34" xfId="115" applyNumberFormat="1" applyFont="1" applyFill="1" applyBorder="1" applyAlignment="1" applyProtection="1">
      <alignment horizontal="center" vertical="center" wrapText="1"/>
    </xf>
    <xf numFmtId="0" fontId="40" fillId="56" borderId="16" xfId="0" applyFont="1" applyFill="1" applyBorder="1" applyAlignment="1">
      <alignment horizontal="center" vertical="center" wrapText="1"/>
    </xf>
    <xf numFmtId="49" fontId="49" fillId="56" borderId="17" xfId="0" quotePrefix="1" applyNumberFormat="1" applyFont="1" applyFill="1" applyBorder="1" applyAlignment="1" applyProtection="1">
      <alignment horizontal="center" vertical="center" wrapText="1"/>
      <protection locked="0"/>
    </xf>
    <xf numFmtId="0" fontId="42" fillId="0" borderId="0" xfId="177" applyFont="1" applyAlignment="1" applyProtection="1">
      <alignment horizontal="left" vertical="top" wrapText="1"/>
    </xf>
    <xf numFmtId="0" fontId="47" fillId="0" borderId="0" xfId="0" applyFont="1" applyAlignment="1">
      <alignment horizontal="left" vertical="top" wrapText="1"/>
    </xf>
    <xf numFmtId="0" fontId="40" fillId="0" borderId="11" xfId="0" applyFont="1" applyBorder="1" applyAlignment="1">
      <alignment horizontal="left"/>
    </xf>
    <xf numFmtId="0" fontId="40" fillId="0" borderId="14" xfId="0" applyFont="1" applyBorder="1" applyAlignment="1">
      <alignment horizontal="left"/>
    </xf>
    <xf numFmtId="0" fontId="73" fillId="0" borderId="0" xfId="0" applyFont="1" applyAlignment="1">
      <alignment horizontal="center"/>
    </xf>
    <xf numFmtId="0" fontId="69" fillId="52" borderId="11" xfId="0" applyFont="1" applyFill="1" applyBorder="1" applyAlignment="1">
      <alignment horizontal="center" vertical="center"/>
    </xf>
    <xf numFmtId="0" fontId="69" fillId="52" borderId="13" xfId="0" applyFont="1" applyFill="1" applyBorder="1" applyAlignment="1">
      <alignment horizontal="center" vertical="center"/>
    </xf>
    <xf numFmtId="0" fontId="69" fillId="52" borderId="14" xfId="0" applyFont="1" applyFill="1" applyBorder="1" applyAlignment="1">
      <alignment horizontal="center" vertical="center"/>
    </xf>
    <xf numFmtId="0" fontId="40" fillId="0" borderId="11" xfId="0" applyFont="1" applyBorder="1" applyAlignment="1">
      <alignment horizontal="left" indent="2"/>
    </xf>
    <xf numFmtId="0" fontId="40" fillId="0" borderId="14" xfId="0" applyFont="1" applyBorder="1" applyAlignment="1">
      <alignment horizontal="left" indent="2"/>
    </xf>
    <xf numFmtId="0" fontId="70" fillId="52" borderId="13" xfId="0" applyFont="1" applyFill="1" applyBorder="1" applyAlignment="1">
      <alignment horizontal="center" vertical="center"/>
    </xf>
    <xf numFmtId="0" fontId="70" fillId="52" borderId="14" xfId="0" applyFont="1" applyFill="1" applyBorder="1" applyAlignment="1">
      <alignment horizontal="center" vertical="center"/>
    </xf>
    <xf numFmtId="0" fontId="68" fillId="52" borderId="11" xfId="0" applyFont="1" applyFill="1" applyBorder="1" applyAlignment="1">
      <alignment horizontal="center"/>
    </xf>
    <xf numFmtId="0" fontId="68" fillId="52" borderId="13" xfId="0" applyFont="1" applyFill="1" applyBorder="1" applyAlignment="1">
      <alignment horizontal="center"/>
    </xf>
    <xf numFmtId="0" fontId="68" fillId="52" borderId="14" xfId="0" applyFont="1" applyFill="1" applyBorder="1" applyAlignment="1">
      <alignment horizontal="center"/>
    </xf>
    <xf numFmtId="0" fontId="40" fillId="0" borderId="11" xfId="0" applyFont="1" applyBorder="1" applyAlignment="1">
      <alignment horizontal="left" vertical="top"/>
    </xf>
    <xf numFmtId="0" fontId="40" fillId="0" borderId="14" xfId="0" applyFont="1" applyBorder="1" applyAlignment="1">
      <alignment horizontal="left" vertical="top"/>
    </xf>
    <xf numFmtId="0" fontId="46" fillId="0" borderId="11" xfId="0" applyFont="1" applyBorder="1" applyAlignment="1">
      <alignment horizontal="center"/>
    </xf>
    <xf numFmtId="0" fontId="46" fillId="0" borderId="13" xfId="0" applyFont="1" applyBorder="1" applyAlignment="1">
      <alignment horizontal="center"/>
    </xf>
    <xf numFmtId="0" fontId="46" fillId="0" borderId="14" xfId="0" applyFont="1" applyBorder="1" applyAlignment="1">
      <alignment horizontal="center"/>
    </xf>
    <xf numFmtId="0" fontId="40" fillId="0" borderId="13" xfId="0" applyFont="1" applyBorder="1" applyAlignment="1">
      <alignment horizontal="left"/>
    </xf>
    <xf numFmtId="0" fontId="51" fillId="0" borderId="0" xfId="0" applyFont="1" applyAlignment="1">
      <alignment horizontal="left" wrapText="1"/>
    </xf>
    <xf numFmtId="0" fontId="51" fillId="0" borderId="19" xfId="0" applyFont="1" applyBorder="1" applyAlignment="1" applyProtection="1">
      <alignment horizontal="center"/>
      <protection locked="0"/>
    </xf>
    <xf numFmtId="0" fontId="51" fillId="0" borderId="22" xfId="0" applyFont="1" applyBorder="1" applyAlignment="1" applyProtection="1">
      <alignment horizontal="center"/>
      <protection locked="0"/>
    </xf>
    <xf numFmtId="0" fontId="51" fillId="0" borderId="21" xfId="0" applyFont="1" applyBorder="1" applyAlignment="1" applyProtection="1">
      <alignment horizontal="center"/>
      <protection locked="0"/>
    </xf>
    <xf numFmtId="0" fontId="51" fillId="18" borderId="17" xfId="0" applyFont="1" applyFill="1" applyBorder="1" applyAlignment="1" applyProtection="1">
      <alignment horizontal="center"/>
      <protection locked="0"/>
    </xf>
    <xf numFmtId="0" fontId="45" fillId="0" borderId="19" xfId="0" applyFont="1" applyBorder="1" applyAlignment="1" applyProtection="1">
      <alignment horizontal="center" vertical="center"/>
      <protection locked="0"/>
    </xf>
    <xf numFmtId="0" fontId="45" fillId="0" borderId="12" xfId="0" applyFont="1" applyBorder="1" applyAlignment="1" applyProtection="1">
      <alignment horizontal="center" vertical="center"/>
      <protection locked="0"/>
    </xf>
    <xf numFmtId="0" fontId="45" fillId="0" borderId="16" xfId="0" applyFont="1" applyBorder="1" applyAlignment="1" applyProtection="1">
      <alignment horizontal="center" vertical="center"/>
      <protection locked="0"/>
    </xf>
    <xf numFmtId="0" fontId="45" fillId="0" borderId="0" xfId="0" applyFont="1" applyAlignment="1">
      <alignment horizontal="center"/>
    </xf>
  </cellXfs>
  <cellStyles count="230">
    <cellStyle name="20% - Accent1" xfId="1" builtinId="30" customBuiltin="1"/>
    <cellStyle name="20% - Accent1 2" xfId="203" xr:uid="{99812590-1D25-4ED4-AD0D-FD170D47DDA8}"/>
    <cellStyle name="20% - Accent2" xfId="2" builtinId="34" customBuiltin="1"/>
    <cellStyle name="20% - Accent2 2" xfId="207" xr:uid="{E0CE9302-EA64-401E-8270-3C0DA78CEAB0}"/>
    <cellStyle name="20% - Accent3" xfId="3" builtinId="38" customBuiltin="1"/>
    <cellStyle name="20% - Accent3 2" xfId="211" xr:uid="{6DA63D35-63DD-476C-87E2-3855A27DF0A0}"/>
    <cellStyle name="20% - Accent4" xfId="4" builtinId="42" customBuiltin="1"/>
    <cellStyle name="20% - Accent4 2" xfId="215" xr:uid="{A7575300-64AE-486A-8563-F00FC50C3BAE}"/>
    <cellStyle name="20% - Accent5" xfId="5" builtinId="46" customBuiltin="1"/>
    <cellStyle name="20% - Accent5 2" xfId="219" xr:uid="{E59FC689-3763-4BE8-A45A-EC4346007092}"/>
    <cellStyle name="20% - Accent6" xfId="6" builtinId="50" customBuiltin="1"/>
    <cellStyle name="20% - Accent6 2" xfId="223" xr:uid="{2A1F8F83-E395-4C60-A7AB-09F8BF27D326}"/>
    <cellStyle name="40% - Accent1" xfId="7" builtinId="31" customBuiltin="1"/>
    <cellStyle name="40% - Accent1 2" xfId="204" xr:uid="{1178D19D-AF8F-4C93-9198-E64C1C7EE385}"/>
    <cellStyle name="40% - Accent2" xfId="8" builtinId="35" customBuiltin="1"/>
    <cellStyle name="40% - Accent2 2" xfId="208" xr:uid="{16D91E19-5436-40BB-AC07-574A50E4DB27}"/>
    <cellStyle name="40% - Accent3" xfId="9" builtinId="39" customBuiltin="1"/>
    <cellStyle name="40% - Accent3 2" xfId="212" xr:uid="{07C7DDB9-4BD4-4467-8ED5-003E80FEB42E}"/>
    <cellStyle name="40% - Accent4" xfId="10" builtinId="43" customBuiltin="1"/>
    <cellStyle name="40% - Accent4 2" xfId="216" xr:uid="{F85A66B7-E598-47BA-9AFA-FB070D7B3E09}"/>
    <cellStyle name="40% - Accent5" xfId="11" builtinId="47" customBuiltin="1"/>
    <cellStyle name="40% - Accent5 2" xfId="220" xr:uid="{11FA88B0-A248-4116-9217-EBD8C42E45D0}"/>
    <cellStyle name="40% - Accent6" xfId="12" builtinId="51" customBuiltin="1"/>
    <cellStyle name="40% - Accent6 2" xfId="224" xr:uid="{ABAFFF5D-690D-4AC8-B4AD-E75FB18D9F45}"/>
    <cellStyle name="60% - Accent1" xfId="13" builtinId="32" customBuiltin="1"/>
    <cellStyle name="60% - Accent1 2" xfId="205" xr:uid="{DC0689E4-8745-474E-BA66-492CE606AE00}"/>
    <cellStyle name="60% - Accent2" xfId="14" builtinId="36" customBuiltin="1"/>
    <cellStyle name="60% - Accent2 2" xfId="209" xr:uid="{9E59E901-18E7-4413-9EB5-C422EF28405F}"/>
    <cellStyle name="60% - Accent3" xfId="15" builtinId="40" customBuiltin="1"/>
    <cellStyle name="60% - Accent3 2" xfId="213" xr:uid="{8F3CAC72-11BF-40A0-B2CD-B2CCBE58D4F9}"/>
    <cellStyle name="60% - Accent4" xfId="16" builtinId="44" customBuiltin="1"/>
    <cellStyle name="60% - Accent4 2" xfId="217" xr:uid="{B6563BE8-323C-41D2-AB4A-7A85FFFFCF22}"/>
    <cellStyle name="60% - Accent5" xfId="17" builtinId="48" customBuiltin="1"/>
    <cellStyle name="60% - Accent5 2" xfId="221" xr:uid="{04D96B49-2451-4A95-8518-67747DA956C9}"/>
    <cellStyle name="60% - Accent6" xfId="18" builtinId="52" customBuiltin="1"/>
    <cellStyle name="60% - Accent6 2" xfId="225" xr:uid="{7A471940-CA45-4419-BAEA-94D5CEAC5043}"/>
    <cellStyle name="Accent1" xfId="19" builtinId="29" customBuiltin="1"/>
    <cellStyle name="Accent1 2" xfId="202" xr:uid="{AE55C60C-0001-492C-965E-FB4AC9A7F074}"/>
    <cellStyle name="Accent2" xfId="20" builtinId="33" customBuiltin="1"/>
    <cellStyle name="Accent2 2" xfId="206" xr:uid="{D641FE1C-D178-4514-8E0C-1F766F52BF0B}"/>
    <cellStyle name="Accent3" xfId="21" builtinId="37" customBuiltin="1"/>
    <cellStyle name="Accent3 2" xfId="210" xr:uid="{2232F05E-4DB5-411F-A2B2-C9F6BB135BEE}"/>
    <cellStyle name="Accent4" xfId="22" builtinId="41" customBuiltin="1"/>
    <cellStyle name="Accent4 2" xfId="214" xr:uid="{6EF56F6B-6822-4C73-9D66-ACD700879280}"/>
    <cellStyle name="Accent5" xfId="23" builtinId="45" customBuiltin="1"/>
    <cellStyle name="Accent5 2" xfId="218" xr:uid="{F944CCBA-FDE8-4547-BCB4-ABAC9E3F443E}"/>
    <cellStyle name="Accent6" xfId="24" builtinId="49" customBuiltin="1"/>
    <cellStyle name="Accent6 2" xfId="222" xr:uid="{0EA5080D-2C4C-4471-BAE4-CC21273E850A}"/>
    <cellStyle name="Bad" xfId="25" builtinId="27" customBuiltin="1"/>
    <cellStyle name="Bad 2" xfId="191" xr:uid="{B3C1991E-2533-4693-817E-7FDB522CD139}"/>
    <cellStyle name="Calculation" xfId="26" builtinId="22" customBuiltin="1"/>
    <cellStyle name="Calculation 2" xfId="195" xr:uid="{29A8A92C-6E30-48B7-93E1-A65C6ED6AC9D}"/>
    <cellStyle name="Check Cell" xfId="27" builtinId="23" customBuiltin="1"/>
    <cellStyle name="Check Cell 2" xfId="197" xr:uid="{0E4700C4-81E9-49D4-99D4-BC752D050C5B}"/>
    <cellStyle name="Comma" xfId="28" builtinId="3"/>
    <cellStyle name="Comma 2" xfId="29" xr:uid="{00000000-0005-0000-0000-00001C000000}"/>
    <cellStyle name="Comma 2 2" xfId="30" xr:uid="{00000000-0005-0000-0000-00001D000000}"/>
    <cellStyle name="Comma 2 2 2" xfId="31" xr:uid="{00000000-0005-0000-0000-00001E000000}"/>
    <cellStyle name="Comma 2 3" xfId="32" xr:uid="{00000000-0005-0000-0000-00001F000000}"/>
    <cellStyle name="Comma 3" xfId="33" xr:uid="{00000000-0005-0000-0000-000020000000}"/>
    <cellStyle name="Comma 3 2" xfId="34" xr:uid="{00000000-0005-0000-0000-000021000000}"/>
    <cellStyle name="Comma 4" xfId="35" xr:uid="{00000000-0005-0000-0000-000022000000}"/>
    <cellStyle name="Comma 4 2" xfId="36" xr:uid="{00000000-0005-0000-0000-000023000000}"/>
    <cellStyle name="Comma 4 3" xfId="37" xr:uid="{00000000-0005-0000-0000-000024000000}"/>
    <cellStyle name="Comma 5" xfId="38" xr:uid="{00000000-0005-0000-0000-000025000000}"/>
    <cellStyle name="Comma 5 2" xfId="39" xr:uid="{00000000-0005-0000-0000-000026000000}"/>
    <cellStyle name="Comma 6" xfId="40" xr:uid="{00000000-0005-0000-0000-000027000000}"/>
    <cellStyle name="Comma 6 2" xfId="41" xr:uid="{00000000-0005-0000-0000-000028000000}"/>
    <cellStyle name="Comma 6 2 2" xfId="145" xr:uid="{00000000-0005-0000-0000-000029000000}"/>
    <cellStyle name="Comma 6 3" xfId="144" xr:uid="{00000000-0005-0000-0000-00002A000000}"/>
    <cellStyle name="Comma 7" xfId="42" xr:uid="{00000000-0005-0000-0000-00002B000000}"/>
    <cellStyle name="Comma 7 2" xfId="147" xr:uid="{00000000-0005-0000-0000-00002C000000}"/>
    <cellStyle name="Comma 7 3" xfId="146" xr:uid="{00000000-0005-0000-0000-00002D000000}"/>
    <cellStyle name="Comma 8" xfId="143" xr:uid="{00000000-0005-0000-0000-00002E000000}"/>
    <cellStyle name="Comma 9" xfId="178" xr:uid="{00000000-0005-0000-0000-00002F000000}"/>
    <cellStyle name="Currency" xfId="43" builtinId="4"/>
    <cellStyle name="Currency 2" xfId="44" xr:uid="{00000000-0005-0000-0000-000031000000}"/>
    <cellStyle name="Currency 2 2" xfId="45" xr:uid="{00000000-0005-0000-0000-000032000000}"/>
    <cellStyle name="Currency 2 3" xfId="46" xr:uid="{00000000-0005-0000-0000-000033000000}"/>
    <cellStyle name="Currency 3" xfId="47" xr:uid="{00000000-0005-0000-0000-000034000000}"/>
    <cellStyle name="Currency 3 2" xfId="48" xr:uid="{00000000-0005-0000-0000-000035000000}"/>
    <cellStyle name="Currency 3 3" xfId="49" xr:uid="{00000000-0005-0000-0000-000036000000}"/>
    <cellStyle name="Currency 4" xfId="50" xr:uid="{00000000-0005-0000-0000-000037000000}"/>
    <cellStyle name="Currency 4 2" xfId="51" xr:uid="{00000000-0005-0000-0000-000038000000}"/>
    <cellStyle name="Currency 5" xfId="52" xr:uid="{00000000-0005-0000-0000-000039000000}"/>
    <cellStyle name="Currency 5 2" xfId="53" xr:uid="{00000000-0005-0000-0000-00003A000000}"/>
    <cellStyle name="Currency 5 3" xfId="54" xr:uid="{00000000-0005-0000-0000-00003B000000}"/>
    <cellStyle name="Currency 6" xfId="55" xr:uid="{00000000-0005-0000-0000-00003C000000}"/>
    <cellStyle name="Currency 6 2" xfId="150" xr:uid="{00000000-0005-0000-0000-00003D000000}"/>
    <cellStyle name="Currency 6 3" xfId="149" xr:uid="{00000000-0005-0000-0000-00003E000000}"/>
    <cellStyle name="Currency 7" xfId="56" xr:uid="{00000000-0005-0000-0000-00003F000000}"/>
    <cellStyle name="Currency 7 2" xfId="152" xr:uid="{00000000-0005-0000-0000-000040000000}"/>
    <cellStyle name="Currency 7 3" xfId="151" xr:uid="{00000000-0005-0000-0000-000041000000}"/>
    <cellStyle name="Currency 8" xfId="148" xr:uid="{00000000-0005-0000-0000-000042000000}"/>
    <cellStyle name="Currency 9" xfId="179" xr:uid="{00000000-0005-0000-0000-000043000000}"/>
    <cellStyle name="Explanatory Text" xfId="57" builtinId="53" customBuiltin="1"/>
    <cellStyle name="Explanatory Text 2" xfId="200" xr:uid="{81F87CEF-B762-49F2-A6E9-C7CB71B5A49E}"/>
    <cellStyle name="Good" xfId="58" builtinId="26" customBuiltin="1"/>
    <cellStyle name="Good 2" xfId="190" xr:uid="{A0E14B24-4843-4042-8272-257FC80B9D02}"/>
    <cellStyle name="Heading 1" xfId="59" builtinId="16" customBuiltin="1"/>
    <cellStyle name="Heading 1 2" xfId="186" xr:uid="{ED999443-FD03-43A8-9735-1038BB692DD2}"/>
    <cellStyle name="Heading 2" xfId="60" builtinId="17" customBuiltin="1"/>
    <cellStyle name="Heading 2 2" xfId="187" xr:uid="{3682D472-6426-467A-929F-1A56036A4FC4}"/>
    <cellStyle name="Heading 3" xfId="61" builtinId="18" customBuiltin="1"/>
    <cellStyle name="Heading 3 2" xfId="188" xr:uid="{BA3086B0-D08E-4E8A-941C-EE6242838542}"/>
    <cellStyle name="Heading 4" xfId="62" builtinId="19" customBuiltin="1"/>
    <cellStyle name="Heading 4 2" xfId="189" xr:uid="{FE4F9DA2-B67B-4561-9E39-A7246E085974}"/>
    <cellStyle name="Hyperlink" xfId="177" builtinId="8"/>
    <cellStyle name="Input" xfId="63" builtinId="20" customBuiltin="1"/>
    <cellStyle name="Input 2" xfId="193" xr:uid="{D6F723B3-D99D-4CAA-940D-A693832F9EDD}"/>
    <cellStyle name="Linked Cell" xfId="64" builtinId="24" customBuiltin="1"/>
    <cellStyle name="Linked Cell 2" xfId="196" xr:uid="{DEDDFEF2-12CC-4DB5-B2D7-3DB16277142E}"/>
    <cellStyle name="Neutral" xfId="65" builtinId="28" customBuiltin="1"/>
    <cellStyle name="Neutral 2" xfId="192" xr:uid="{CAF54BE3-C274-448E-9D97-F478CFB8AC7A}"/>
    <cellStyle name="Normal" xfId="0" builtinId="0"/>
    <cellStyle name="Normal 10" xfId="66" xr:uid="{00000000-0005-0000-0000-00004F000000}"/>
    <cellStyle name="Normal 10 2" xfId="67" xr:uid="{00000000-0005-0000-0000-000050000000}"/>
    <cellStyle name="Normal 11" xfId="68" xr:uid="{00000000-0005-0000-0000-000051000000}"/>
    <cellStyle name="Normal 11 2" xfId="69" xr:uid="{00000000-0005-0000-0000-000052000000}"/>
    <cellStyle name="Normal 12" xfId="70" xr:uid="{00000000-0005-0000-0000-000053000000}"/>
    <cellStyle name="Normal 13" xfId="71" xr:uid="{00000000-0005-0000-0000-000054000000}"/>
    <cellStyle name="Normal 14" xfId="171" xr:uid="{00000000-0005-0000-0000-000055000000}"/>
    <cellStyle name="Normal 15" xfId="182" xr:uid="{00000000-0005-0000-0000-000056000000}"/>
    <cellStyle name="Normal 16" xfId="226" xr:uid="{94811801-4350-4444-B971-FE603D678590}"/>
    <cellStyle name="Normal 2" xfId="72" xr:uid="{00000000-0005-0000-0000-000057000000}"/>
    <cellStyle name="Normal 2 10" xfId="153" xr:uid="{00000000-0005-0000-0000-000058000000}"/>
    <cellStyle name="Normal 2 10 2" xfId="154" xr:uid="{00000000-0005-0000-0000-000059000000}"/>
    <cellStyle name="Normal 2 10 3" xfId="172" xr:uid="{00000000-0005-0000-0000-00005A000000}"/>
    <cellStyle name="Normal 2 10_Sec 611 Poverty" xfId="155" xr:uid="{00000000-0005-0000-0000-00005B000000}"/>
    <cellStyle name="Normal 2 2" xfId="73" xr:uid="{00000000-0005-0000-0000-00005C000000}"/>
    <cellStyle name="Normal 2 2 2" xfId="74" xr:uid="{00000000-0005-0000-0000-00005D000000}"/>
    <cellStyle name="Normal 2 2 2 2 2" xfId="184" xr:uid="{5228F943-A795-4FEF-AA4B-1AB25CDB1D5D}"/>
    <cellStyle name="Normal 2 2 2 2 2 2" xfId="227" xr:uid="{01861F1B-A473-470E-A3C9-27E3D679DD83}"/>
    <cellStyle name="Normal 2 2 3" xfId="75" xr:uid="{00000000-0005-0000-0000-00005E000000}"/>
    <cellStyle name="Normal 2 2 4" xfId="76" xr:uid="{00000000-0005-0000-0000-00005F000000}"/>
    <cellStyle name="Normal 2 3" xfId="77" xr:uid="{00000000-0005-0000-0000-000060000000}"/>
    <cellStyle name="Normal 2 3 2" xfId="78" xr:uid="{00000000-0005-0000-0000-000061000000}"/>
    <cellStyle name="Normal 2 3 2 2" xfId="228" xr:uid="{A00B6FE1-856F-4375-A249-282E1C319236}"/>
    <cellStyle name="Normal 2 3 3" xfId="79" xr:uid="{00000000-0005-0000-0000-000062000000}"/>
    <cellStyle name="Normal 2 3 4" xfId="80" xr:uid="{00000000-0005-0000-0000-000063000000}"/>
    <cellStyle name="Normal 2 4" xfId="81" xr:uid="{00000000-0005-0000-0000-000064000000}"/>
    <cellStyle name="Normal 2 4 2" xfId="82" xr:uid="{00000000-0005-0000-0000-000065000000}"/>
    <cellStyle name="Normal 2 4 3" xfId="83" xr:uid="{00000000-0005-0000-0000-000066000000}"/>
    <cellStyle name="Normal 2 5" xfId="84" xr:uid="{00000000-0005-0000-0000-000067000000}"/>
    <cellStyle name="Normal 2 5 2" xfId="85" xr:uid="{00000000-0005-0000-0000-000068000000}"/>
    <cellStyle name="Normal 2 5 3" xfId="86" xr:uid="{00000000-0005-0000-0000-000069000000}"/>
    <cellStyle name="Normal 2 6" xfId="87" xr:uid="{00000000-0005-0000-0000-00006A000000}"/>
    <cellStyle name="Normal 2 7" xfId="88" xr:uid="{00000000-0005-0000-0000-00006B000000}"/>
    <cellStyle name="Normal 2 7 2" xfId="89" xr:uid="{00000000-0005-0000-0000-00006C000000}"/>
    <cellStyle name="Normal 2 7_Sec 611 Poverty" xfId="156" xr:uid="{00000000-0005-0000-0000-00006D000000}"/>
    <cellStyle name="Normal 2 8" xfId="90" xr:uid="{00000000-0005-0000-0000-00006E000000}"/>
    <cellStyle name="Normal 2 8 2" xfId="91" xr:uid="{00000000-0005-0000-0000-00006F000000}"/>
    <cellStyle name="Normal 2 8_Sec 611 Poverty" xfId="157" xr:uid="{00000000-0005-0000-0000-000070000000}"/>
    <cellStyle name="Normal 2 9" xfId="92" xr:uid="{00000000-0005-0000-0000-000071000000}"/>
    <cellStyle name="Normal 2 9 2" xfId="159" xr:uid="{00000000-0005-0000-0000-000072000000}"/>
    <cellStyle name="Normal 2 9 3" xfId="158" xr:uid="{00000000-0005-0000-0000-000073000000}"/>
    <cellStyle name="Normal 2 9_Sec 611 Poverty" xfId="160" xr:uid="{00000000-0005-0000-0000-000074000000}"/>
    <cellStyle name="Normal 3" xfId="93" xr:uid="{00000000-0005-0000-0000-000075000000}"/>
    <cellStyle name="Normal 3 2" xfId="94" xr:uid="{00000000-0005-0000-0000-000076000000}"/>
    <cellStyle name="Normal 3 2 2" xfId="95" xr:uid="{00000000-0005-0000-0000-000077000000}"/>
    <cellStyle name="Normal 3 3" xfId="96" xr:uid="{00000000-0005-0000-0000-000078000000}"/>
    <cellStyle name="Normal 3 3 2" xfId="97" xr:uid="{00000000-0005-0000-0000-000079000000}"/>
    <cellStyle name="Normal 3 4" xfId="98" xr:uid="{00000000-0005-0000-0000-00007A000000}"/>
    <cellStyle name="Normal 3 5" xfId="99" xr:uid="{00000000-0005-0000-0000-00007B000000}"/>
    <cellStyle name="Normal 4" xfId="100" xr:uid="{00000000-0005-0000-0000-00007C000000}"/>
    <cellStyle name="Normal 4 2" xfId="101" xr:uid="{00000000-0005-0000-0000-00007D000000}"/>
    <cellStyle name="Normal 4 3" xfId="102" xr:uid="{00000000-0005-0000-0000-00007E000000}"/>
    <cellStyle name="Normal 4 4" xfId="103" xr:uid="{00000000-0005-0000-0000-00007F000000}"/>
    <cellStyle name="Normal 4 5" xfId="161" xr:uid="{00000000-0005-0000-0000-000080000000}"/>
    <cellStyle name="Normal 4 6" xfId="170" xr:uid="{00000000-0005-0000-0000-000081000000}"/>
    <cellStyle name="Normal 4 7" xfId="173" xr:uid="{00000000-0005-0000-0000-000082000000}"/>
    <cellStyle name="Normal 4 8" xfId="180" xr:uid="{00000000-0005-0000-0000-000083000000}"/>
    <cellStyle name="Normal 5" xfId="104" xr:uid="{00000000-0005-0000-0000-000084000000}"/>
    <cellStyle name="Normal 5 2" xfId="105" xr:uid="{00000000-0005-0000-0000-000085000000}"/>
    <cellStyle name="Normal 5 2 2" xfId="163" xr:uid="{00000000-0005-0000-0000-000086000000}"/>
    <cellStyle name="Normal 5 3" xfId="106" xr:uid="{00000000-0005-0000-0000-000087000000}"/>
    <cellStyle name="Normal 5 3 2" xfId="174" xr:uid="{00000000-0005-0000-0000-000088000000}"/>
    <cellStyle name="Normal 5 4" xfId="162" xr:uid="{00000000-0005-0000-0000-000089000000}"/>
    <cellStyle name="Normal 5_Sec 611 Poverty" xfId="164" xr:uid="{00000000-0005-0000-0000-00008A000000}"/>
    <cellStyle name="Normal 6" xfId="107" xr:uid="{00000000-0005-0000-0000-00008B000000}"/>
    <cellStyle name="Normal 6 2" xfId="108" xr:uid="{00000000-0005-0000-0000-00008C000000}"/>
    <cellStyle name="Normal 6 3" xfId="109" xr:uid="{00000000-0005-0000-0000-00008D000000}"/>
    <cellStyle name="Normal 6 4" xfId="175" xr:uid="{00000000-0005-0000-0000-00008E000000}"/>
    <cellStyle name="Normal 7" xfId="110" xr:uid="{00000000-0005-0000-0000-00008F000000}"/>
    <cellStyle name="Normal 7 2" xfId="165" xr:uid="{00000000-0005-0000-0000-000090000000}"/>
    <cellStyle name="Normal 7 3" xfId="176" xr:uid="{00000000-0005-0000-0000-000091000000}"/>
    <cellStyle name="Normal 8" xfId="111" xr:uid="{00000000-0005-0000-0000-000092000000}"/>
    <cellStyle name="Normal 8 2" xfId="166" xr:uid="{00000000-0005-0000-0000-000093000000}"/>
    <cellStyle name="Normal 9" xfId="112" xr:uid="{00000000-0005-0000-0000-000094000000}"/>
    <cellStyle name="Normal_Sheet1" xfId="229" xr:uid="{9A540C03-1F93-4661-A14C-16C58FACC327}"/>
    <cellStyle name="Note" xfId="113" builtinId="10" customBuiltin="1"/>
    <cellStyle name="Note 2" xfId="199" xr:uid="{522EA017-9F2F-4EDC-9BE9-5A25ED05AEDF}"/>
    <cellStyle name="Output" xfId="114" builtinId="21" customBuiltin="1"/>
    <cellStyle name="Output 2" xfId="194" xr:uid="{6F197178-1C34-4C23-B35D-2A2D2BA246FC}"/>
    <cellStyle name="Percent" xfId="115" builtinId="5"/>
    <cellStyle name="Percent 10" xfId="181" xr:uid="{00000000-0005-0000-0000-000099000000}"/>
    <cellStyle name="Percent 11" xfId="183" xr:uid="{00000000-0005-0000-0000-00009A000000}"/>
    <cellStyle name="Percent 2" xfId="116" xr:uid="{00000000-0005-0000-0000-00009B000000}"/>
    <cellStyle name="Percent 2 2" xfId="117" xr:uid="{00000000-0005-0000-0000-00009C000000}"/>
    <cellStyle name="Percent 2 2 2" xfId="118" xr:uid="{00000000-0005-0000-0000-00009D000000}"/>
    <cellStyle name="Percent 2 2 3" xfId="119" xr:uid="{00000000-0005-0000-0000-00009E000000}"/>
    <cellStyle name="Percent 2 3" xfId="120" xr:uid="{00000000-0005-0000-0000-00009F000000}"/>
    <cellStyle name="Percent 2 3 2" xfId="121" xr:uid="{00000000-0005-0000-0000-0000A0000000}"/>
    <cellStyle name="Percent 2 3 3" xfId="122" xr:uid="{00000000-0005-0000-0000-0000A1000000}"/>
    <cellStyle name="Percent 2 4" xfId="123" xr:uid="{00000000-0005-0000-0000-0000A2000000}"/>
    <cellStyle name="Percent 2 4 2" xfId="169" xr:uid="{00000000-0005-0000-0000-0000A3000000}"/>
    <cellStyle name="Percent 2 4 3" xfId="168" xr:uid="{00000000-0005-0000-0000-0000A4000000}"/>
    <cellStyle name="Percent 2 5" xfId="124" xr:uid="{00000000-0005-0000-0000-0000A5000000}"/>
    <cellStyle name="Percent 3" xfId="125" xr:uid="{00000000-0005-0000-0000-0000A6000000}"/>
    <cellStyle name="Percent 3 2" xfId="126" xr:uid="{00000000-0005-0000-0000-0000A7000000}"/>
    <cellStyle name="Percent 3 2 2" xfId="127" xr:uid="{00000000-0005-0000-0000-0000A8000000}"/>
    <cellStyle name="Percent 3 3" xfId="128" xr:uid="{00000000-0005-0000-0000-0000A9000000}"/>
    <cellStyle name="Percent 4" xfId="129" xr:uid="{00000000-0005-0000-0000-0000AA000000}"/>
    <cellStyle name="Percent 4 2" xfId="130" xr:uid="{00000000-0005-0000-0000-0000AB000000}"/>
    <cellStyle name="Percent 4 3" xfId="131" xr:uid="{00000000-0005-0000-0000-0000AC000000}"/>
    <cellStyle name="Percent 5" xfId="132" xr:uid="{00000000-0005-0000-0000-0000AD000000}"/>
    <cellStyle name="Percent 5 2" xfId="133" xr:uid="{00000000-0005-0000-0000-0000AE000000}"/>
    <cellStyle name="Percent 5 3" xfId="134" xr:uid="{00000000-0005-0000-0000-0000AF000000}"/>
    <cellStyle name="Percent 6" xfId="135" xr:uid="{00000000-0005-0000-0000-0000B0000000}"/>
    <cellStyle name="Percent 6 2" xfId="136" xr:uid="{00000000-0005-0000-0000-0000B1000000}"/>
    <cellStyle name="Percent 6 3" xfId="137" xr:uid="{00000000-0005-0000-0000-0000B2000000}"/>
    <cellStyle name="Percent 7" xfId="138" xr:uid="{00000000-0005-0000-0000-0000B3000000}"/>
    <cellStyle name="Percent 8" xfId="139" xr:uid="{00000000-0005-0000-0000-0000B4000000}"/>
    <cellStyle name="Percent 9" xfId="167" xr:uid="{00000000-0005-0000-0000-0000B5000000}"/>
    <cellStyle name="Title" xfId="140" builtinId="15" customBuiltin="1"/>
    <cellStyle name="Title 2" xfId="185" xr:uid="{92CCC765-89BA-4577-8B31-A38783DB2A96}"/>
    <cellStyle name="Total" xfId="141" builtinId="25" customBuiltin="1"/>
    <cellStyle name="Total 2" xfId="201" xr:uid="{5713CA90-A716-476B-8001-1EE6F9BCBE39}"/>
    <cellStyle name="Warning Text" xfId="142" builtinId="11" customBuiltin="1"/>
    <cellStyle name="Warning Text 2" xfId="198" xr:uid="{E39DCE3B-6363-4DFE-B8AB-4CB641E03D59}"/>
  </cellStyles>
  <dxfs count="244">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eativecommons.org/licenses/by/4.0/"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607142</xdr:colOff>
      <xdr:row>2</xdr:row>
      <xdr:rowOff>104775</xdr:rowOff>
    </xdr:to>
    <xdr:pic>
      <xdr:nvPicPr>
        <xdr:cNvPr id="6" name="Picture 5" descr="Creative Commons License">
          <a:hlinkClick xmlns:r="http://schemas.openxmlformats.org/officeDocument/2006/relationships" r:id="rId1"/>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216742"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mber O’Donnell" refreshedDate="46010.426188194448" createdVersion="8" refreshedVersion="8" minRefreshableVersion="3" recordCount="6062" xr:uid="{4BA05504-3A81-411E-BBFC-053B36E3B2E7}">
  <cacheSource type="worksheet">
    <worksheetSource ref="A1:E6063" sheet="F-195 All Expend Data"/>
  </cacheSource>
  <cacheFields count="5">
    <cacheField name="CCDDD" numFmtId="0">
      <sharedItems count="309">
        <s v="14005"/>
        <s v="37503"/>
        <s v="02420"/>
        <s v="06119"/>
        <s v="21234"/>
        <s v="17405"/>
        <s v="21226"/>
        <s v="17408"/>
        <s v="09075"/>
        <s v="37501"/>
        <s v="16046"/>
        <s v="18100"/>
        <s v="22017"/>
        <s v="29103"/>
        <s v="24111"/>
        <s v="27403"/>
        <s v="31016"/>
        <s v="29100"/>
        <s v="18303"/>
        <s v="05401"/>
        <s v="04222"/>
        <s v="27019"/>
        <s v="04228"/>
        <s v="20215"/>
        <s v="06117"/>
        <s v="08401"/>
        <s v="21302"/>
        <s v="18401"/>
        <s v="16049"/>
        <s v="18901"/>
        <s v="27400"/>
        <s v="32360"/>
        <s v="32356"/>
        <s v="02250"/>
        <s v="38300"/>
        <s v="38306"/>
        <s v="33036"/>
        <s v="19404"/>
        <s v="21401"/>
        <s v="33115"/>
        <s v="14099"/>
        <s v="36250"/>
        <s v="33206"/>
        <s v="05313"/>
        <s v="26059"/>
        <s v="29011"/>
        <s v="13151"/>
        <s v="36400"/>
        <s v="22073"/>
        <s v="19007"/>
        <s v="15204"/>
        <s v="10050"/>
        <s v="29317"/>
        <s v="07002"/>
        <s v="32414"/>
        <s v="09206"/>
        <s v="31330"/>
        <s v="31015"/>
        <s v="36101"/>
        <s v="27343"/>
        <s v="19028"/>
        <s v="22207"/>
        <s v="37502"/>
        <s v="32361"/>
        <s v="19401"/>
        <s v="32312"/>
        <s v="27404"/>
        <s v="27417"/>
        <s v="39090"/>
        <s v="06103"/>
        <s v="14068"/>
        <s v="19403"/>
        <s v="03053"/>
        <s v="34324"/>
        <s v="20402"/>
        <s v="38308"/>
        <s v="08122"/>
        <s v="27402"/>
        <s v="10070"/>
        <s v="20203"/>
        <s v="06101"/>
        <s v="22204"/>
        <s v="33183"/>
        <s v="04127"/>
        <s v="32358"/>
        <s v="39203"/>
        <s v="29311"/>
        <s v="17216"/>
        <s v="38302"/>
        <s v="31063"/>
        <s v="28144"/>
        <s v="38126"/>
        <s v="17401"/>
        <s v="13165"/>
        <s v="20401"/>
        <s v="32903"/>
        <s v="32907"/>
        <s v="04129"/>
        <s v="21036"/>
        <s v="06098"/>
        <s v="14065"/>
        <s v="20404"/>
        <s v="20406"/>
        <s v="14097"/>
        <s v="17411"/>
        <s v="31002"/>
        <s v="23404"/>
        <s v="13301"/>
        <s v="37504"/>
        <s v="31004"/>
        <s v="39200"/>
        <s v="06114"/>
        <s v="14028"/>
        <s v="11056"/>
        <s v="39120"/>
        <s v="17414"/>
        <s v="17919"/>
        <s v="39204"/>
        <s v="33205"/>
        <s v="08402"/>
        <s v="09207"/>
        <s v="31306"/>
        <s v="31332"/>
        <s v="27902"/>
        <s v="17210"/>
        <s v="04019"/>
        <s v="10003"/>
        <s v="38264"/>
        <s v="23054"/>
        <s v="17911"/>
        <s v="08458"/>
        <s v="23311"/>
        <s v="32362"/>
        <s v="17916"/>
        <s v="37507"/>
        <s v="33207"/>
        <s v="30029"/>
        <s v="14064"/>
        <s v="01158"/>
        <s v="25101"/>
        <s v="29320"/>
        <s v="31025"/>
        <s v="11051"/>
        <s v="09013"/>
        <s v="31006"/>
        <s v="14172"/>
        <s v="18400"/>
        <s v="24410"/>
        <s v="04901"/>
        <s v="22105"/>
        <s v="23403"/>
        <s v="39003"/>
        <s v="03017"/>
        <s v="27344"/>
        <s v="23402"/>
        <s v="24105"/>
        <s v="21014"/>
        <s v="25200"/>
        <s v="01147"/>
        <s v="12110"/>
        <s v="34003"/>
        <s v="25155"/>
        <s v="34111"/>
        <s v="05121"/>
        <s v="09102"/>
        <s v="24019"/>
        <s v="24014"/>
        <s v="16050"/>
        <s v="21300"/>
        <s v="26056"/>
        <s v="38301"/>
        <s v="33211"/>
        <s v="36402"/>
        <s v="33030"/>
        <s v="32325"/>
        <s v="11001"/>
        <s v="17417"/>
        <s v="03116"/>
        <s v="28137"/>
        <s v="37506"/>
        <s v="15201"/>
        <s v="24122"/>
        <s v="16048"/>
        <s v="38324"/>
        <s v="32123"/>
        <s v="38267"/>
        <s v="03050"/>
        <s v="05402"/>
        <s v="14400"/>
        <s v="10065"/>
        <s v="06122"/>
        <s v="27003"/>
        <s v="21301"/>
        <s v="01160"/>
        <s v="32354"/>
        <s v="16020"/>
        <s v="13160"/>
        <s v="13144"/>
        <s v="27401"/>
        <s v="32416"/>
        <s v="28149"/>
        <s v="32326"/>
        <s v="29101"/>
        <s v="05323"/>
        <s v="17908"/>
        <s v="17407"/>
        <s v="39119"/>
        <s v="14104"/>
        <s v="34307"/>
        <s v="34401"/>
        <s v="28010"/>
        <s v="17001"/>
        <s v="26070"/>
        <s v="17910"/>
        <s v="20403"/>
        <s v="17412"/>
        <s v="23309"/>
        <s v="06901"/>
        <s v="25116"/>
        <s v="30002"/>
        <s v="17410"/>
        <s v="17404"/>
        <s v="18402"/>
        <s v="22009"/>
        <s v="38320"/>
        <s v="13156"/>
        <s v="31201"/>
        <s v="38322"/>
        <s v="32901"/>
        <s v="25118"/>
        <s v="17403"/>
        <s v="15206"/>
        <s v="07035"/>
        <s v="31401"/>
        <s v="10309"/>
        <s v="23042"/>
        <s v="32081"/>
        <s v="38304"/>
        <s v="03400"/>
        <s v="11054"/>
        <s v="22008"/>
        <s v="17400"/>
        <s v="17905"/>
        <s v="27001"/>
        <s v="30303"/>
        <s v="13073"/>
        <s v="17902"/>
        <s v="39202"/>
        <s v="31311"/>
        <s v="33202"/>
        <s v="06112"/>
        <s v="36401"/>
        <s v="36300"/>
        <s v="37902"/>
        <s v="01109"/>
        <s v="27320"/>
        <s v="36140"/>
        <s v="08130"/>
        <s v="39201"/>
        <s v="21303"/>
        <s v="09209"/>
        <s v="39207"/>
        <s v="27416"/>
        <s v="27010"/>
        <s v="20400"/>
        <s v="13146"/>
        <s v="33049"/>
        <s v="20405"/>
        <s v="14077"/>
        <s v="37505"/>
        <s v="17917"/>
        <s v="17406"/>
        <s v="17409"/>
        <s v="04246"/>
        <s v="13167"/>
        <s v="22200"/>
        <s v="32363"/>
        <s v="38265"/>
        <s v="34033"/>
        <s v="21232"/>
        <s v="25160"/>
        <s v="39208"/>
        <s v="34402"/>
        <s v="14117"/>
        <s v="34002"/>
        <s v="39002"/>
        <s v="24350"/>
        <s v="19400"/>
        <s v="20094"/>
        <s v="39205"/>
        <s v="27083"/>
        <s v="21237"/>
        <s v="30031"/>
        <s v="33070"/>
        <s v="24404"/>
        <s v="06037"/>
        <s v="31103"/>
        <s v="08404"/>
        <s v="17402"/>
        <s v="39007"/>
        <s v="35200"/>
        <s v="17415"/>
        <s v="14066"/>
        <s v="33212"/>
        <s v="21214"/>
        <s v="13161"/>
        <s v="21206"/>
        <s v="39209"/>
        <s v="03052"/>
      </sharedItems>
    </cacheField>
    <cacheField name="Program" numFmtId="0">
      <sharedItems containsSemiMixedTypes="0" containsString="0" containsNumber="1" containsInteger="1" minValue="21" maxValue="29" count="4">
        <n v="21"/>
        <n v="24"/>
        <n v="29"/>
        <n v="26"/>
      </sharedItems>
    </cacheField>
    <cacheField name="Activity" numFmtId="0">
      <sharedItems containsSemiMixedTypes="0" containsString="0" containsNumber="1" containsInteger="1" minValue="21" maxValue="35" count="14">
        <n v="21"/>
        <n v="26"/>
        <n v="27"/>
        <n v="31"/>
        <n v="32"/>
        <n v="33"/>
        <n v="34"/>
        <n v="25"/>
        <n v="29"/>
        <n v="24"/>
        <n v="28"/>
        <n v="23"/>
        <n v="35"/>
        <n v="22"/>
      </sharedItems>
    </cacheField>
    <cacheField name="Object" numFmtId="0">
      <sharedItems containsSemiMixedTypes="0" containsString="0" containsNumber="1" containsInteger="1" minValue="0" maxValue="9" count="8">
        <n v="2"/>
        <n v="3"/>
        <n v="4"/>
        <n v="5"/>
        <n v="7"/>
        <n v="8"/>
        <n v="0"/>
        <n v="9"/>
      </sharedItems>
    </cacheField>
    <cacheField name="Amount" numFmtId="0">
      <sharedItems containsSemiMixedTypes="0" containsString="0" containsNumber="1" containsInteger="1" minValue="-89346" maxValue="8013488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62">
  <r>
    <x v="0"/>
    <x v="0"/>
    <x v="0"/>
    <x v="0"/>
    <n v="176068"/>
  </r>
  <r>
    <x v="0"/>
    <x v="0"/>
    <x v="0"/>
    <x v="1"/>
    <n v="135880"/>
  </r>
  <r>
    <x v="0"/>
    <x v="0"/>
    <x v="0"/>
    <x v="2"/>
    <n v="115804"/>
  </r>
  <r>
    <x v="0"/>
    <x v="0"/>
    <x v="0"/>
    <x v="3"/>
    <n v="1000"/>
  </r>
  <r>
    <x v="0"/>
    <x v="0"/>
    <x v="0"/>
    <x v="4"/>
    <n v="26000"/>
  </r>
  <r>
    <x v="0"/>
    <x v="0"/>
    <x v="1"/>
    <x v="0"/>
    <n v="506085"/>
  </r>
  <r>
    <x v="0"/>
    <x v="0"/>
    <x v="1"/>
    <x v="1"/>
    <n v="431481"/>
  </r>
  <r>
    <x v="0"/>
    <x v="0"/>
    <x v="1"/>
    <x v="2"/>
    <n v="345080"/>
  </r>
  <r>
    <x v="0"/>
    <x v="0"/>
    <x v="1"/>
    <x v="3"/>
    <n v="9500"/>
  </r>
  <r>
    <x v="0"/>
    <x v="0"/>
    <x v="1"/>
    <x v="4"/>
    <n v="976000"/>
  </r>
  <r>
    <x v="0"/>
    <x v="0"/>
    <x v="2"/>
    <x v="0"/>
    <n v="2553600"/>
  </r>
  <r>
    <x v="0"/>
    <x v="0"/>
    <x v="2"/>
    <x v="1"/>
    <n v="1539985"/>
  </r>
  <r>
    <x v="0"/>
    <x v="0"/>
    <x v="2"/>
    <x v="2"/>
    <n v="1769019"/>
  </r>
  <r>
    <x v="0"/>
    <x v="0"/>
    <x v="2"/>
    <x v="3"/>
    <n v="18500"/>
  </r>
  <r>
    <x v="0"/>
    <x v="0"/>
    <x v="2"/>
    <x v="4"/>
    <n v="510150"/>
  </r>
  <r>
    <x v="0"/>
    <x v="0"/>
    <x v="3"/>
    <x v="4"/>
    <n v="1000"/>
  </r>
  <r>
    <x v="0"/>
    <x v="0"/>
    <x v="4"/>
    <x v="3"/>
    <n v="500"/>
  </r>
  <r>
    <x v="0"/>
    <x v="0"/>
    <x v="5"/>
    <x v="3"/>
    <n v="3000"/>
  </r>
  <r>
    <x v="0"/>
    <x v="0"/>
    <x v="6"/>
    <x v="0"/>
    <n v="67762"/>
  </r>
  <r>
    <x v="0"/>
    <x v="0"/>
    <x v="6"/>
    <x v="2"/>
    <n v="10733"/>
  </r>
  <r>
    <x v="1"/>
    <x v="0"/>
    <x v="0"/>
    <x v="0"/>
    <n v="152562"/>
  </r>
  <r>
    <x v="1"/>
    <x v="0"/>
    <x v="0"/>
    <x v="1"/>
    <n v="76035"/>
  </r>
  <r>
    <x v="1"/>
    <x v="0"/>
    <x v="0"/>
    <x v="2"/>
    <n v="68238"/>
  </r>
  <r>
    <x v="1"/>
    <x v="0"/>
    <x v="0"/>
    <x v="3"/>
    <n v="5000"/>
  </r>
  <r>
    <x v="1"/>
    <x v="0"/>
    <x v="0"/>
    <x v="4"/>
    <n v="12000"/>
  </r>
  <r>
    <x v="1"/>
    <x v="0"/>
    <x v="0"/>
    <x v="5"/>
    <n v="2000"/>
  </r>
  <r>
    <x v="1"/>
    <x v="0"/>
    <x v="1"/>
    <x v="0"/>
    <n v="1066733"/>
  </r>
  <r>
    <x v="1"/>
    <x v="0"/>
    <x v="1"/>
    <x v="1"/>
    <n v="47409"/>
  </r>
  <r>
    <x v="1"/>
    <x v="0"/>
    <x v="1"/>
    <x v="2"/>
    <n v="363127"/>
  </r>
  <r>
    <x v="1"/>
    <x v="0"/>
    <x v="1"/>
    <x v="3"/>
    <n v="8005"/>
  </r>
  <r>
    <x v="1"/>
    <x v="0"/>
    <x v="1"/>
    <x v="4"/>
    <n v="22000"/>
  </r>
  <r>
    <x v="1"/>
    <x v="0"/>
    <x v="1"/>
    <x v="5"/>
    <n v="1500"/>
  </r>
  <r>
    <x v="1"/>
    <x v="0"/>
    <x v="2"/>
    <x v="6"/>
    <n v="2000"/>
  </r>
  <r>
    <x v="1"/>
    <x v="0"/>
    <x v="2"/>
    <x v="0"/>
    <n v="1471986"/>
  </r>
  <r>
    <x v="1"/>
    <x v="0"/>
    <x v="2"/>
    <x v="1"/>
    <n v="1439711"/>
  </r>
  <r>
    <x v="1"/>
    <x v="0"/>
    <x v="2"/>
    <x v="2"/>
    <n v="1316093"/>
  </r>
  <r>
    <x v="1"/>
    <x v="0"/>
    <x v="2"/>
    <x v="3"/>
    <n v="10600"/>
  </r>
  <r>
    <x v="1"/>
    <x v="0"/>
    <x v="2"/>
    <x v="4"/>
    <n v="647200"/>
  </r>
  <r>
    <x v="1"/>
    <x v="0"/>
    <x v="3"/>
    <x v="4"/>
    <n v="1500"/>
  </r>
  <r>
    <x v="1"/>
    <x v="0"/>
    <x v="3"/>
    <x v="5"/>
    <n v="800"/>
  </r>
  <r>
    <x v="1"/>
    <x v="1"/>
    <x v="1"/>
    <x v="0"/>
    <n v="160740"/>
  </r>
  <r>
    <x v="1"/>
    <x v="1"/>
    <x v="1"/>
    <x v="2"/>
    <n v="59153"/>
  </r>
  <r>
    <x v="1"/>
    <x v="1"/>
    <x v="2"/>
    <x v="0"/>
    <n v="181404"/>
  </r>
  <r>
    <x v="1"/>
    <x v="1"/>
    <x v="2"/>
    <x v="1"/>
    <n v="8351"/>
  </r>
  <r>
    <x v="1"/>
    <x v="1"/>
    <x v="2"/>
    <x v="2"/>
    <n v="63858"/>
  </r>
  <r>
    <x v="0"/>
    <x v="1"/>
    <x v="1"/>
    <x v="0"/>
    <n v="453746"/>
  </r>
  <r>
    <x v="0"/>
    <x v="1"/>
    <x v="1"/>
    <x v="2"/>
    <n v="134832"/>
  </r>
  <r>
    <x v="0"/>
    <x v="1"/>
    <x v="1"/>
    <x v="4"/>
    <n v="82504"/>
  </r>
  <r>
    <x v="0"/>
    <x v="1"/>
    <x v="2"/>
    <x v="0"/>
    <n v="158036"/>
  </r>
  <r>
    <x v="0"/>
    <x v="1"/>
    <x v="2"/>
    <x v="2"/>
    <n v="58009"/>
  </r>
  <r>
    <x v="2"/>
    <x v="0"/>
    <x v="0"/>
    <x v="0"/>
    <n v="15741"/>
  </r>
  <r>
    <x v="2"/>
    <x v="0"/>
    <x v="0"/>
    <x v="1"/>
    <n v="68257"/>
  </r>
  <r>
    <x v="2"/>
    <x v="0"/>
    <x v="0"/>
    <x v="2"/>
    <n v="32267"/>
  </r>
  <r>
    <x v="3"/>
    <x v="0"/>
    <x v="0"/>
    <x v="0"/>
    <n v="587403"/>
  </r>
  <r>
    <x v="3"/>
    <x v="0"/>
    <x v="0"/>
    <x v="1"/>
    <n v="152993"/>
  </r>
  <r>
    <x v="3"/>
    <x v="0"/>
    <x v="0"/>
    <x v="2"/>
    <n v="195739"/>
  </r>
  <r>
    <x v="3"/>
    <x v="0"/>
    <x v="0"/>
    <x v="3"/>
    <n v="35202"/>
  </r>
  <r>
    <x v="3"/>
    <x v="0"/>
    <x v="0"/>
    <x v="4"/>
    <n v="33252"/>
  </r>
  <r>
    <x v="3"/>
    <x v="0"/>
    <x v="0"/>
    <x v="5"/>
    <n v="5100"/>
  </r>
  <r>
    <x v="2"/>
    <x v="0"/>
    <x v="1"/>
    <x v="0"/>
    <n v="132256"/>
  </r>
  <r>
    <x v="2"/>
    <x v="0"/>
    <x v="1"/>
    <x v="2"/>
    <n v="45357"/>
  </r>
  <r>
    <x v="2"/>
    <x v="0"/>
    <x v="1"/>
    <x v="4"/>
    <n v="50000"/>
  </r>
  <r>
    <x v="2"/>
    <x v="0"/>
    <x v="2"/>
    <x v="0"/>
    <n v="281419"/>
  </r>
  <r>
    <x v="2"/>
    <x v="0"/>
    <x v="2"/>
    <x v="1"/>
    <n v="333739"/>
  </r>
  <r>
    <x v="2"/>
    <x v="0"/>
    <x v="2"/>
    <x v="2"/>
    <n v="407388"/>
  </r>
  <r>
    <x v="2"/>
    <x v="0"/>
    <x v="2"/>
    <x v="3"/>
    <n v="6152"/>
  </r>
  <r>
    <x v="2"/>
    <x v="0"/>
    <x v="3"/>
    <x v="0"/>
    <n v="6644"/>
  </r>
  <r>
    <x v="2"/>
    <x v="0"/>
    <x v="3"/>
    <x v="2"/>
    <n v="1055"/>
  </r>
  <r>
    <x v="2"/>
    <x v="0"/>
    <x v="6"/>
    <x v="0"/>
    <n v="6644"/>
  </r>
  <r>
    <x v="2"/>
    <x v="0"/>
    <x v="6"/>
    <x v="2"/>
    <n v="1046"/>
  </r>
  <r>
    <x v="3"/>
    <x v="0"/>
    <x v="7"/>
    <x v="1"/>
    <n v="118000"/>
  </r>
  <r>
    <x v="3"/>
    <x v="0"/>
    <x v="7"/>
    <x v="2"/>
    <n v="11309"/>
  </r>
  <r>
    <x v="3"/>
    <x v="0"/>
    <x v="1"/>
    <x v="0"/>
    <n v="5683547"/>
  </r>
  <r>
    <x v="3"/>
    <x v="0"/>
    <x v="1"/>
    <x v="1"/>
    <n v="126854"/>
  </r>
  <r>
    <x v="3"/>
    <x v="0"/>
    <x v="1"/>
    <x v="2"/>
    <n v="1709424"/>
  </r>
  <r>
    <x v="3"/>
    <x v="0"/>
    <x v="1"/>
    <x v="3"/>
    <n v="30600"/>
  </r>
  <r>
    <x v="3"/>
    <x v="0"/>
    <x v="1"/>
    <x v="4"/>
    <n v="214570"/>
  </r>
  <r>
    <x v="3"/>
    <x v="0"/>
    <x v="1"/>
    <x v="5"/>
    <n v="4488"/>
  </r>
  <r>
    <x v="3"/>
    <x v="0"/>
    <x v="2"/>
    <x v="6"/>
    <n v="102"/>
  </r>
  <r>
    <x v="3"/>
    <x v="0"/>
    <x v="2"/>
    <x v="0"/>
    <n v="10362301"/>
  </r>
  <r>
    <x v="3"/>
    <x v="0"/>
    <x v="2"/>
    <x v="1"/>
    <n v="6696296"/>
  </r>
  <r>
    <x v="3"/>
    <x v="0"/>
    <x v="2"/>
    <x v="2"/>
    <n v="7337112"/>
  </r>
  <r>
    <x v="3"/>
    <x v="0"/>
    <x v="2"/>
    <x v="3"/>
    <n v="36252"/>
  </r>
  <r>
    <x v="3"/>
    <x v="0"/>
    <x v="2"/>
    <x v="4"/>
    <n v="2374222"/>
  </r>
  <r>
    <x v="3"/>
    <x v="0"/>
    <x v="2"/>
    <x v="5"/>
    <n v="26520"/>
  </r>
  <r>
    <x v="3"/>
    <x v="0"/>
    <x v="3"/>
    <x v="3"/>
    <n v="510"/>
  </r>
  <r>
    <x v="3"/>
    <x v="0"/>
    <x v="3"/>
    <x v="4"/>
    <n v="47587"/>
  </r>
  <r>
    <x v="3"/>
    <x v="0"/>
    <x v="5"/>
    <x v="3"/>
    <n v="65280"/>
  </r>
  <r>
    <x v="3"/>
    <x v="0"/>
    <x v="6"/>
    <x v="0"/>
    <n v="224610"/>
  </r>
  <r>
    <x v="3"/>
    <x v="0"/>
    <x v="6"/>
    <x v="2"/>
    <n v="36533"/>
  </r>
  <r>
    <x v="2"/>
    <x v="1"/>
    <x v="0"/>
    <x v="0"/>
    <n v="27985"/>
  </r>
  <r>
    <x v="2"/>
    <x v="1"/>
    <x v="0"/>
    <x v="2"/>
    <n v="7052"/>
  </r>
  <r>
    <x v="2"/>
    <x v="1"/>
    <x v="2"/>
    <x v="1"/>
    <n v="53167"/>
  </r>
  <r>
    <x v="2"/>
    <x v="1"/>
    <x v="2"/>
    <x v="2"/>
    <n v="35964"/>
  </r>
  <r>
    <x v="2"/>
    <x v="1"/>
    <x v="2"/>
    <x v="3"/>
    <n v="14617"/>
  </r>
  <r>
    <x v="2"/>
    <x v="1"/>
    <x v="2"/>
    <x v="4"/>
    <n v="36285"/>
  </r>
  <r>
    <x v="3"/>
    <x v="1"/>
    <x v="2"/>
    <x v="1"/>
    <n v="1575984"/>
  </r>
  <r>
    <x v="3"/>
    <x v="1"/>
    <x v="2"/>
    <x v="2"/>
    <n v="994262"/>
  </r>
  <r>
    <x v="4"/>
    <x v="0"/>
    <x v="7"/>
    <x v="1"/>
    <n v="10342"/>
  </r>
  <r>
    <x v="4"/>
    <x v="0"/>
    <x v="7"/>
    <x v="2"/>
    <n v="942"/>
  </r>
  <r>
    <x v="4"/>
    <x v="0"/>
    <x v="2"/>
    <x v="0"/>
    <n v="41592"/>
  </r>
  <r>
    <x v="4"/>
    <x v="0"/>
    <x v="2"/>
    <x v="1"/>
    <n v="65960"/>
  </r>
  <r>
    <x v="4"/>
    <x v="0"/>
    <x v="2"/>
    <x v="2"/>
    <n v="59973"/>
  </r>
  <r>
    <x v="4"/>
    <x v="0"/>
    <x v="2"/>
    <x v="3"/>
    <n v="1999"/>
  </r>
  <r>
    <x v="4"/>
    <x v="0"/>
    <x v="2"/>
    <x v="4"/>
    <n v="270000"/>
  </r>
  <r>
    <x v="4"/>
    <x v="0"/>
    <x v="8"/>
    <x v="4"/>
    <n v="420000"/>
  </r>
  <r>
    <x v="4"/>
    <x v="1"/>
    <x v="1"/>
    <x v="4"/>
    <n v="30000"/>
  </r>
  <r>
    <x v="4"/>
    <x v="1"/>
    <x v="2"/>
    <x v="4"/>
    <n v="10000"/>
  </r>
  <r>
    <x v="5"/>
    <x v="0"/>
    <x v="0"/>
    <x v="0"/>
    <n v="1136247"/>
  </r>
  <r>
    <x v="5"/>
    <x v="0"/>
    <x v="0"/>
    <x v="1"/>
    <n v="545063"/>
  </r>
  <r>
    <x v="5"/>
    <x v="0"/>
    <x v="0"/>
    <x v="2"/>
    <n v="492461"/>
  </r>
  <r>
    <x v="5"/>
    <x v="0"/>
    <x v="0"/>
    <x v="3"/>
    <n v="1000"/>
  </r>
  <r>
    <x v="5"/>
    <x v="0"/>
    <x v="9"/>
    <x v="0"/>
    <n v="992232"/>
  </r>
  <r>
    <x v="5"/>
    <x v="0"/>
    <x v="9"/>
    <x v="2"/>
    <n v="317435"/>
  </r>
  <r>
    <x v="5"/>
    <x v="0"/>
    <x v="9"/>
    <x v="3"/>
    <n v="500"/>
  </r>
  <r>
    <x v="5"/>
    <x v="0"/>
    <x v="9"/>
    <x v="4"/>
    <n v="6000"/>
  </r>
  <r>
    <x v="5"/>
    <x v="0"/>
    <x v="1"/>
    <x v="0"/>
    <n v="10869566"/>
  </r>
  <r>
    <x v="5"/>
    <x v="0"/>
    <x v="1"/>
    <x v="1"/>
    <n v="2411231"/>
  </r>
  <r>
    <x v="5"/>
    <x v="0"/>
    <x v="1"/>
    <x v="2"/>
    <n v="4432554"/>
  </r>
  <r>
    <x v="5"/>
    <x v="0"/>
    <x v="1"/>
    <x v="3"/>
    <n v="30300"/>
  </r>
  <r>
    <x v="5"/>
    <x v="0"/>
    <x v="1"/>
    <x v="4"/>
    <n v="844872"/>
  </r>
  <r>
    <x v="5"/>
    <x v="0"/>
    <x v="1"/>
    <x v="5"/>
    <n v="2700"/>
  </r>
  <r>
    <x v="5"/>
    <x v="0"/>
    <x v="2"/>
    <x v="0"/>
    <n v="14840978"/>
  </r>
  <r>
    <x v="5"/>
    <x v="0"/>
    <x v="2"/>
    <x v="1"/>
    <n v="15681157"/>
  </r>
  <r>
    <x v="5"/>
    <x v="0"/>
    <x v="2"/>
    <x v="2"/>
    <n v="12628819"/>
  </r>
  <r>
    <x v="5"/>
    <x v="0"/>
    <x v="2"/>
    <x v="3"/>
    <n v="198939"/>
  </r>
  <r>
    <x v="5"/>
    <x v="0"/>
    <x v="2"/>
    <x v="4"/>
    <n v="15657527"/>
  </r>
  <r>
    <x v="5"/>
    <x v="0"/>
    <x v="2"/>
    <x v="5"/>
    <n v="696968"/>
  </r>
  <r>
    <x v="5"/>
    <x v="0"/>
    <x v="3"/>
    <x v="0"/>
    <n v="373318"/>
  </r>
  <r>
    <x v="5"/>
    <x v="0"/>
    <x v="3"/>
    <x v="1"/>
    <n v="20500"/>
  </r>
  <r>
    <x v="5"/>
    <x v="0"/>
    <x v="3"/>
    <x v="2"/>
    <n v="73044"/>
  </r>
  <r>
    <x v="5"/>
    <x v="0"/>
    <x v="3"/>
    <x v="4"/>
    <n v="22100"/>
  </r>
  <r>
    <x v="5"/>
    <x v="0"/>
    <x v="5"/>
    <x v="1"/>
    <n v="27910"/>
  </r>
  <r>
    <x v="5"/>
    <x v="0"/>
    <x v="5"/>
    <x v="2"/>
    <n v="6559"/>
  </r>
  <r>
    <x v="5"/>
    <x v="0"/>
    <x v="5"/>
    <x v="3"/>
    <n v="19500"/>
  </r>
  <r>
    <x v="5"/>
    <x v="0"/>
    <x v="5"/>
    <x v="4"/>
    <n v="3000"/>
  </r>
  <r>
    <x v="5"/>
    <x v="0"/>
    <x v="6"/>
    <x v="0"/>
    <n v="497757"/>
  </r>
  <r>
    <x v="5"/>
    <x v="0"/>
    <x v="6"/>
    <x v="2"/>
    <n v="90968"/>
  </r>
  <r>
    <x v="5"/>
    <x v="1"/>
    <x v="1"/>
    <x v="0"/>
    <n v="107836"/>
  </r>
  <r>
    <x v="5"/>
    <x v="1"/>
    <x v="1"/>
    <x v="2"/>
    <n v="33284"/>
  </r>
  <r>
    <x v="5"/>
    <x v="1"/>
    <x v="1"/>
    <x v="4"/>
    <n v="422437"/>
  </r>
  <r>
    <x v="5"/>
    <x v="1"/>
    <x v="2"/>
    <x v="0"/>
    <n v="2917455"/>
  </r>
  <r>
    <x v="5"/>
    <x v="1"/>
    <x v="2"/>
    <x v="2"/>
    <n v="828289"/>
  </r>
  <r>
    <x v="5"/>
    <x v="1"/>
    <x v="2"/>
    <x v="3"/>
    <n v="20000"/>
  </r>
  <r>
    <x v="5"/>
    <x v="1"/>
    <x v="2"/>
    <x v="4"/>
    <n v="185000"/>
  </r>
  <r>
    <x v="5"/>
    <x v="1"/>
    <x v="3"/>
    <x v="0"/>
    <n v="91097"/>
  </r>
  <r>
    <x v="5"/>
    <x v="1"/>
    <x v="3"/>
    <x v="2"/>
    <n v="15667"/>
  </r>
  <r>
    <x v="6"/>
    <x v="0"/>
    <x v="1"/>
    <x v="1"/>
    <n v="321610"/>
  </r>
  <r>
    <x v="6"/>
    <x v="0"/>
    <x v="1"/>
    <x v="2"/>
    <n v="114241"/>
  </r>
  <r>
    <x v="6"/>
    <x v="0"/>
    <x v="1"/>
    <x v="4"/>
    <n v="769869"/>
  </r>
  <r>
    <x v="6"/>
    <x v="0"/>
    <x v="2"/>
    <x v="0"/>
    <n v="197047"/>
  </r>
  <r>
    <x v="6"/>
    <x v="0"/>
    <x v="2"/>
    <x v="1"/>
    <n v="161750"/>
  </r>
  <r>
    <x v="6"/>
    <x v="0"/>
    <x v="2"/>
    <x v="2"/>
    <n v="180412"/>
  </r>
  <r>
    <x v="6"/>
    <x v="0"/>
    <x v="2"/>
    <x v="3"/>
    <n v="205000"/>
  </r>
  <r>
    <x v="6"/>
    <x v="0"/>
    <x v="2"/>
    <x v="4"/>
    <n v="884004"/>
  </r>
  <r>
    <x v="6"/>
    <x v="0"/>
    <x v="2"/>
    <x v="5"/>
    <n v="13530"/>
  </r>
  <r>
    <x v="6"/>
    <x v="0"/>
    <x v="4"/>
    <x v="3"/>
    <n v="25133"/>
  </r>
  <r>
    <x v="6"/>
    <x v="1"/>
    <x v="2"/>
    <x v="4"/>
    <n v="121214"/>
  </r>
  <r>
    <x v="7"/>
    <x v="0"/>
    <x v="0"/>
    <x v="0"/>
    <n v="597644"/>
  </r>
  <r>
    <x v="7"/>
    <x v="0"/>
    <x v="0"/>
    <x v="1"/>
    <n v="284559"/>
  </r>
  <r>
    <x v="7"/>
    <x v="0"/>
    <x v="0"/>
    <x v="2"/>
    <n v="228075"/>
  </r>
  <r>
    <x v="7"/>
    <x v="0"/>
    <x v="7"/>
    <x v="1"/>
    <n v="718559"/>
  </r>
  <r>
    <x v="7"/>
    <x v="0"/>
    <x v="7"/>
    <x v="2"/>
    <n v="451458"/>
  </r>
  <r>
    <x v="7"/>
    <x v="0"/>
    <x v="1"/>
    <x v="0"/>
    <n v="8664903"/>
  </r>
  <r>
    <x v="7"/>
    <x v="0"/>
    <x v="1"/>
    <x v="1"/>
    <n v="1331596"/>
  </r>
  <r>
    <x v="7"/>
    <x v="0"/>
    <x v="1"/>
    <x v="2"/>
    <n v="3279246"/>
  </r>
  <r>
    <x v="7"/>
    <x v="0"/>
    <x v="1"/>
    <x v="3"/>
    <n v="35030"/>
  </r>
  <r>
    <x v="7"/>
    <x v="0"/>
    <x v="1"/>
    <x v="4"/>
    <n v="807500"/>
  </r>
  <r>
    <x v="7"/>
    <x v="0"/>
    <x v="1"/>
    <x v="5"/>
    <n v="8000"/>
  </r>
  <r>
    <x v="7"/>
    <x v="0"/>
    <x v="2"/>
    <x v="0"/>
    <n v="12015052"/>
  </r>
  <r>
    <x v="7"/>
    <x v="0"/>
    <x v="2"/>
    <x v="1"/>
    <n v="8893738"/>
  </r>
  <r>
    <x v="7"/>
    <x v="0"/>
    <x v="2"/>
    <x v="2"/>
    <n v="9115332"/>
  </r>
  <r>
    <x v="7"/>
    <x v="0"/>
    <x v="2"/>
    <x v="3"/>
    <n v="41875"/>
  </r>
  <r>
    <x v="7"/>
    <x v="0"/>
    <x v="2"/>
    <x v="4"/>
    <n v="705700"/>
  </r>
  <r>
    <x v="7"/>
    <x v="0"/>
    <x v="2"/>
    <x v="5"/>
    <n v="8000"/>
  </r>
  <r>
    <x v="7"/>
    <x v="0"/>
    <x v="8"/>
    <x v="4"/>
    <n v="250000"/>
  </r>
  <r>
    <x v="7"/>
    <x v="0"/>
    <x v="3"/>
    <x v="0"/>
    <n v="2493180"/>
  </r>
  <r>
    <x v="7"/>
    <x v="0"/>
    <x v="3"/>
    <x v="2"/>
    <n v="399018"/>
  </r>
  <r>
    <x v="7"/>
    <x v="0"/>
    <x v="3"/>
    <x v="4"/>
    <n v="20600"/>
  </r>
  <r>
    <x v="7"/>
    <x v="0"/>
    <x v="3"/>
    <x v="5"/>
    <n v="12000"/>
  </r>
  <r>
    <x v="7"/>
    <x v="0"/>
    <x v="4"/>
    <x v="3"/>
    <n v="10000"/>
  </r>
  <r>
    <x v="7"/>
    <x v="0"/>
    <x v="5"/>
    <x v="3"/>
    <n v="53250"/>
  </r>
  <r>
    <x v="7"/>
    <x v="0"/>
    <x v="5"/>
    <x v="4"/>
    <n v="75000"/>
  </r>
  <r>
    <x v="7"/>
    <x v="1"/>
    <x v="0"/>
    <x v="0"/>
    <n v="661724"/>
  </r>
  <r>
    <x v="7"/>
    <x v="1"/>
    <x v="0"/>
    <x v="2"/>
    <n v="152308"/>
  </r>
  <r>
    <x v="7"/>
    <x v="1"/>
    <x v="1"/>
    <x v="4"/>
    <n v="527902"/>
  </r>
  <r>
    <x v="7"/>
    <x v="1"/>
    <x v="2"/>
    <x v="0"/>
    <n v="626018"/>
  </r>
  <r>
    <x v="7"/>
    <x v="1"/>
    <x v="2"/>
    <x v="2"/>
    <n v="193799"/>
  </r>
  <r>
    <x v="7"/>
    <x v="1"/>
    <x v="2"/>
    <x v="3"/>
    <n v="110101"/>
  </r>
  <r>
    <x v="7"/>
    <x v="1"/>
    <x v="8"/>
    <x v="4"/>
    <n v="1281828"/>
  </r>
  <r>
    <x v="7"/>
    <x v="1"/>
    <x v="3"/>
    <x v="0"/>
    <n v="78559"/>
  </r>
  <r>
    <x v="7"/>
    <x v="1"/>
    <x v="3"/>
    <x v="2"/>
    <n v="12526"/>
  </r>
  <r>
    <x v="7"/>
    <x v="1"/>
    <x v="3"/>
    <x v="3"/>
    <n v="17272"/>
  </r>
  <r>
    <x v="8"/>
    <x v="0"/>
    <x v="0"/>
    <x v="1"/>
    <n v="72899"/>
  </r>
  <r>
    <x v="8"/>
    <x v="0"/>
    <x v="0"/>
    <x v="2"/>
    <n v="29927"/>
  </r>
  <r>
    <x v="8"/>
    <x v="0"/>
    <x v="2"/>
    <x v="0"/>
    <n v="232552"/>
  </r>
  <r>
    <x v="8"/>
    <x v="0"/>
    <x v="2"/>
    <x v="1"/>
    <n v="215384"/>
  </r>
  <r>
    <x v="8"/>
    <x v="0"/>
    <x v="2"/>
    <x v="2"/>
    <n v="223965"/>
  </r>
  <r>
    <x v="8"/>
    <x v="0"/>
    <x v="2"/>
    <x v="3"/>
    <n v="156000"/>
  </r>
  <r>
    <x v="8"/>
    <x v="0"/>
    <x v="2"/>
    <x v="4"/>
    <n v="300000"/>
  </r>
  <r>
    <x v="8"/>
    <x v="0"/>
    <x v="3"/>
    <x v="4"/>
    <n v="12746"/>
  </r>
  <r>
    <x v="8"/>
    <x v="0"/>
    <x v="4"/>
    <x v="4"/>
    <n v="7500"/>
  </r>
  <r>
    <x v="7"/>
    <x v="2"/>
    <x v="2"/>
    <x v="0"/>
    <n v="13975"/>
  </r>
  <r>
    <x v="7"/>
    <x v="2"/>
    <x v="2"/>
    <x v="2"/>
    <n v="7832"/>
  </r>
  <r>
    <x v="7"/>
    <x v="2"/>
    <x v="3"/>
    <x v="0"/>
    <n v="1826"/>
  </r>
  <r>
    <x v="7"/>
    <x v="2"/>
    <x v="3"/>
    <x v="2"/>
    <n v="294"/>
  </r>
  <r>
    <x v="8"/>
    <x v="1"/>
    <x v="2"/>
    <x v="0"/>
    <n v="5488"/>
  </r>
  <r>
    <x v="8"/>
    <x v="1"/>
    <x v="2"/>
    <x v="1"/>
    <n v="104372"/>
  </r>
  <r>
    <x v="8"/>
    <x v="1"/>
    <x v="2"/>
    <x v="2"/>
    <n v="75332"/>
  </r>
  <r>
    <x v="9"/>
    <x v="0"/>
    <x v="0"/>
    <x v="6"/>
    <n v="1500"/>
  </r>
  <r>
    <x v="9"/>
    <x v="0"/>
    <x v="0"/>
    <x v="0"/>
    <n v="371041"/>
  </r>
  <r>
    <x v="9"/>
    <x v="0"/>
    <x v="0"/>
    <x v="1"/>
    <n v="342232"/>
  </r>
  <r>
    <x v="9"/>
    <x v="0"/>
    <x v="0"/>
    <x v="2"/>
    <n v="219867"/>
  </r>
  <r>
    <x v="9"/>
    <x v="0"/>
    <x v="0"/>
    <x v="3"/>
    <n v="7800"/>
  </r>
  <r>
    <x v="9"/>
    <x v="0"/>
    <x v="0"/>
    <x v="4"/>
    <n v="432343"/>
  </r>
  <r>
    <x v="9"/>
    <x v="0"/>
    <x v="1"/>
    <x v="0"/>
    <n v="5344357"/>
  </r>
  <r>
    <x v="9"/>
    <x v="0"/>
    <x v="1"/>
    <x v="1"/>
    <n v="148282"/>
  </r>
  <r>
    <x v="9"/>
    <x v="0"/>
    <x v="1"/>
    <x v="2"/>
    <n v="1710167"/>
  </r>
  <r>
    <x v="9"/>
    <x v="0"/>
    <x v="1"/>
    <x v="3"/>
    <n v="37250"/>
  </r>
  <r>
    <x v="9"/>
    <x v="0"/>
    <x v="1"/>
    <x v="4"/>
    <n v="16000"/>
  </r>
  <r>
    <x v="9"/>
    <x v="0"/>
    <x v="1"/>
    <x v="5"/>
    <n v="2000"/>
  </r>
  <r>
    <x v="9"/>
    <x v="0"/>
    <x v="2"/>
    <x v="0"/>
    <n v="10024577"/>
  </r>
  <r>
    <x v="9"/>
    <x v="0"/>
    <x v="2"/>
    <x v="1"/>
    <n v="8686934"/>
  </r>
  <r>
    <x v="9"/>
    <x v="0"/>
    <x v="2"/>
    <x v="2"/>
    <n v="8008653"/>
  </r>
  <r>
    <x v="9"/>
    <x v="0"/>
    <x v="2"/>
    <x v="3"/>
    <n v="23463"/>
  </r>
  <r>
    <x v="9"/>
    <x v="0"/>
    <x v="2"/>
    <x v="4"/>
    <n v="976900"/>
  </r>
  <r>
    <x v="9"/>
    <x v="0"/>
    <x v="2"/>
    <x v="5"/>
    <n v="1400"/>
  </r>
  <r>
    <x v="9"/>
    <x v="0"/>
    <x v="3"/>
    <x v="0"/>
    <n v="41607"/>
  </r>
  <r>
    <x v="9"/>
    <x v="0"/>
    <x v="3"/>
    <x v="2"/>
    <n v="7822"/>
  </r>
  <r>
    <x v="9"/>
    <x v="0"/>
    <x v="3"/>
    <x v="4"/>
    <n v="108000"/>
  </r>
  <r>
    <x v="9"/>
    <x v="0"/>
    <x v="3"/>
    <x v="5"/>
    <n v="1000"/>
  </r>
  <r>
    <x v="9"/>
    <x v="1"/>
    <x v="2"/>
    <x v="0"/>
    <n v="1971580"/>
  </r>
  <r>
    <x v="9"/>
    <x v="1"/>
    <x v="2"/>
    <x v="2"/>
    <n v="621810"/>
  </r>
  <r>
    <x v="9"/>
    <x v="1"/>
    <x v="2"/>
    <x v="3"/>
    <n v="-89346"/>
  </r>
  <r>
    <x v="10"/>
    <x v="0"/>
    <x v="0"/>
    <x v="0"/>
    <n v="14520"/>
  </r>
  <r>
    <x v="10"/>
    <x v="0"/>
    <x v="0"/>
    <x v="2"/>
    <n v="3867"/>
  </r>
  <r>
    <x v="10"/>
    <x v="0"/>
    <x v="7"/>
    <x v="1"/>
    <n v="7772"/>
  </r>
  <r>
    <x v="10"/>
    <x v="0"/>
    <x v="7"/>
    <x v="2"/>
    <n v="7952"/>
  </r>
  <r>
    <x v="11"/>
    <x v="0"/>
    <x v="0"/>
    <x v="0"/>
    <n v="366416"/>
  </r>
  <r>
    <x v="11"/>
    <x v="0"/>
    <x v="0"/>
    <x v="1"/>
    <n v="191022"/>
  </r>
  <r>
    <x v="11"/>
    <x v="0"/>
    <x v="0"/>
    <x v="2"/>
    <n v="165320"/>
  </r>
  <r>
    <x v="11"/>
    <x v="0"/>
    <x v="0"/>
    <x v="3"/>
    <n v="1500"/>
  </r>
  <r>
    <x v="11"/>
    <x v="0"/>
    <x v="0"/>
    <x v="4"/>
    <n v="30200"/>
  </r>
  <r>
    <x v="11"/>
    <x v="0"/>
    <x v="0"/>
    <x v="5"/>
    <n v="750"/>
  </r>
  <r>
    <x v="11"/>
    <x v="0"/>
    <x v="7"/>
    <x v="1"/>
    <n v="153031"/>
  </r>
  <r>
    <x v="11"/>
    <x v="0"/>
    <x v="7"/>
    <x v="2"/>
    <n v="91073"/>
  </r>
  <r>
    <x v="11"/>
    <x v="0"/>
    <x v="1"/>
    <x v="0"/>
    <n v="2235251"/>
  </r>
  <r>
    <x v="11"/>
    <x v="0"/>
    <x v="1"/>
    <x v="1"/>
    <n v="177766"/>
  </r>
  <r>
    <x v="11"/>
    <x v="0"/>
    <x v="1"/>
    <x v="2"/>
    <n v="765928"/>
  </r>
  <r>
    <x v="11"/>
    <x v="0"/>
    <x v="1"/>
    <x v="3"/>
    <n v="20000"/>
  </r>
  <r>
    <x v="11"/>
    <x v="0"/>
    <x v="1"/>
    <x v="4"/>
    <n v="1371830"/>
  </r>
  <r>
    <x v="11"/>
    <x v="0"/>
    <x v="2"/>
    <x v="0"/>
    <n v="3984658"/>
  </r>
  <r>
    <x v="11"/>
    <x v="0"/>
    <x v="2"/>
    <x v="1"/>
    <n v="3233125"/>
  </r>
  <r>
    <x v="11"/>
    <x v="0"/>
    <x v="2"/>
    <x v="2"/>
    <n v="3169573"/>
  </r>
  <r>
    <x v="11"/>
    <x v="0"/>
    <x v="2"/>
    <x v="3"/>
    <n v="60000"/>
  </r>
  <r>
    <x v="11"/>
    <x v="0"/>
    <x v="2"/>
    <x v="4"/>
    <n v="2346000"/>
  </r>
  <r>
    <x v="11"/>
    <x v="0"/>
    <x v="3"/>
    <x v="0"/>
    <n v="102299"/>
  </r>
  <r>
    <x v="11"/>
    <x v="0"/>
    <x v="3"/>
    <x v="2"/>
    <n v="16417"/>
  </r>
  <r>
    <x v="11"/>
    <x v="0"/>
    <x v="6"/>
    <x v="0"/>
    <n v="97524"/>
  </r>
  <r>
    <x v="11"/>
    <x v="0"/>
    <x v="6"/>
    <x v="2"/>
    <n v="15645"/>
  </r>
  <r>
    <x v="10"/>
    <x v="0"/>
    <x v="1"/>
    <x v="1"/>
    <n v="19108"/>
  </r>
  <r>
    <x v="10"/>
    <x v="0"/>
    <x v="1"/>
    <x v="2"/>
    <n v="3962"/>
  </r>
  <r>
    <x v="10"/>
    <x v="0"/>
    <x v="1"/>
    <x v="3"/>
    <n v="155"/>
  </r>
  <r>
    <x v="10"/>
    <x v="0"/>
    <x v="1"/>
    <x v="4"/>
    <n v="22641"/>
  </r>
  <r>
    <x v="10"/>
    <x v="0"/>
    <x v="2"/>
    <x v="0"/>
    <n v="37940"/>
  </r>
  <r>
    <x v="10"/>
    <x v="0"/>
    <x v="2"/>
    <x v="1"/>
    <n v="24068"/>
  </r>
  <r>
    <x v="10"/>
    <x v="0"/>
    <x v="2"/>
    <x v="2"/>
    <n v="44965"/>
  </r>
  <r>
    <x v="10"/>
    <x v="0"/>
    <x v="2"/>
    <x v="3"/>
    <n v="2190"/>
  </r>
  <r>
    <x v="10"/>
    <x v="0"/>
    <x v="3"/>
    <x v="1"/>
    <n v="760"/>
  </r>
  <r>
    <x v="10"/>
    <x v="0"/>
    <x v="3"/>
    <x v="2"/>
    <n v="125"/>
  </r>
  <r>
    <x v="10"/>
    <x v="0"/>
    <x v="3"/>
    <x v="3"/>
    <n v="265"/>
  </r>
  <r>
    <x v="10"/>
    <x v="0"/>
    <x v="6"/>
    <x v="0"/>
    <n v="1250"/>
  </r>
  <r>
    <x v="10"/>
    <x v="0"/>
    <x v="6"/>
    <x v="2"/>
    <n v="455"/>
  </r>
  <r>
    <x v="11"/>
    <x v="1"/>
    <x v="2"/>
    <x v="0"/>
    <n v="1004796"/>
  </r>
  <r>
    <x v="11"/>
    <x v="1"/>
    <x v="2"/>
    <x v="2"/>
    <n v="314975"/>
  </r>
  <r>
    <x v="11"/>
    <x v="1"/>
    <x v="3"/>
    <x v="0"/>
    <n v="32860"/>
  </r>
  <r>
    <x v="11"/>
    <x v="1"/>
    <x v="3"/>
    <x v="2"/>
    <n v="5283"/>
  </r>
  <r>
    <x v="10"/>
    <x v="1"/>
    <x v="1"/>
    <x v="4"/>
    <n v="20431"/>
  </r>
  <r>
    <x v="12"/>
    <x v="0"/>
    <x v="0"/>
    <x v="0"/>
    <n v="11562"/>
  </r>
  <r>
    <x v="12"/>
    <x v="0"/>
    <x v="0"/>
    <x v="2"/>
    <n v="3401"/>
  </r>
  <r>
    <x v="12"/>
    <x v="0"/>
    <x v="1"/>
    <x v="4"/>
    <n v="10700"/>
  </r>
  <r>
    <x v="12"/>
    <x v="0"/>
    <x v="1"/>
    <x v="5"/>
    <n v="500"/>
  </r>
  <r>
    <x v="12"/>
    <x v="0"/>
    <x v="2"/>
    <x v="0"/>
    <n v="62714"/>
  </r>
  <r>
    <x v="12"/>
    <x v="0"/>
    <x v="2"/>
    <x v="1"/>
    <n v="17833"/>
  </r>
  <r>
    <x v="12"/>
    <x v="0"/>
    <x v="2"/>
    <x v="2"/>
    <n v="40222"/>
  </r>
  <r>
    <x v="12"/>
    <x v="0"/>
    <x v="2"/>
    <x v="3"/>
    <n v="10000"/>
  </r>
  <r>
    <x v="12"/>
    <x v="0"/>
    <x v="2"/>
    <x v="4"/>
    <n v="2500"/>
  </r>
  <r>
    <x v="12"/>
    <x v="0"/>
    <x v="8"/>
    <x v="4"/>
    <n v="5000"/>
  </r>
  <r>
    <x v="12"/>
    <x v="0"/>
    <x v="5"/>
    <x v="3"/>
    <n v="6500"/>
  </r>
  <r>
    <x v="12"/>
    <x v="1"/>
    <x v="1"/>
    <x v="4"/>
    <n v="22000"/>
  </r>
  <r>
    <x v="13"/>
    <x v="0"/>
    <x v="0"/>
    <x v="6"/>
    <n v="2200"/>
  </r>
  <r>
    <x v="13"/>
    <x v="0"/>
    <x v="0"/>
    <x v="0"/>
    <n v="192683"/>
  </r>
  <r>
    <x v="13"/>
    <x v="0"/>
    <x v="0"/>
    <x v="1"/>
    <n v="121928"/>
  </r>
  <r>
    <x v="13"/>
    <x v="0"/>
    <x v="0"/>
    <x v="2"/>
    <n v="89482"/>
  </r>
  <r>
    <x v="13"/>
    <x v="0"/>
    <x v="0"/>
    <x v="3"/>
    <n v="300"/>
  </r>
  <r>
    <x v="13"/>
    <x v="0"/>
    <x v="0"/>
    <x v="4"/>
    <n v="7500"/>
  </r>
  <r>
    <x v="13"/>
    <x v="0"/>
    <x v="0"/>
    <x v="5"/>
    <n v="200"/>
  </r>
  <r>
    <x v="13"/>
    <x v="0"/>
    <x v="1"/>
    <x v="0"/>
    <n v="1111000"/>
  </r>
  <r>
    <x v="13"/>
    <x v="0"/>
    <x v="1"/>
    <x v="2"/>
    <n v="381902"/>
  </r>
  <r>
    <x v="13"/>
    <x v="0"/>
    <x v="1"/>
    <x v="3"/>
    <n v="6500"/>
  </r>
  <r>
    <x v="13"/>
    <x v="0"/>
    <x v="1"/>
    <x v="4"/>
    <n v="109000"/>
  </r>
  <r>
    <x v="13"/>
    <x v="0"/>
    <x v="1"/>
    <x v="5"/>
    <n v="450"/>
  </r>
  <r>
    <x v="13"/>
    <x v="0"/>
    <x v="2"/>
    <x v="6"/>
    <n v="300"/>
  </r>
  <r>
    <x v="13"/>
    <x v="0"/>
    <x v="2"/>
    <x v="0"/>
    <n v="1800836"/>
  </r>
  <r>
    <x v="13"/>
    <x v="0"/>
    <x v="2"/>
    <x v="1"/>
    <n v="1137676"/>
  </r>
  <r>
    <x v="13"/>
    <x v="0"/>
    <x v="2"/>
    <x v="2"/>
    <n v="1151522"/>
  </r>
  <r>
    <x v="13"/>
    <x v="0"/>
    <x v="2"/>
    <x v="3"/>
    <n v="1500"/>
  </r>
  <r>
    <x v="13"/>
    <x v="0"/>
    <x v="2"/>
    <x v="4"/>
    <n v="313145"/>
  </r>
  <r>
    <x v="13"/>
    <x v="0"/>
    <x v="2"/>
    <x v="5"/>
    <n v="200"/>
  </r>
  <r>
    <x v="13"/>
    <x v="0"/>
    <x v="6"/>
    <x v="0"/>
    <n v="45832"/>
  </r>
  <r>
    <x v="13"/>
    <x v="0"/>
    <x v="6"/>
    <x v="2"/>
    <n v="7366"/>
  </r>
  <r>
    <x v="13"/>
    <x v="1"/>
    <x v="2"/>
    <x v="0"/>
    <n v="124219"/>
  </r>
  <r>
    <x v="13"/>
    <x v="1"/>
    <x v="2"/>
    <x v="1"/>
    <n v="266375"/>
  </r>
  <r>
    <x v="13"/>
    <x v="1"/>
    <x v="2"/>
    <x v="2"/>
    <n v="209403"/>
  </r>
  <r>
    <x v="14"/>
    <x v="0"/>
    <x v="0"/>
    <x v="0"/>
    <n v="61929"/>
  </r>
  <r>
    <x v="14"/>
    <x v="0"/>
    <x v="0"/>
    <x v="1"/>
    <n v="22202"/>
  </r>
  <r>
    <x v="14"/>
    <x v="0"/>
    <x v="0"/>
    <x v="2"/>
    <n v="29280"/>
  </r>
  <r>
    <x v="14"/>
    <x v="0"/>
    <x v="0"/>
    <x v="3"/>
    <n v="151025"/>
  </r>
  <r>
    <x v="14"/>
    <x v="0"/>
    <x v="0"/>
    <x v="4"/>
    <n v="1500"/>
  </r>
  <r>
    <x v="14"/>
    <x v="0"/>
    <x v="1"/>
    <x v="0"/>
    <n v="203856"/>
  </r>
  <r>
    <x v="14"/>
    <x v="0"/>
    <x v="1"/>
    <x v="1"/>
    <n v="37488"/>
  </r>
  <r>
    <x v="14"/>
    <x v="0"/>
    <x v="1"/>
    <x v="2"/>
    <n v="86047"/>
  </r>
  <r>
    <x v="14"/>
    <x v="0"/>
    <x v="1"/>
    <x v="5"/>
    <n v="3500"/>
  </r>
  <r>
    <x v="14"/>
    <x v="0"/>
    <x v="2"/>
    <x v="6"/>
    <n v="10000"/>
  </r>
  <r>
    <x v="14"/>
    <x v="0"/>
    <x v="2"/>
    <x v="0"/>
    <n v="347021"/>
  </r>
  <r>
    <x v="14"/>
    <x v="0"/>
    <x v="2"/>
    <x v="1"/>
    <n v="362589"/>
  </r>
  <r>
    <x v="14"/>
    <x v="0"/>
    <x v="2"/>
    <x v="2"/>
    <n v="357639"/>
  </r>
  <r>
    <x v="14"/>
    <x v="0"/>
    <x v="2"/>
    <x v="3"/>
    <n v="13000"/>
  </r>
  <r>
    <x v="14"/>
    <x v="0"/>
    <x v="2"/>
    <x v="4"/>
    <n v="16297"/>
  </r>
  <r>
    <x v="14"/>
    <x v="0"/>
    <x v="3"/>
    <x v="4"/>
    <n v="16500"/>
  </r>
  <r>
    <x v="14"/>
    <x v="0"/>
    <x v="3"/>
    <x v="5"/>
    <n v="2000"/>
  </r>
  <r>
    <x v="14"/>
    <x v="1"/>
    <x v="2"/>
    <x v="1"/>
    <n v="115032"/>
  </r>
  <r>
    <x v="14"/>
    <x v="1"/>
    <x v="2"/>
    <x v="2"/>
    <n v="103618"/>
  </r>
  <r>
    <x v="14"/>
    <x v="1"/>
    <x v="2"/>
    <x v="3"/>
    <n v="78084"/>
  </r>
  <r>
    <x v="14"/>
    <x v="1"/>
    <x v="2"/>
    <x v="4"/>
    <n v="73666"/>
  </r>
  <r>
    <x v="15"/>
    <x v="0"/>
    <x v="0"/>
    <x v="6"/>
    <n v="8300"/>
  </r>
  <r>
    <x v="15"/>
    <x v="0"/>
    <x v="0"/>
    <x v="0"/>
    <n v="1922904"/>
  </r>
  <r>
    <x v="15"/>
    <x v="0"/>
    <x v="0"/>
    <x v="1"/>
    <n v="254089"/>
  </r>
  <r>
    <x v="15"/>
    <x v="0"/>
    <x v="0"/>
    <x v="2"/>
    <n v="639708"/>
  </r>
  <r>
    <x v="15"/>
    <x v="0"/>
    <x v="0"/>
    <x v="3"/>
    <n v="21200"/>
  </r>
  <r>
    <x v="15"/>
    <x v="0"/>
    <x v="0"/>
    <x v="4"/>
    <n v="200000"/>
  </r>
  <r>
    <x v="15"/>
    <x v="0"/>
    <x v="0"/>
    <x v="5"/>
    <n v="26600"/>
  </r>
  <r>
    <x v="15"/>
    <x v="0"/>
    <x v="9"/>
    <x v="6"/>
    <n v="500"/>
  </r>
  <r>
    <x v="15"/>
    <x v="0"/>
    <x v="9"/>
    <x v="0"/>
    <n v="86694"/>
  </r>
  <r>
    <x v="15"/>
    <x v="0"/>
    <x v="9"/>
    <x v="1"/>
    <n v="98832"/>
  </r>
  <r>
    <x v="15"/>
    <x v="0"/>
    <x v="9"/>
    <x v="2"/>
    <n v="63644"/>
  </r>
  <r>
    <x v="15"/>
    <x v="0"/>
    <x v="9"/>
    <x v="3"/>
    <n v="500"/>
  </r>
  <r>
    <x v="15"/>
    <x v="0"/>
    <x v="9"/>
    <x v="4"/>
    <n v="70"/>
  </r>
  <r>
    <x v="15"/>
    <x v="0"/>
    <x v="9"/>
    <x v="5"/>
    <n v="100"/>
  </r>
  <r>
    <x v="15"/>
    <x v="0"/>
    <x v="7"/>
    <x v="1"/>
    <n v="1353429"/>
  </r>
  <r>
    <x v="15"/>
    <x v="0"/>
    <x v="7"/>
    <x v="2"/>
    <n v="471445"/>
  </r>
  <r>
    <x v="15"/>
    <x v="0"/>
    <x v="1"/>
    <x v="6"/>
    <n v="850"/>
  </r>
  <r>
    <x v="15"/>
    <x v="0"/>
    <x v="1"/>
    <x v="0"/>
    <n v="4012072"/>
  </r>
  <r>
    <x v="15"/>
    <x v="0"/>
    <x v="1"/>
    <x v="1"/>
    <n v="881443"/>
  </r>
  <r>
    <x v="15"/>
    <x v="0"/>
    <x v="1"/>
    <x v="2"/>
    <n v="1574990"/>
  </r>
  <r>
    <x v="15"/>
    <x v="0"/>
    <x v="1"/>
    <x v="3"/>
    <n v="53500"/>
  </r>
  <r>
    <x v="15"/>
    <x v="0"/>
    <x v="1"/>
    <x v="4"/>
    <n v="3813400"/>
  </r>
  <r>
    <x v="15"/>
    <x v="0"/>
    <x v="1"/>
    <x v="5"/>
    <n v="9500"/>
  </r>
  <r>
    <x v="15"/>
    <x v="0"/>
    <x v="2"/>
    <x v="6"/>
    <n v="78100"/>
  </r>
  <r>
    <x v="15"/>
    <x v="0"/>
    <x v="2"/>
    <x v="0"/>
    <n v="13148057"/>
  </r>
  <r>
    <x v="15"/>
    <x v="0"/>
    <x v="2"/>
    <x v="1"/>
    <n v="8349748"/>
  </r>
  <r>
    <x v="15"/>
    <x v="0"/>
    <x v="2"/>
    <x v="2"/>
    <n v="10141859"/>
  </r>
  <r>
    <x v="15"/>
    <x v="0"/>
    <x v="2"/>
    <x v="3"/>
    <n v="162674"/>
  </r>
  <r>
    <x v="15"/>
    <x v="0"/>
    <x v="2"/>
    <x v="4"/>
    <n v="2833964"/>
  </r>
  <r>
    <x v="15"/>
    <x v="0"/>
    <x v="2"/>
    <x v="5"/>
    <n v="26000"/>
  </r>
  <r>
    <x v="15"/>
    <x v="0"/>
    <x v="8"/>
    <x v="4"/>
    <n v="2219300"/>
  </r>
  <r>
    <x v="15"/>
    <x v="0"/>
    <x v="3"/>
    <x v="0"/>
    <n v="174307"/>
  </r>
  <r>
    <x v="15"/>
    <x v="0"/>
    <x v="3"/>
    <x v="1"/>
    <n v="35524"/>
  </r>
  <r>
    <x v="15"/>
    <x v="0"/>
    <x v="3"/>
    <x v="2"/>
    <n v="67570"/>
  </r>
  <r>
    <x v="15"/>
    <x v="0"/>
    <x v="3"/>
    <x v="3"/>
    <n v="3500"/>
  </r>
  <r>
    <x v="15"/>
    <x v="0"/>
    <x v="3"/>
    <x v="4"/>
    <n v="73000"/>
  </r>
  <r>
    <x v="15"/>
    <x v="0"/>
    <x v="3"/>
    <x v="5"/>
    <n v="31000"/>
  </r>
  <r>
    <x v="15"/>
    <x v="0"/>
    <x v="6"/>
    <x v="0"/>
    <n v="246015"/>
  </r>
  <r>
    <x v="15"/>
    <x v="0"/>
    <x v="6"/>
    <x v="2"/>
    <n v="86992"/>
  </r>
  <r>
    <x v="16"/>
    <x v="0"/>
    <x v="0"/>
    <x v="0"/>
    <n v="204853"/>
  </r>
  <r>
    <x v="16"/>
    <x v="0"/>
    <x v="0"/>
    <x v="1"/>
    <n v="97086"/>
  </r>
  <r>
    <x v="16"/>
    <x v="0"/>
    <x v="0"/>
    <x v="2"/>
    <n v="83712"/>
  </r>
  <r>
    <x v="16"/>
    <x v="0"/>
    <x v="0"/>
    <x v="3"/>
    <n v="1400"/>
  </r>
  <r>
    <x v="16"/>
    <x v="0"/>
    <x v="0"/>
    <x v="4"/>
    <n v="9354"/>
  </r>
  <r>
    <x v="16"/>
    <x v="0"/>
    <x v="1"/>
    <x v="0"/>
    <n v="2317436"/>
  </r>
  <r>
    <x v="16"/>
    <x v="0"/>
    <x v="1"/>
    <x v="1"/>
    <n v="130716"/>
  </r>
  <r>
    <x v="16"/>
    <x v="0"/>
    <x v="1"/>
    <x v="2"/>
    <n v="736541"/>
  </r>
  <r>
    <x v="16"/>
    <x v="0"/>
    <x v="1"/>
    <x v="3"/>
    <n v="1150"/>
  </r>
  <r>
    <x v="16"/>
    <x v="0"/>
    <x v="1"/>
    <x v="4"/>
    <n v="621150"/>
  </r>
  <r>
    <x v="16"/>
    <x v="0"/>
    <x v="1"/>
    <x v="5"/>
    <n v="800"/>
  </r>
  <r>
    <x v="16"/>
    <x v="0"/>
    <x v="2"/>
    <x v="6"/>
    <n v="3000"/>
  </r>
  <r>
    <x v="16"/>
    <x v="0"/>
    <x v="2"/>
    <x v="0"/>
    <n v="4483391"/>
  </r>
  <r>
    <x v="16"/>
    <x v="0"/>
    <x v="2"/>
    <x v="1"/>
    <n v="3858555"/>
  </r>
  <r>
    <x v="16"/>
    <x v="0"/>
    <x v="2"/>
    <x v="2"/>
    <n v="3523336"/>
  </r>
  <r>
    <x v="16"/>
    <x v="0"/>
    <x v="2"/>
    <x v="3"/>
    <n v="235000"/>
  </r>
  <r>
    <x v="16"/>
    <x v="0"/>
    <x v="2"/>
    <x v="4"/>
    <n v="1313000"/>
  </r>
  <r>
    <x v="16"/>
    <x v="0"/>
    <x v="2"/>
    <x v="5"/>
    <n v="2500"/>
  </r>
  <r>
    <x v="16"/>
    <x v="0"/>
    <x v="8"/>
    <x v="4"/>
    <n v="175000"/>
  </r>
  <r>
    <x v="16"/>
    <x v="0"/>
    <x v="3"/>
    <x v="3"/>
    <n v="1500"/>
  </r>
  <r>
    <x v="16"/>
    <x v="0"/>
    <x v="3"/>
    <x v="4"/>
    <n v="720"/>
  </r>
  <r>
    <x v="16"/>
    <x v="0"/>
    <x v="5"/>
    <x v="3"/>
    <n v="2320"/>
  </r>
  <r>
    <x v="15"/>
    <x v="1"/>
    <x v="0"/>
    <x v="1"/>
    <n v="378724"/>
  </r>
  <r>
    <x v="15"/>
    <x v="1"/>
    <x v="0"/>
    <x v="2"/>
    <n v="130271"/>
  </r>
  <r>
    <x v="15"/>
    <x v="1"/>
    <x v="9"/>
    <x v="4"/>
    <n v="102576"/>
  </r>
  <r>
    <x v="15"/>
    <x v="1"/>
    <x v="1"/>
    <x v="1"/>
    <n v="103451"/>
  </r>
  <r>
    <x v="15"/>
    <x v="1"/>
    <x v="1"/>
    <x v="2"/>
    <n v="66072"/>
  </r>
  <r>
    <x v="15"/>
    <x v="1"/>
    <x v="2"/>
    <x v="0"/>
    <n v="1013361"/>
  </r>
  <r>
    <x v="15"/>
    <x v="1"/>
    <x v="2"/>
    <x v="1"/>
    <n v="1299642"/>
  </r>
  <r>
    <x v="15"/>
    <x v="1"/>
    <x v="2"/>
    <x v="2"/>
    <n v="1129411"/>
  </r>
  <r>
    <x v="15"/>
    <x v="1"/>
    <x v="8"/>
    <x v="4"/>
    <n v="250073"/>
  </r>
  <r>
    <x v="16"/>
    <x v="1"/>
    <x v="0"/>
    <x v="0"/>
    <n v="98477"/>
  </r>
  <r>
    <x v="16"/>
    <x v="1"/>
    <x v="0"/>
    <x v="2"/>
    <n v="23322"/>
  </r>
  <r>
    <x v="16"/>
    <x v="1"/>
    <x v="1"/>
    <x v="0"/>
    <n v="789258"/>
  </r>
  <r>
    <x v="16"/>
    <x v="1"/>
    <x v="1"/>
    <x v="2"/>
    <n v="222790"/>
  </r>
  <r>
    <x v="16"/>
    <x v="1"/>
    <x v="2"/>
    <x v="0"/>
    <n v="3000"/>
  </r>
  <r>
    <x v="16"/>
    <x v="1"/>
    <x v="2"/>
    <x v="1"/>
    <n v="2000"/>
  </r>
  <r>
    <x v="16"/>
    <x v="1"/>
    <x v="2"/>
    <x v="2"/>
    <n v="538"/>
  </r>
  <r>
    <x v="17"/>
    <x v="0"/>
    <x v="0"/>
    <x v="0"/>
    <n v="176245"/>
  </r>
  <r>
    <x v="17"/>
    <x v="0"/>
    <x v="0"/>
    <x v="1"/>
    <n v="110701"/>
  </r>
  <r>
    <x v="17"/>
    <x v="0"/>
    <x v="0"/>
    <x v="2"/>
    <n v="90809"/>
  </r>
  <r>
    <x v="17"/>
    <x v="0"/>
    <x v="1"/>
    <x v="0"/>
    <n v="1355010"/>
  </r>
  <r>
    <x v="17"/>
    <x v="0"/>
    <x v="1"/>
    <x v="1"/>
    <n v="47368"/>
  </r>
  <r>
    <x v="17"/>
    <x v="0"/>
    <x v="1"/>
    <x v="2"/>
    <n v="430007"/>
  </r>
  <r>
    <x v="17"/>
    <x v="0"/>
    <x v="2"/>
    <x v="0"/>
    <n v="3113587"/>
  </r>
  <r>
    <x v="17"/>
    <x v="0"/>
    <x v="2"/>
    <x v="1"/>
    <n v="2211902"/>
  </r>
  <r>
    <x v="17"/>
    <x v="0"/>
    <x v="2"/>
    <x v="2"/>
    <n v="2287263"/>
  </r>
  <r>
    <x v="17"/>
    <x v="0"/>
    <x v="2"/>
    <x v="4"/>
    <n v="600000"/>
  </r>
  <r>
    <x v="17"/>
    <x v="0"/>
    <x v="3"/>
    <x v="0"/>
    <n v="242179"/>
  </r>
  <r>
    <x v="17"/>
    <x v="0"/>
    <x v="3"/>
    <x v="2"/>
    <n v="39153"/>
  </r>
  <r>
    <x v="17"/>
    <x v="0"/>
    <x v="6"/>
    <x v="0"/>
    <n v="65928"/>
  </r>
  <r>
    <x v="17"/>
    <x v="0"/>
    <x v="6"/>
    <x v="2"/>
    <n v="10710"/>
  </r>
  <r>
    <x v="18"/>
    <x v="0"/>
    <x v="0"/>
    <x v="0"/>
    <n v="368862"/>
  </r>
  <r>
    <x v="18"/>
    <x v="0"/>
    <x v="0"/>
    <x v="1"/>
    <n v="45126"/>
  </r>
  <r>
    <x v="18"/>
    <x v="0"/>
    <x v="0"/>
    <x v="2"/>
    <n v="104338"/>
  </r>
  <r>
    <x v="18"/>
    <x v="0"/>
    <x v="0"/>
    <x v="3"/>
    <n v="2960"/>
  </r>
  <r>
    <x v="18"/>
    <x v="0"/>
    <x v="0"/>
    <x v="5"/>
    <n v="250"/>
  </r>
  <r>
    <x v="18"/>
    <x v="0"/>
    <x v="7"/>
    <x v="1"/>
    <n v="38853"/>
  </r>
  <r>
    <x v="18"/>
    <x v="0"/>
    <x v="7"/>
    <x v="2"/>
    <n v="6123"/>
  </r>
  <r>
    <x v="18"/>
    <x v="0"/>
    <x v="1"/>
    <x v="0"/>
    <n v="1283328"/>
  </r>
  <r>
    <x v="18"/>
    <x v="0"/>
    <x v="1"/>
    <x v="1"/>
    <n v="201"/>
  </r>
  <r>
    <x v="18"/>
    <x v="0"/>
    <x v="1"/>
    <x v="2"/>
    <n v="414432"/>
  </r>
  <r>
    <x v="18"/>
    <x v="0"/>
    <x v="1"/>
    <x v="3"/>
    <n v="1250"/>
  </r>
  <r>
    <x v="18"/>
    <x v="0"/>
    <x v="1"/>
    <x v="4"/>
    <n v="1250"/>
  </r>
  <r>
    <x v="18"/>
    <x v="0"/>
    <x v="2"/>
    <x v="0"/>
    <n v="2036017"/>
  </r>
  <r>
    <x v="18"/>
    <x v="0"/>
    <x v="2"/>
    <x v="1"/>
    <n v="2283667"/>
  </r>
  <r>
    <x v="18"/>
    <x v="0"/>
    <x v="2"/>
    <x v="2"/>
    <n v="1951807"/>
  </r>
  <r>
    <x v="18"/>
    <x v="0"/>
    <x v="2"/>
    <x v="3"/>
    <n v="8450"/>
  </r>
  <r>
    <x v="18"/>
    <x v="0"/>
    <x v="2"/>
    <x v="4"/>
    <n v="2562846"/>
  </r>
  <r>
    <x v="18"/>
    <x v="0"/>
    <x v="2"/>
    <x v="5"/>
    <n v="10000"/>
  </r>
  <r>
    <x v="18"/>
    <x v="0"/>
    <x v="10"/>
    <x v="1"/>
    <n v="1496"/>
  </r>
  <r>
    <x v="18"/>
    <x v="0"/>
    <x v="10"/>
    <x v="2"/>
    <n v="209"/>
  </r>
  <r>
    <x v="18"/>
    <x v="0"/>
    <x v="3"/>
    <x v="0"/>
    <n v="151384"/>
  </r>
  <r>
    <x v="18"/>
    <x v="0"/>
    <x v="3"/>
    <x v="1"/>
    <n v="11993"/>
  </r>
  <r>
    <x v="18"/>
    <x v="0"/>
    <x v="3"/>
    <x v="2"/>
    <n v="41472"/>
  </r>
  <r>
    <x v="18"/>
    <x v="0"/>
    <x v="3"/>
    <x v="4"/>
    <n v="3967"/>
  </r>
  <r>
    <x v="18"/>
    <x v="0"/>
    <x v="5"/>
    <x v="3"/>
    <n v="6000"/>
  </r>
  <r>
    <x v="18"/>
    <x v="0"/>
    <x v="5"/>
    <x v="4"/>
    <n v="7500"/>
  </r>
  <r>
    <x v="18"/>
    <x v="0"/>
    <x v="6"/>
    <x v="0"/>
    <n v="55291"/>
  </r>
  <r>
    <x v="18"/>
    <x v="0"/>
    <x v="6"/>
    <x v="2"/>
    <n v="8988"/>
  </r>
  <r>
    <x v="17"/>
    <x v="1"/>
    <x v="1"/>
    <x v="0"/>
    <n v="550267"/>
  </r>
  <r>
    <x v="17"/>
    <x v="1"/>
    <x v="1"/>
    <x v="2"/>
    <n v="173771"/>
  </r>
  <r>
    <x v="17"/>
    <x v="1"/>
    <x v="2"/>
    <x v="4"/>
    <n v="2700"/>
  </r>
  <r>
    <x v="17"/>
    <x v="1"/>
    <x v="3"/>
    <x v="0"/>
    <n v="48412"/>
  </r>
  <r>
    <x v="17"/>
    <x v="1"/>
    <x v="3"/>
    <x v="2"/>
    <n v="7858"/>
  </r>
  <r>
    <x v="18"/>
    <x v="1"/>
    <x v="1"/>
    <x v="0"/>
    <n v="214761"/>
  </r>
  <r>
    <x v="18"/>
    <x v="1"/>
    <x v="1"/>
    <x v="2"/>
    <n v="59228"/>
  </r>
  <r>
    <x v="18"/>
    <x v="1"/>
    <x v="2"/>
    <x v="4"/>
    <n v="710000"/>
  </r>
  <r>
    <x v="18"/>
    <x v="1"/>
    <x v="3"/>
    <x v="0"/>
    <n v="1637"/>
  </r>
  <r>
    <x v="18"/>
    <x v="1"/>
    <x v="3"/>
    <x v="2"/>
    <n v="264"/>
  </r>
  <r>
    <x v="19"/>
    <x v="0"/>
    <x v="0"/>
    <x v="1"/>
    <n v="33987"/>
  </r>
  <r>
    <x v="19"/>
    <x v="0"/>
    <x v="0"/>
    <x v="2"/>
    <n v="14106"/>
  </r>
  <r>
    <x v="19"/>
    <x v="0"/>
    <x v="1"/>
    <x v="0"/>
    <n v="8016"/>
  </r>
  <r>
    <x v="19"/>
    <x v="0"/>
    <x v="1"/>
    <x v="2"/>
    <n v="1377"/>
  </r>
  <r>
    <x v="19"/>
    <x v="0"/>
    <x v="1"/>
    <x v="3"/>
    <n v="900"/>
  </r>
  <r>
    <x v="19"/>
    <x v="0"/>
    <x v="1"/>
    <x v="4"/>
    <n v="525000"/>
  </r>
  <r>
    <x v="19"/>
    <x v="0"/>
    <x v="2"/>
    <x v="0"/>
    <n v="492889"/>
  </r>
  <r>
    <x v="19"/>
    <x v="0"/>
    <x v="2"/>
    <x v="1"/>
    <n v="203280"/>
  </r>
  <r>
    <x v="19"/>
    <x v="0"/>
    <x v="2"/>
    <x v="2"/>
    <n v="316222"/>
  </r>
  <r>
    <x v="19"/>
    <x v="0"/>
    <x v="2"/>
    <x v="3"/>
    <n v="8000"/>
  </r>
  <r>
    <x v="19"/>
    <x v="0"/>
    <x v="2"/>
    <x v="4"/>
    <n v="1500"/>
  </r>
  <r>
    <x v="19"/>
    <x v="0"/>
    <x v="4"/>
    <x v="3"/>
    <n v="3400"/>
  </r>
  <r>
    <x v="19"/>
    <x v="0"/>
    <x v="6"/>
    <x v="0"/>
    <n v="6416"/>
  </r>
  <r>
    <x v="19"/>
    <x v="0"/>
    <x v="6"/>
    <x v="2"/>
    <n v="1143"/>
  </r>
  <r>
    <x v="19"/>
    <x v="1"/>
    <x v="1"/>
    <x v="4"/>
    <n v="120500"/>
  </r>
  <r>
    <x v="19"/>
    <x v="2"/>
    <x v="1"/>
    <x v="0"/>
    <n v="108041"/>
  </r>
  <r>
    <x v="19"/>
    <x v="2"/>
    <x v="1"/>
    <x v="2"/>
    <n v="34811"/>
  </r>
  <r>
    <x v="20"/>
    <x v="0"/>
    <x v="0"/>
    <x v="0"/>
    <n v="116435"/>
  </r>
  <r>
    <x v="20"/>
    <x v="0"/>
    <x v="0"/>
    <x v="1"/>
    <n v="36940"/>
  </r>
  <r>
    <x v="20"/>
    <x v="0"/>
    <x v="0"/>
    <x v="2"/>
    <n v="49022"/>
  </r>
  <r>
    <x v="20"/>
    <x v="0"/>
    <x v="0"/>
    <x v="4"/>
    <n v="5000"/>
  </r>
  <r>
    <x v="20"/>
    <x v="0"/>
    <x v="1"/>
    <x v="0"/>
    <n v="409141"/>
  </r>
  <r>
    <x v="20"/>
    <x v="0"/>
    <x v="1"/>
    <x v="1"/>
    <n v="62829"/>
  </r>
  <r>
    <x v="20"/>
    <x v="0"/>
    <x v="1"/>
    <x v="2"/>
    <n v="167671"/>
  </r>
  <r>
    <x v="20"/>
    <x v="0"/>
    <x v="1"/>
    <x v="4"/>
    <n v="135000"/>
  </r>
  <r>
    <x v="20"/>
    <x v="0"/>
    <x v="1"/>
    <x v="5"/>
    <n v="500"/>
  </r>
  <r>
    <x v="20"/>
    <x v="0"/>
    <x v="2"/>
    <x v="0"/>
    <n v="563210"/>
  </r>
  <r>
    <x v="20"/>
    <x v="0"/>
    <x v="2"/>
    <x v="1"/>
    <n v="564961"/>
  </r>
  <r>
    <x v="20"/>
    <x v="0"/>
    <x v="2"/>
    <x v="2"/>
    <n v="534902"/>
  </r>
  <r>
    <x v="20"/>
    <x v="0"/>
    <x v="2"/>
    <x v="3"/>
    <n v="36500"/>
  </r>
  <r>
    <x v="20"/>
    <x v="0"/>
    <x v="2"/>
    <x v="4"/>
    <n v="138750"/>
  </r>
  <r>
    <x v="20"/>
    <x v="0"/>
    <x v="2"/>
    <x v="5"/>
    <n v="1000"/>
  </r>
  <r>
    <x v="20"/>
    <x v="0"/>
    <x v="3"/>
    <x v="4"/>
    <n v="1500"/>
  </r>
  <r>
    <x v="20"/>
    <x v="0"/>
    <x v="3"/>
    <x v="5"/>
    <n v="250"/>
  </r>
  <r>
    <x v="20"/>
    <x v="0"/>
    <x v="4"/>
    <x v="4"/>
    <n v="500"/>
  </r>
  <r>
    <x v="21"/>
    <x v="0"/>
    <x v="2"/>
    <x v="0"/>
    <n v="77520"/>
  </r>
  <r>
    <x v="21"/>
    <x v="0"/>
    <x v="2"/>
    <x v="1"/>
    <n v="51526"/>
  </r>
  <r>
    <x v="21"/>
    <x v="0"/>
    <x v="2"/>
    <x v="2"/>
    <n v="54896"/>
  </r>
  <r>
    <x v="21"/>
    <x v="0"/>
    <x v="2"/>
    <x v="4"/>
    <n v="30000"/>
  </r>
  <r>
    <x v="21"/>
    <x v="0"/>
    <x v="2"/>
    <x v="5"/>
    <n v="2000"/>
  </r>
  <r>
    <x v="21"/>
    <x v="0"/>
    <x v="8"/>
    <x v="4"/>
    <n v="140000"/>
  </r>
  <r>
    <x v="21"/>
    <x v="1"/>
    <x v="2"/>
    <x v="1"/>
    <n v="30459"/>
  </r>
  <r>
    <x v="21"/>
    <x v="1"/>
    <x v="2"/>
    <x v="2"/>
    <n v="19107"/>
  </r>
  <r>
    <x v="21"/>
    <x v="1"/>
    <x v="2"/>
    <x v="4"/>
    <n v="2500"/>
  </r>
  <r>
    <x v="20"/>
    <x v="1"/>
    <x v="2"/>
    <x v="0"/>
    <n v="121758"/>
  </r>
  <r>
    <x v="20"/>
    <x v="1"/>
    <x v="2"/>
    <x v="1"/>
    <n v="110458"/>
  </r>
  <r>
    <x v="20"/>
    <x v="1"/>
    <x v="2"/>
    <x v="2"/>
    <n v="104651"/>
  </r>
  <r>
    <x v="20"/>
    <x v="1"/>
    <x v="2"/>
    <x v="3"/>
    <n v="753"/>
  </r>
  <r>
    <x v="22"/>
    <x v="0"/>
    <x v="1"/>
    <x v="0"/>
    <n v="165020"/>
  </r>
  <r>
    <x v="22"/>
    <x v="0"/>
    <x v="1"/>
    <x v="2"/>
    <n v="59023"/>
  </r>
  <r>
    <x v="22"/>
    <x v="0"/>
    <x v="2"/>
    <x v="0"/>
    <n v="630803"/>
  </r>
  <r>
    <x v="22"/>
    <x v="0"/>
    <x v="2"/>
    <x v="1"/>
    <n v="519172"/>
  </r>
  <r>
    <x v="22"/>
    <x v="0"/>
    <x v="2"/>
    <x v="2"/>
    <n v="527855"/>
  </r>
  <r>
    <x v="22"/>
    <x v="0"/>
    <x v="6"/>
    <x v="0"/>
    <n v="11103"/>
  </r>
  <r>
    <x v="22"/>
    <x v="0"/>
    <x v="6"/>
    <x v="2"/>
    <n v="2207"/>
  </r>
  <r>
    <x v="22"/>
    <x v="1"/>
    <x v="2"/>
    <x v="1"/>
    <n v="94176"/>
  </r>
  <r>
    <x v="22"/>
    <x v="1"/>
    <x v="2"/>
    <x v="2"/>
    <n v="66351"/>
  </r>
  <r>
    <x v="23"/>
    <x v="0"/>
    <x v="2"/>
    <x v="4"/>
    <n v="152624"/>
  </r>
  <r>
    <x v="24"/>
    <x v="0"/>
    <x v="0"/>
    <x v="0"/>
    <n v="334174"/>
  </r>
  <r>
    <x v="24"/>
    <x v="0"/>
    <x v="0"/>
    <x v="1"/>
    <n v="136519"/>
  </r>
  <r>
    <x v="24"/>
    <x v="0"/>
    <x v="0"/>
    <x v="2"/>
    <n v="135914"/>
  </r>
  <r>
    <x v="24"/>
    <x v="0"/>
    <x v="0"/>
    <x v="3"/>
    <n v="21053"/>
  </r>
  <r>
    <x v="24"/>
    <x v="0"/>
    <x v="0"/>
    <x v="4"/>
    <n v="10195"/>
  </r>
  <r>
    <x v="24"/>
    <x v="0"/>
    <x v="0"/>
    <x v="5"/>
    <n v="9040"/>
  </r>
  <r>
    <x v="24"/>
    <x v="0"/>
    <x v="7"/>
    <x v="4"/>
    <n v="11000"/>
  </r>
  <r>
    <x v="24"/>
    <x v="0"/>
    <x v="7"/>
    <x v="5"/>
    <n v="4645"/>
  </r>
  <r>
    <x v="24"/>
    <x v="0"/>
    <x v="1"/>
    <x v="0"/>
    <n v="2595202"/>
  </r>
  <r>
    <x v="24"/>
    <x v="0"/>
    <x v="1"/>
    <x v="1"/>
    <n v="46503"/>
  </r>
  <r>
    <x v="24"/>
    <x v="0"/>
    <x v="1"/>
    <x v="2"/>
    <n v="735440"/>
  </r>
  <r>
    <x v="24"/>
    <x v="0"/>
    <x v="1"/>
    <x v="3"/>
    <n v="25000"/>
  </r>
  <r>
    <x v="24"/>
    <x v="0"/>
    <x v="1"/>
    <x v="4"/>
    <n v="253524"/>
  </r>
  <r>
    <x v="24"/>
    <x v="0"/>
    <x v="1"/>
    <x v="5"/>
    <n v="1000"/>
  </r>
  <r>
    <x v="24"/>
    <x v="0"/>
    <x v="2"/>
    <x v="6"/>
    <n v="15144"/>
  </r>
  <r>
    <x v="24"/>
    <x v="0"/>
    <x v="2"/>
    <x v="0"/>
    <n v="4130885"/>
  </r>
  <r>
    <x v="24"/>
    <x v="0"/>
    <x v="2"/>
    <x v="1"/>
    <n v="3416457"/>
  </r>
  <r>
    <x v="24"/>
    <x v="0"/>
    <x v="2"/>
    <x v="2"/>
    <n v="3276581"/>
  </r>
  <r>
    <x v="24"/>
    <x v="0"/>
    <x v="2"/>
    <x v="3"/>
    <n v="34151"/>
  </r>
  <r>
    <x v="24"/>
    <x v="0"/>
    <x v="2"/>
    <x v="4"/>
    <n v="53500"/>
  </r>
  <r>
    <x v="24"/>
    <x v="0"/>
    <x v="2"/>
    <x v="5"/>
    <n v="5000"/>
  </r>
  <r>
    <x v="24"/>
    <x v="0"/>
    <x v="8"/>
    <x v="4"/>
    <n v="2500000"/>
  </r>
  <r>
    <x v="24"/>
    <x v="0"/>
    <x v="3"/>
    <x v="3"/>
    <n v="6000"/>
  </r>
  <r>
    <x v="24"/>
    <x v="1"/>
    <x v="2"/>
    <x v="0"/>
    <n v="939094"/>
  </r>
  <r>
    <x v="24"/>
    <x v="1"/>
    <x v="2"/>
    <x v="1"/>
    <n v="7997"/>
  </r>
  <r>
    <x v="24"/>
    <x v="1"/>
    <x v="2"/>
    <x v="2"/>
    <n v="284408"/>
  </r>
  <r>
    <x v="24"/>
    <x v="1"/>
    <x v="2"/>
    <x v="3"/>
    <n v="46813"/>
  </r>
  <r>
    <x v="25"/>
    <x v="0"/>
    <x v="0"/>
    <x v="0"/>
    <n v="142018"/>
  </r>
  <r>
    <x v="25"/>
    <x v="0"/>
    <x v="0"/>
    <x v="1"/>
    <n v="49392"/>
  </r>
  <r>
    <x v="25"/>
    <x v="0"/>
    <x v="0"/>
    <x v="2"/>
    <n v="65842"/>
  </r>
  <r>
    <x v="25"/>
    <x v="0"/>
    <x v="1"/>
    <x v="0"/>
    <n v="358757"/>
  </r>
  <r>
    <x v="25"/>
    <x v="0"/>
    <x v="1"/>
    <x v="1"/>
    <n v="33011"/>
  </r>
  <r>
    <x v="25"/>
    <x v="0"/>
    <x v="1"/>
    <x v="2"/>
    <n v="131544"/>
  </r>
  <r>
    <x v="25"/>
    <x v="0"/>
    <x v="1"/>
    <x v="4"/>
    <n v="547554"/>
  </r>
  <r>
    <x v="25"/>
    <x v="0"/>
    <x v="2"/>
    <x v="0"/>
    <n v="665741"/>
  </r>
  <r>
    <x v="25"/>
    <x v="0"/>
    <x v="2"/>
    <x v="1"/>
    <n v="663573"/>
  </r>
  <r>
    <x v="25"/>
    <x v="0"/>
    <x v="2"/>
    <x v="2"/>
    <n v="700179"/>
  </r>
  <r>
    <x v="25"/>
    <x v="0"/>
    <x v="2"/>
    <x v="3"/>
    <n v="11000"/>
  </r>
  <r>
    <x v="25"/>
    <x v="0"/>
    <x v="2"/>
    <x v="4"/>
    <n v="396278"/>
  </r>
  <r>
    <x v="25"/>
    <x v="0"/>
    <x v="6"/>
    <x v="0"/>
    <n v="18073"/>
  </r>
  <r>
    <x v="25"/>
    <x v="0"/>
    <x v="6"/>
    <x v="2"/>
    <n v="3101"/>
  </r>
  <r>
    <x v="25"/>
    <x v="1"/>
    <x v="1"/>
    <x v="4"/>
    <n v="102446"/>
  </r>
  <r>
    <x v="25"/>
    <x v="1"/>
    <x v="2"/>
    <x v="0"/>
    <n v="125512"/>
  </r>
  <r>
    <x v="25"/>
    <x v="1"/>
    <x v="2"/>
    <x v="1"/>
    <n v="12521"/>
  </r>
  <r>
    <x v="25"/>
    <x v="1"/>
    <x v="2"/>
    <x v="2"/>
    <n v="43577"/>
  </r>
  <r>
    <x v="26"/>
    <x v="0"/>
    <x v="0"/>
    <x v="0"/>
    <n v="235054"/>
  </r>
  <r>
    <x v="26"/>
    <x v="0"/>
    <x v="0"/>
    <x v="1"/>
    <n v="73726"/>
  </r>
  <r>
    <x v="26"/>
    <x v="0"/>
    <x v="0"/>
    <x v="2"/>
    <n v="101893"/>
  </r>
  <r>
    <x v="26"/>
    <x v="0"/>
    <x v="0"/>
    <x v="3"/>
    <n v="2400"/>
  </r>
  <r>
    <x v="26"/>
    <x v="0"/>
    <x v="0"/>
    <x v="4"/>
    <n v="21125"/>
  </r>
  <r>
    <x v="26"/>
    <x v="0"/>
    <x v="0"/>
    <x v="5"/>
    <n v="1200"/>
  </r>
  <r>
    <x v="26"/>
    <x v="0"/>
    <x v="7"/>
    <x v="1"/>
    <n v="62289"/>
  </r>
  <r>
    <x v="26"/>
    <x v="0"/>
    <x v="7"/>
    <x v="2"/>
    <n v="46390"/>
  </r>
  <r>
    <x v="26"/>
    <x v="0"/>
    <x v="1"/>
    <x v="0"/>
    <n v="497651"/>
  </r>
  <r>
    <x v="26"/>
    <x v="0"/>
    <x v="1"/>
    <x v="1"/>
    <n v="88761"/>
  </r>
  <r>
    <x v="26"/>
    <x v="0"/>
    <x v="1"/>
    <x v="2"/>
    <n v="205692"/>
  </r>
  <r>
    <x v="26"/>
    <x v="0"/>
    <x v="1"/>
    <x v="3"/>
    <n v="11505"/>
  </r>
  <r>
    <x v="26"/>
    <x v="0"/>
    <x v="1"/>
    <x v="4"/>
    <n v="959000"/>
  </r>
  <r>
    <x v="26"/>
    <x v="0"/>
    <x v="1"/>
    <x v="5"/>
    <n v="400"/>
  </r>
  <r>
    <x v="26"/>
    <x v="0"/>
    <x v="2"/>
    <x v="6"/>
    <n v="13000"/>
  </r>
  <r>
    <x v="26"/>
    <x v="0"/>
    <x v="2"/>
    <x v="0"/>
    <n v="2154875"/>
  </r>
  <r>
    <x v="26"/>
    <x v="0"/>
    <x v="2"/>
    <x v="1"/>
    <n v="1250740"/>
  </r>
  <r>
    <x v="26"/>
    <x v="0"/>
    <x v="2"/>
    <x v="2"/>
    <n v="1530335"/>
  </r>
  <r>
    <x v="26"/>
    <x v="0"/>
    <x v="2"/>
    <x v="3"/>
    <n v="3300"/>
  </r>
  <r>
    <x v="26"/>
    <x v="0"/>
    <x v="2"/>
    <x v="4"/>
    <n v="170950"/>
  </r>
  <r>
    <x v="26"/>
    <x v="0"/>
    <x v="2"/>
    <x v="5"/>
    <n v="1800"/>
  </r>
  <r>
    <x v="26"/>
    <x v="0"/>
    <x v="3"/>
    <x v="0"/>
    <n v="48486"/>
  </r>
  <r>
    <x v="26"/>
    <x v="0"/>
    <x v="3"/>
    <x v="1"/>
    <n v="1000"/>
  </r>
  <r>
    <x v="26"/>
    <x v="0"/>
    <x v="3"/>
    <x v="2"/>
    <n v="8182"/>
  </r>
  <r>
    <x v="26"/>
    <x v="0"/>
    <x v="3"/>
    <x v="4"/>
    <n v="1000"/>
  </r>
  <r>
    <x v="26"/>
    <x v="0"/>
    <x v="6"/>
    <x v="0"/>
    <n v="42355"/>
  </r>
  <r>
    <x v="26"/>
    <x v="0"/>
    <x v="6"/>
    <x v="2"/>
    <n v="6980"/>
  </r>
  <r>
    <x v="26"/>
    <x v="1"/>
    <x v="1"/>
    <x v="1"/>
    <n v="59554"/>
  </r>
  <r>
    <x v="26"/>
    <x v="1"/>
    <x v="1"/>
    <x v="2"/>
    <n v="25361"/>
  </r>
  <r>
    <x v="26"/>
    <x v="1"/>
    <x v="2"/>
    <x v="1"/>
    <n v="353949"/>
  </r>
  <r>
    <x v="26"/>
    <x v="1"/>
    <x v="2"/>
    <x v="2"/>
    <n v="264483"/>
  </r>
  <r>
    <x v="27"/>
    <x v="0"/>
    <x v="0"/>
    <x v="6"/>
    <n v="60"/>
  </r>
  <r>
    <x v="27"/>
    <x v="0"/>
    <x v="0"/>
    <x v="0"/>
    <n v="1063679"/>
  </r>
  <r>
    <x v="27"/>
    <x v="0"/>
    <x v="0"/>
    <x v="1"/>
    <n v="246568"/>
  </r>
  <r>
    <x v="27"/>
    <x v="0"/>
    <x v="0"/>
    <x v="2"/>
    <n v="359970"/>
  </r>
  <r>
    <x v="27"/>
    <x v="0"/>
    <x v="0"/>
    <x v="3"/>
    <n v="13150"/>
  </r>
  <r>
    <x v="27"/>
    <x v="0"/>
    <x v="0"/>
    <x v="4"/>
    <n v="6559"/>
  </r>
  <r>
    <x v="27"/>
    <x v="0"/>
    <x v="0"/>
    <x v="5"/>
    <n v="4500"/>
  </r>
  <r>
    <x v="27"/>
    <x v="0"/>
    <x v="1"/>
    <x v="0"/>
    <n v="3785846"/>
  </r>
  <r>
    <x v="27"/>
    <x v="0"/>
    <x v="1"/>
    <x v="1"/>
    <n v="281928"/>
  </r>
  <r>
    <x v="27"/>
    <x v="0"/>
    <x v="1"/>
    <x v="2"/>
    <n v="1236685"/>
  </r>
  <r>
    <x v="27"/>
    <x v="0"/>
    <x v="1"/>
    <x v="3"/>
    <n v="23713"/>
  </r>
  <r>
    <x v="27"/>
    <x v="0"/>
    <x v="1"/>
    <x v="5"/>
    <n v="5551"/>
  </r>
  <r>
    <x v="27"/>
    <x v="0"/>
    <x v="2"/>
    <x v="6"/>
    <n v="60843"/>
  </r>
  <r>
    <x v="27"/>
    <x v="0"/>
    <x v="2"/>
    <x v="0"/>
    <n v="10209959"/>
  </r>
  <r>
    <x v="27"/>
    <x v="0"/>
    <x v="2"/>
    <x v="1"/>
    <n v="7110268"/>
  </r>
  <r>
    <x v="27"/>
    <x v="0"/>
    <x v="2"/>
    <x v="2"/>
    <n v="7192391"/>
  </r>
  <r>
    <x v="27"/>
    <x v="0"/>
    <x v="2"/>
    <x v="3"/>
    <n v="100990"/>
  </r>
  <r>
    <x v="27"/>
    <x v="0"/>
    <x v="2"/>
    <x v="4"/>
    <n v="946000"/>
  </r>
  <r>
    <x v="27"/>
    <x v="0"/>
    <x v="2"/>
    <x v="5"/>
    <n v="17171"/>
  </r>
  <r>
    <x v="27"/>
    <x v="0"/>
    <x v="3"/>
    <x v="0"/>
    <n v="109547"/>
  </r>
  <r>
    <x v="27"/>
    <x v="0"/>
    <x v="3"/>
    <x v="2"/>
    <n v="33385"/>
  </r>
  <r>
    <x v="27"/>
    <x v="0"/>
    <x v="3"/>
    <x v="4"/>
    <n v="16143"/>
  </r>
  <r>
    <x v="27"/>
    <x v="0"/>
    <x v="6"/>
    <x v="0"/>
    <n v="46494"/>
  </r>
  <r>
    <x v="27"/>
    <x v="0"/>
    <x v="6"/>
    <x v="2"/>
    <n v="7343"/>
  </r>
  <r>
    <x v="27"/>
    <x v="1"/>
    <x v="2"/>
    <x v="1"/>
    <n v="1794281"/>
  </r>
  <r>
    <x v="27"/>
    <x v="1"/>
    <x v="2"/>
    <x v="2"/>
    <n v="1073145"/>
  </r>
  <r>
    <x v="28"/>
    <x v="0"/>
    <x v="0"/>
    <x v="0"/>
    <n v="69991"/>
  </r>
  <r>
    <x v="28"/>
    <x v="0"/>
    <x v="0"/>
    <x v="1"/>
    <n v="51052"/>
  </r>
  <r>
    <x v="28"/>
    <x v="0"/>
    <x v="0"/>
    <x v="2"/>
    <n v="43191"/>
  </r>
  <r>
    <x v="27"/>
    <x v="2"/>
    <x v="2"/>
    <x v="0"/>
    <n v="477173"/>
  </r>
  <r>
    <x v="27"/>
    <x v="2"/>
    <x v="2"/>
    <x v="2"/>
    <n v="155425"/>
  </r>
  <r>
    <x v="27"/>
    <x v="2"/>
    <x v="3"/>
    <x v="0"/>
    <n v="1700"/>
  </r>
  <r>
    <x v="27"/>
    <x v="2"/>
    <x v="3"/>
    <x v="2"/>
    <n v="268"/>
  </r>
  <r>
    <x v="28"/>
    <x v="0"/>
    <x v="7"/>
    <x v="1"/>
    <n v="6308"/>
  </r>
  <r>
    <x v="28"/>
    <x v="0"/>
    <x v="7"/>
    <x v="2"/>
    <n v="4105"/>
  </r>
  <r>
    <x v="28"/>
    <x v="0"/>
    <x v="1"/>
    <x v="0"/>
    <n v="348099"/>
  </r>
  <r>
    <x v="28"/>
    <x v="0"/>
    <x v="1"/>
    <x v="2"/>
    <n v="120419"/>
  </r>
  <r>
    <x v="28"/>
    <x v="0"/>
    <x v="1"/>
    <x v="4"/>
    <n v="102750"/>
  </r>
  <r>
    <x v="28"/>
    <x v="0"/>
    <x v="2"/>
    <x v="0"/>
    <n v="225296"/>
  </r>
  <r>
    <x v="28"/>
    <x v="0"/>
    <x v="2"/>
    <x v="1"/>
    <n v="501334"/>
  </r>
  <r>
    <x v="28"/>
    <x v="0"/>
    <x v="2"/>
    <x v="2"/>
    <n v="411865"/>
  </r>
  <r>
    <x v="28"/>
    <x v="0"/>
    <x v="2"/>
    <x v="3"/>
    <n v="25000"/>
  </r>
  <r>
    <x v="28"/>
    <x v="0"/>
    <x v="2"/>
    <x v="4"/>
    <n v="783000"/>
  </r>
  <r>
    <x v="28"/>
    <x v="0"/>
    <x v="3"/>
    <x v="0"/>
    <n v="10279"/>
  </r>
  <r>
    <x v="28"/>
    <x v="0"/>
    <x v="3"/>
    <x v="2"/>
    <n v="3388"/>
  </r>
  <r>
    <x v="28"/>
    <x v="0"/>
    <x v="6"/>
    <x v="0"/>
    <n v="10278"/>
  </r>
  <r>
    <x v="28"/>
    <x v="1"/>
    <x v="2"/>
    <x v="0"/>
    <n v="186408"/>
  </r>
  <r>
    <x v="28"/>
    <x v="1"/>
    <x v="2"/>
    <x v="2"/>
    <n v="59422"/>
  </r>
  <r>
    <x v="28"/>
    <x v="1"/>
    <x v="2"/>
    <x v="3"/>
    <n v="16975"/>
  </r>
  <r>
    <x v="28"/>
    <x v="1"/>
    <x v="3"/>
    <x v="0"/>
    <n v="6213"/>
  </r>
  <r>
    <x v="28"/>
    <x v="1"/>
    <x v="3"/>
    <x v="2"/>
    <n v="1012"/>
  </r>
  <r>
    <x v="29"/>
    <x v="0"/>
    <x v="0"/>
    <x v="0"/>
    <n v="22310"/>
  </r>
  <r>
    <x v="29"/>
    <x v="0"/>
    <x v="0"/>
    <x v="2"/>
    <n v="53275"/>
  </r>
  <r>
    <x v="29"/>
    <x v="0"/>
    <x v="1"/>
    <x v="3"/>
    <n v="73000"/>
  </r>
  <r>
    <x v="29"/>
    <x v="0"/>
    <x v="1"/>
    <x v="4"/>
    <n v="226630"/>
  </r>
  <r>
    <x v="29"/>
    <x v="0"/>
    <x v="2"/>
    <x v="0"/>
    <n v="493414"/>
  </r>
  <r>
    <x v="29"/>
    <x v="0"/>
    <x v="2"/>
    <x v="1"/>
    <n v="473774"/>
  </r>
  <r>
    <x v="29"/>
    <x v="0"/>
    <x v="2"/>
    <x v="2"/>
    <n v="385610"/>
  </r>
  <r>
    <x v="29"/>
    <x v="0"/>
    <x v="2"/>
    <x v="3"/>
    <n v="33538"/>
  </r>
  <r>
    <x v="29"/>
    <x v="0"/>
    <x v="2"/>
    <x v="4"/>
    <n v="40000"/>
  </r>
  <r>
    <x v="29"/>
    <x v="0"/>
    <x v="6"/>
    <x v="0"/>
    <n v="7378"/>
  </r>
  <r>
    <x v="29"/>
    <x v="0"/>
    <x v="6"/>
    <x v="2"/>
    <n v="2718"/>
  </r>
  <r>
    <x v="29"/>
    <x v="1"/>
    <x v="1"/>
    <x v="4"/>
    <n v="84800"/>
  </r>
  <r>
    <x v="30"/>
    <x v="0"/>
    <x v="0"/>
    <x v="0"/>
    <n v="947369"/>
  </r>
  <r>
    <x v="30"/>
    <x v="0"/>
    <x v="0"/>
    <x v="1"/>
    <n v="345764"/>
  </r>
  <r>
    <x v="30"/>
    <x v="0"/>
    <x v="0"/>
    <x v="2"/>
    <n v="398486"/>
  </r>
  <r>
    <x v="30"/>
    <x v="0"/>
    <x v="9"/>
    <x v="0"/>
    <n v="394928"/>
  </r>
  <r>
    <x v="30"/>
    <x v="0"/>
    <x v="9"/>
    <x v="2"/>
    <n v="121144"/>
  </r>
  <r>
    <x v="30"/>
    <x v="0"/>
    <x v="1"/>
    <x v="0"/>
    <n v="3830039"/>
  </r>
  <r>
    <x v="30"/>
    <x v="0"/>
    <x v="1"/>
    <x v="1"/>
    <n v="1241083"/>
  </r>
  <r>
    <x v="30"/>
    <x v="0"/>
    <x v="1"/>
    <x v="2"/>
    <n v="1823333"/>
  </r>
  <r>
    <x v="30"/>
    <x v="0"/>
    <x v="2"/>
    <x v="0"/>
    <n v="13219117"/>
  </r>
  <r>
    <x v="30"/>
    <x v="0"/>
    <x v="2"/>
    <x v="1"/>
    <n v="11252087"/>
  </r>
  <r>
    <x v="30"/>
    <x v="0"/>
    <x v="2"/>
    <x v="2"/>
    <n v="11159842"/>
  </r>
  <r>
    <x v="30"/>
    <x v="0"/>
    <x v="2"/>
    <x v="3"/>
    <n v="255000"/>
  </r>
  <r>
    <x v="30"/>
    <x v="0"/>
    <x v="3"/>
    <x v="0"/>
    <n v="544849"/>
  </r>
  <r>
    <x v="30"/>
    <x v="0"/>
    <x v="3"/>
    <x v="1"/>
    <n v="8097"/>
  </r>
  <r>
    <x v="30"/>
    <x v="0"/>
    <x v="3"/>
    <x v="2"/>
    <n v="57398"/>
  </r>
  <r>
    <x v="30"/>
    <x v="1"/>
    <x v="2"/>
    <x v="3"/>
    <n v="104849"/>
  </r>
  <r>
    <x v="30"/>
    <x v="1"/>
    <x v="2"/>
    <x v="4"/>
    <n v="2760141"/>
  </r>
  <r>
    <x v="30"/>
    <x v="3"/>
    <x v="11"/>
    <x v="6"/>
    <n v="1000"/>
  </r>
  <r>
    <x v="30"/>
    <x v="3"/>
    <x v="11"/>
    <x v="0"/>
    <n v="205955"/>
  </r>
  <r>
    <x v="30"/>
    <x v="3"/>
    <x v="11"/>
    <x v="1"/>
    <n v="155800"/>
  </r>
  <r>
    <x v="30"/>
    <x v="3"/>
    <x v="11"/>
    <x v="2"/>
    <n v="116509"/>
  </r>
  <r>
    <x v="30"/>
    <x v="3"/>
    <x v="11"/>
    <x v="3"/>
    <n v="5000"/>
  </r>
  <r>
    <x v="30"/>
    <x v="3"/>
    <x v="9"/>
    <x v="0"/>
    <n v="91472"/>
  </r>
  <r>
    <x v="30"/>
    <x v="3"/>
    <x v="9"/>
    <x v="1"/>
    <n v="139795"/>
  </r>
  <r>
    <x v="30"/>
    <x v="3"/>
    <x v="9"/>
    <x v="2"/>
    <n v="92498"/>
  </r>
  <r>
    <x v="30"/>
    <x v="3"/>
    <x v="1"/>
    <x v="0"/>
    <n v="126731"/>
  </r>
  <r>
    <x v="30"/>
    <x v="3"/>
    <x v="1"/>
    <x v="2"/>
    <n v="39136"/>
  </r>
  <r>
    <x v="30"/>
    <x v="3"/>
    <x v="2"/>
    <x v="6"/>
    <n v="8000"/>
  </r>
  <r>
    <x v="30"/>
    <x v="3"/>
    <x v="2"/>
    <x v="0"/>
    <n v="990601"/>
  </r>
  <r>
    <x v="30"/>
    <x v="3"/>
    <x v="2"/>
    <x v="1"/>
    <n v="113732"/>
  </r>
  <r>
    <x v="30"/>
    <x v="3"/>
    <x v="2"/>
    <x v="2"/>
    <n v="399876"/>
  </r>
  <r>
    <x v="30"/>
    <x v="3"/>
    <x v="2"/>
    <x v="3"/>
    <n v="162102"/>
  </r>
  <r>
    <x v="30"/>
    <x v="3"/>
    <x v="2"/>
    <x v="4"/>
    <n v="20000"/>
  </r>
  <r>
    <x v="30"/>
    <x v="3"/>
    <x v="3"/>
    <x v="0"/>
    <n v="36859"/>
  </r>
  <r>
    <x v="30"/>
    <x v="3"/>
    <x v="3"/>
    <x v="2"/>
    <n v="6603"/>
  </r>
  <r>
    <x v="30"/>
    <x v="3"/>
    <x v="3"/>
    <x v="3"/>
    <n v="2000"/>
  </r>
  <r>
    <x v="30"/>
    <x v="3"/>
    <x v="3"/>
    <x v="4"/>
    <n v="5000"/>
  </r>
  <r>
    <x v="30"/>
    <x v="3"/>
    <x v="3"/>
    <x v="5"/>
    <n v="10000"/>
  </r>
  <r>
    <x v="30"/>
    <x v="3"/>
    <x v="5"/>
    <x v="3"/>
    <n v="25000"/>
  </r>
  <r>
    <x v="30"/>
    <x v="2"/>
    <x v="0"/>
    <x v="1"/>
    <n v="36227"/>
  </r>
  <r>
    <x v="30"/>
    <x v="2"/>
    <x v="0"/>
    <x v="2"/>
    <n v="11035"/>
  </r>
  <r>
    <x v="30"/>
    <x v="2"/>
    <x v="8"/>
    <x v="4"/>
    <n v="952738"/>
  </r>
  <r>
    <x v="31"/>
    <x v="0"/>
    <x v="0"/>
    <x v="0"/>
    <n v="513440"/>
  </r>
  <r>
    <x v="31"/>
    <x v="0"/>
    <x v="0"/>
    <x v="1"/>
    <n v="110056"/>
  </r>
  <r>
    <x v="31"/>
    <x v="0"/>
    <x v="0"/>
    <x v="2"/>
    <n v="183432"/>
  </r>
  <r>
    <x v="31"/>
    <x v="0"/>
    <x v="0"/>
    <x v="3"/>
    <n v="5500"/>
  </r>
  <r>
    <x v="31"/>
    <x v="0"/>
    <x v="0"/>
    <x v="4"/>
    <n v="4500"/>
  </r>
  <r>
    <x v="31"/>
    <x v="0"/>
    <x v="0"/>
    <x v="5"/>
    <n v="1000"/>
  </r>
  <r>
    <x v="31"/>
    <x v="0"/>
    <x v="9"/>
    <x v="0"/>
    <n v="187720"/>
  </r>
  <r>
    <x v="31"/>
    <x v="0"/>
    <x v="9"/>
    <x v="2"/>
    <n v="61881"/>
  </r>
  <r>
    <x v="31"/>
    <x v="0"/>
    <x v="7"/>
    <x v="1"/>
    <n v="139496"/>
  </r>
  <r>
    <x v="31"/>
    <x v="0"/>
    <x v="7"/>
    <x v="2"/>
    <n v="133744"/>
  </r>
  <r>
    <x v="31"/>
    <x v="0"/>
    <x v="1"/>
    <x v="0"/>
    <n v="2692609"/>
  </r>
  <r>
    <x v="31"/>
    <x v="0"/>
    <x v="1"/>
    <x v="2"/>
    <n v="873506"/>
  </r>
  <r>
    <x v="31"/>
    <x v="0"/>
    <x v="1"/>
    <x v="3"/>
    <n v="6000"/>
  </r>
  <r>
    <x v="31"/>
    <x v="0"/>
    <x v="1"/>
    <x v="4"/>
    <n v="226000"/>
  </r>
  <r>
    <x v="31"/>
    <x v="0"/>
    <x v="1"/>
    <x v="5"/>
    <n v="3700"/>
  </r>
  <r>
    <x v="31"/>
    <x v="0"/>
    <x v="2"/>
    <x v="6"/>
    <n v="5500"/>
  </r>
  <r>
    <x v="31"/>
    <x v="0"/>
    <x v="2"/>
    <x v="0"/>
    <n v="3598207"/>
  </r>
  <r>
    <x v="31"/>
    <x v="0"/>
    <x v="2"/>
    <x v="1"/>
    <n v="2575501"/>
  </r>
  <r>
    <x v="31"/>
    <x v="0"/>
    <x v="2"/>
    <x v="2"/>
    <n v="2847065"/>
  </r>
  <r>
    <x v="31"/>
    <x v="0"/>
    <x v="2"/>
    <x v="3"/>
    <n v="30312"/>
  </r>
  <r>
    <x v="31"/>
    <x v="0"/>
    <x v="2"/>
    <x v="4"/>
    <n v="558000"/>
  </r>
  <r>
    <x v="31"/>
    <x v="0"/>
    <x v="2"/>
    <x v="5"/>
    <n v="1500"/>
  </r>
  <r>
    <x v="31"/>
    <x v="0"/>
    <x v="3"/>
    <x v="0"/>
    <n v="54290"/>
  </r>
  <r>
    <x v="31"/>
    <x v="0"/>
    <x v="3"/>
    <x v="2"/>
    <n v="5693"/>
  </r>
  <r>
    <x v="31"/>
    <x v="0"/>
    <x v="6"/>
    <x v="0"/>
    <n v="89000"/>
  </r>
  <r>
    <x v="31"/>
    <x v="0"/>
    <x v="6"/>
    <x v="2"/>
    <n v="9333"/>
  </r>
  <r>
    <x v="31"/>
    <x v="1"/>
    <x v="2"/>
    <x v="0"/>
    <n v="860825"/>
  </r>
  <r>
    <x v="31"/>
    <x v="1"/>
    <x v="2"/>
    <x v="2"/>
    <n v="289879"/>
  </r>
  <r>
    <x v="31"/>
    <x v="1"/>
    <x v="3"/>
    <x v="0"/>
    <n v="22250"/>
  </r>
  <r>
    <x v="31"/>
    <x v="1"/>
    <x v="3"/>
    <x v="2"/>
    <n v="2333"/>
  </r>
  <r>
    <x v="32"/>
    <x v="0"/>
    <x v="0"/>
    <x v="0"/>
    <n v="450343"/>
  </r>
  <r>
    <x v="32"/>
    <x v="0"/>
    <x v="0"/>
    <x v="1"/>
    <n v="302913"/>
  </r>
  <r>
    <x v="32"/>
    <x v="0"/>
    <x v="0"/>
    <x v="2"/>
    <n v="219833"/>
  </r>
  <r>
    <x v="32"/>
    <x v="0"/>
    <x v="0"/>
    <x v="3"/>
    <n v="6500"/>
  </r>
  <r>
    <x v="32"/>
    <x v="0"/>
    <x v="0"/>
    <x v="4"/>
    <n v="28200"/>
  </r>
  <r>
    <x v="32"/>
    <x v="0"/>
    <x v="0"/>
    <x v="5"/>
    <n v="5500"/>
  </r>
  <r>
    <x v="32"/>
    <x v="0"/>
    <x v="9"/>
    <x v="0"/>
    <n v="119586"/>
  </r>
  <r>
    <x v="32"/>
    <x v="0"/>
    <x v="9"/>
    <x v="2"/>
    <n v="35152"/>
  </r>
  <r>
    <x v="32"/>
    <x v="0"/>
    <x v="1"/>
    <x v="6"/>
    <n v="100"/>
  </r>
  <r>
    <x v="32"/>
    <x v="0"/>
    <x v="1"/>
    <x v="0"/>
    <n v="6760378"/>
  </r>
  <r>
    <x v="32"/>
    <x v="0"/>
    <x v="1"/>
    <x v="1"/>
    <n v="56364"/>
  </r>
  <r>
    <x v="32"/>
    <x v="0"/>
    <x v="1"/>
    <x v="2"/>
    <n v="2220415"/>
  </r>
  <r>
    <x v="32"/>
    <x v="0"/>
    <x v="1"/>
    <x v="3"/>
    <n v="89500"/>
  </r>
  <r>
    <x v="32"/>
    <x v="0"/>
    <x v="1"/>
    <x v="4"/>
    <n v="116000"/>
  </r>
  <r>
    <x v="32"/>
    <x v="0"/>
    <x v="1"/>
    <x v="5"/>
    <n v="10000"/>
  </r>
  <r>
    <x v="32"/>
    <x v="0"/>
    <x v="1"/>
    <x v="7"/>
    <n v="15000"/>
  </r>
  <r>
    <x v="32"/>
    <x v="0"/>
    <x v="2"/>
    <x v="6"/>
    <n v="2500"/>
  </r>
  <r>
    <x v="32"/>
    <x v="0"/>
    <x v="2"/>
    <x v="0"/>
    <n v="10621859"/>
  </r>
  <r>
    <x v="32"/>
    <x v="0"/>
    <x v="2"/>
    <x v="1"/>
    <n v="9406479"/>
  </r>
  <r>
    <x v="32"/>
    <x v="0"/>
    <x v="2"/>
    <x v="2"/>
    <n v="9095843"/>
  </r>
  <r>
    <x v="32"/>
    <x v="0"/>
    <x v="2"/>
    <x v="3"/>
    <n v="107749"/>
  </r>
  <r>
    <x v="32"/>
    <x v="0"/>
    <x v="2"/>
    <x v="4"/>
    <n v="277200"/>
  </r>
  <r>
    <x v="32"/>
    <x v="0"/>
    <x v="2"/>
    <x v="5"/>
    <n v="5000"/>
  </r>
  <r>
    <x v="32"/>
    <x v="0"/>
    <x v="3"/>
    <x v="0"/>
    <n v="512242"/>
  </r>
  <r>
    <x v="32"/>
    <x v="0"/>
    <x v="3"/>
    <x v="1"/>
    <n v="9385"/>
  </r>
  <r>
    <x v="32"/>
    <x v="0"/>
    <x v="3"/>
    <x v="2"/>
    <n v="149945"/>
  </r>
  <r>
    <x v="32"/>
    <x v="0"/>
    <x v="3"/>
    <x v="3"/>
    <n v="3000"/>
  </r>
  <r>
    <x v="32"/>
    <x v="0"/>
    <x v="3"/>
    <x v="4"/>
    <n v="6000"/>
  </r>
  <r>
    <x v="32"/>
    <x v="0"/>
    <x v="4"/>
    <x v="3"/>
    <n v="50000"/>
  </r>
  <r>
    <x v="32"/>
    <x v="0"/>
    <x v="5"/>
    <x v="3"/>
    <n v="60000"/>
  </r>
  <r>
    <x v="32"/>
    <x v="0"/>
    <x v="6"/>
    <x v="0"/>
    <n v="185505"/>
  </r>
  <r>
    <x v="32"/>
    <x v="0"/>
    <x v="6"/>
    <x v="2"/>
    <n v="29010"/>
  </r>
  <r>
    <x v="33"/>
    <x v="0"/>
    <x v="0"/>
    <x v="0"/>
    <n v="113227"/>
  </r>
  <r>
    <x v="33"/>
    <x v="0"/>
    <x v="0"/>
    <x v="1"/>
    <n v="64328"/>
  </r>
  <r>
    <x v="33"/>
    <x v="0"/>
    <x v="0"/>
    <x v="2"/>
    <n v="52246"/>
  </r>
  <r>
    <x v="33"/>
    <x v="0"/>
    <x v="0"/>
    <x v="3"/>
    <n v="8500"/>
  </r>
  <r>
    <x v="33"/>
    <x v="0"/>
    <x v="0"/>
    <x v="4"/>
    <n v="2350"/>
  </r>
  <r>
    <x v="33"/>
    <x v="0"/>
    <x v="0"/>
    <x v="5"/>
    <n v="1000"/>
  </r>
  <r>
    <x v="33"/>
    <x v="0"/>
    <x v="11"/>
    <x v="0"/>
    <n v="312976"/>
  </r>
  <r>
    <x v="33"/>
    <x v="0"/>
    <x v="11"/>
    <x v="1"/>
    <n v="140107"/>
  </r>
  <r>
    <x v="33"/>
    <x v="0"/>
    <x v="11"/>
    <x v="2"/>
    <n v="151225"/>
  </r>
  <r>
    <x v="33"/>
    <x v="0"/>
    <x v="9"/>
    <x v="1"/>
    <n v="36995"/>
  </r>
  <r>
    <x v="33"/>
    <x v="0"/>
    <x v="9"/>
    <x v="2"/>
    <n v="21671"/>
  </r>
  <r>
    <x v="33"/>
    <x v="0"/>
    <x v="7"/>
    <x v="1"/>
    <n v="2324"/>
  </r>
  <r>
    <x v="33"/>
    <x v="0"/>
    <x v="7"/>
    <x v="2"/>
    <n v="216"/>
  </r>
  <r>
    <x v="33"/>
    <x v="0"/>
    <x v="1"/>
    <x v="0"/>
    <n v="1012917"/>
  </r>
  <r>
    <x v="33"/>
    <x v="0"/>
    <x v="1"/>
    <x v="1"/>
    <n v="58535"/>
  </r>
  <r>
    <x v="33"/>
    <x v="0"/>
    <x v="1"/>
    <x v="2"/>
    <n v="371353"/>
  </r>
  <r>
    <x v="33"/>
    <x v="0"/>
    <x v="1"/>
    <x v="3"/>
    <n v="5925"/>
  </r>
  <r>
    <x v="33"/>
    <x v="0"/>
    <x v="1"/>
    <x v="4"/>
    <n v="94000"/>
  </r>
  <r>
    <x v="33"/>
    <x v="0"/>
    <x v="1"/>
    <x v="5"/>
    <n v="500"/>
  </r>
  <r>
    <x v="33"/>
    <x v="0"/>
    <x v="2"/>
    <x v="6"/>
    <n v="200"/>
  </r>
  <r>
    <x v="33"/>
    <x v="0"/>
    <x v="2"/>
    <x v="0"/>
    <n v="1640217"/>
  </r>
  <r>
    <x v="33"/>
    <x v="0"/>
    <x v="2"/>
    <x v="1"/>
    <n v="1442177"/>
  </r>
  <r>
    <x v="33"/>
    <x v="0"/>
    <x v="2"/>
    <x v="2"/>
    <n v="1477436"/>
  </r>
  <r>
    <x v="33"/>
    <x v="0"/>
    <x v="2"/>
    <x v="3"/>
    <n v="22000"/>
  </r>
  <r>
    <x v="33"/>
    <x v="0"/>
    <x v="2"/>
    <x v="4"/>
    <n v="308000"/>
  </r>
  <r>
    <x v="33"/>
    <x v="0"/>
    <x v="3"/>
    <x v="4"/>
    <n v="3000"/>
  </r>
  <r>
    <x v="33"/>
    <x v="1"/>
    <x v="2"/>
    <x v="0"/>
    <n v="88213"/>
  </r>
  <r>
    <x v="33"/>
    <x v="1"/>
    <x v="2"/>
    <x v="1"/>
    <n v="389221"/>
  </r>
  <r>
    <x v="33"/>
    <x v="1"/>
    <x v="2"/>
    <x v="2"/>
    <n v="275086"/>
  </r>
  <r>
    <x v="33"/>
    <x v="1"/>
    <x v="2"/>
    <x v="3"/>
    <n v="3200"/>
  </r>
  <r>
    <x v="33"/>
    <x v="1"/>
    <x v="2"/>
    <x v="4"/>
    <n v="8000"/>
  </r>
  <r>
    <x v="33"/>
    <x v="1"/>
    <x v="2"/>
    <x v="5"/>
    <n v="150"/>
  </r>
  <r>
    <x v="33"/>
    <x v="1"/>
    <x v="3"/>
    <x v="4"/>
    <n v="1000"/>
  </r>
  <r>
    <x v="32"/>
    <x v="1"/>
    <x v="9"/>
    <x v="0"/>
    <n v="120128"/>
  </r>
  <r>
    <x v="32"/>
    <x v="1"/>
    <x v="9"/>
    <x v="2"/>
    <n v="36126"/>
  </r>
  <r>
    <x v="32"/>
    <x v="1"/>
    <x v="2"/>
    <x v="0"/>
    <n v="2115430"/>
  </r>
  <r>
    <x v="32"/>
    <x v="1"/>
    <x v="2"/>
    <x v="2"/>
    <n v="659967"/>
  </r>
  <r>
    <x v="32"/>
    <x v="1"/>
    <x v="2"/>
    <x v="4"/>
    <n v="27000"/>
  </r>
  <r>
    <x v="32"/>
    <x v="1"/>
    <x v="3"/>
    <x v="0"/>
    <n v="23974"/>
  </r>
  <r>
    <x v="32"/>
    <x v="1"/>
    <x v="3"/>
    <x v="2"/>
    <n v="3700"/>
  </r>
  <r>
    <x v="34"/>
    <x v="0"/>
    <x v="0"/>
    <x v="0"/>
    <n v="39181"/>
  </r>
  <r>
    <x v="34"/>
    <x v="0"/>
    <x v="0"/>
    <x v="1"/>
    <n v="41390"/>
  </r>
  <r>
    <x v="34"/>
    <x v="0"/>
    <x v="0"/>
    <x v="2"/>
    <n v="33034"/>
  </r>
  <r>
    <x v="34"/>
    <x v="0"/>
    <x v="1"/>
    <x v="0"/>
    <n v="74067"/>
  </r>
  <r>
    <x v="34"/>
    <x v="0"/>
    <x v="1"/>
    <x v="2"/>
    <n v="27636"/>
  </r>
  <r>
    <x v="34"/>
    <x v="0"/>
    <x v="1"/>
    <x v="3"/>
    <n v="2500"/>
  </r>
  <r>
    <x v="34"/>
    <x v="0"/>
    <x v="1"/>
    <x v="4"/>
    <n v="105000"/>
  </r>
  <r>
    <x v="34"/>
    <x v="0"/>
    <x v="2"/>
    <x v="6"/>
    <n v="750"/>
  </r>
  <r>
    <x v="34"/>
    <x v="0"/>
    <x v="2"/>
    <x v="0"/>
    <n v="197771"/>
  </r>
  <r>
    <x v="34"/>
    <x v="0"/>
    <x v="2"/>
    <x v="1"/>
    <n v="183852"/>
  </r>
  <r>
    <x v="34"/>
    <x v="0"/>
    <x v="2"/>
    <x v="2"/>
    <n v="203300"/>
  </r>
  <r>
    <x v="34"/>
    <x v="0"/>
    <x v="2"/>
    <x v="3"/>
    <n v="11500"/>
  </r>
  <r>
    <x v="34"/>
    <x v="0"/>
    <x v="2"/>
    <x v="4"/>
    <n v="19000"/>
  </r>
  <r>
    <x v="34"/>
    <x v="0"/>
    <x v="3"/>
    <x v="4"/>
    <n v="2000"/>
  </r>
  <r>
    <x v="34"/>
    <x v="0"/>
    <x v="3"/>
    <x v="5"/>
    <n v="2500"/>
  </r>
  <r>
    <x v="35"/>
    <x v="0"/>
    <x v="0"/>
    <x v="0"/>
    <n v="10525"/>
  </r>
  <r>
    <x v="35"/>
    <x v="0"/>
    <x v="0"/>
    <x v="2"/>
    <n v="3287"/>
  </r>
  <r>
    <x v="34"/>
    <x v="0"/>
    <x v="6"/>
    <x v="0"/>
    <n v="2767"/>
  </r>
  <r>
    <x v="34"/>
    <x v="0"/>
    <x v="6"/>
    <x v="2"/>
    <n v="436"/>
  </r>
  <r>
    <x v="34"/>
    <x v="1"/>
    <x v="2"/>
    <x v="1"/>
    <n v="56393"/>
  </r>
  <r>
    <x v="34"/>
    <x v="1"/>
    <x v="2"/>
    <x v="2"/>
    <n v="53400"/>
  </r>
  <r>
    <x v="34"/>
    <x v="1"/>
    <x v="2"/>
    <x v="4"/>
    <n v="4344"/>
  </r>
  <r>
    <x v="35"/>
    <x v="0"/>
    <x v="2"/>
    <x v="0"/>
    <n v="121462"/>
  </r>
  <r>
    <x v="35"/>
    <x v="0"/>
    <x v="2"/>
    <x v="1"/>
    <n v="84720"/>
  </r>
  <r>
    <x v="35"/>
    <x v="0"/>
    <x v="2"/>
    <x v="2"/>
    <n v="106251"/>
  </r>
  <r>
    <x v="35"/>
    <x v="0"/>
    <x v="2"/>
    <x v="3"/>
    <n v="3000"/>
  </r>
  <r>
    <x v="35"/>
    <x v="0"/>
    <x v="2"/>
    <x v="4"/>
    <n v="92000"/>
  </r>
  <r>
    <x v="35"/>
    <x v="0"/>
    <x v="2"/>
    <x v="5"/>
    <n v="100"/>
  </r>
  <r>
    <x v="35"/>
    <x v="0"/>
    <x v="2"/>
    <x v="7"/>
    <n v="1750"/>
  </r>
  <r>
    <x v="35"/>
    <x v="1"/>
    <x v="1"/>
    <x v="4"/>
    <n v="40000"/>
  </r>
  <r>
    <x v="36"/>
    <x v="0"/>
    <x v="0"/>
    <x v="0"/>
    <n v="110585"/>
  </r>
  <r>
    <x v="36"/>
    <x v="0"/>
    <x v="0"/>
    <x v="1"/>
    <n v="11869"/>
  </r>
  <r>
    <x v="36"/>
    <x v="0"/>
    <x v="0"/>
    <x v="2"/>
    <n v="41147"/>
  </r>
  <r>
    <x v="36"/>
    <x v="0"/>
    <x v="1"/>
    <x v="0"/>
    <n v="190714"/>
  </r>
  <r>
    <x v="36"/>
    <x v="0"/>
    <x v="1"/>
    <x v="2"/>
    <n v="63733"/>
  </r>
  <r>
    <x v="36"/>
    <x v="0"/>
    <x v="1"/>
    <x v="4"/>
    <n v="155000"/>
  </r>
  <r>
    <x v="36"/>
    <x v="0"/>
    <x v="2"/>
    <x v="0"/>
    <n v="355959"/>
  </r>
  <r>
    <x v="36"/>
    <x v="0"/>
    <x v="2"/>
    <x v="1"/>
    <n v="379260"/>
  </r>
  <r>
    <x v="36"/>
    <x v="0"/>
    <x v="2"/>
    <x v="2"/>
    <n v="347283"/>
  </r>
  <r>
    <x v="36"/>
    <x v="0"/>
    <x v="2"/>
    <x v="3"/>
    <n v="8155"/>
  </r>
  <r>
    <x v="36"/>
    <x v="0"/>
    <x v="2"/>
    <x v="4"/>
    <n v="123143"/>
  </r>
  <r>
    <x v="36"/>
    <x v="0"/>
    <x v="3"/>
    <x v="0"/>
    <n v="5928"/>
  </r>
  <r>
    <x v="36"/>
    <x v="0"/>
    <x v="3"/>
    <x v="2"/>
    <n v="1016"/>
  </r>
  <r>
    <x v="36"/>
    <x v="0"/>
    <x v="4"/>
    <x v="1"/>
    <n v="7564"/>
  </r>
  <r>
    <x v="36"/>
    <x v="0"/>
    <x v="4"/>
    <x v="2"/>
    <n v="2828"/>
  </r>
  <r>
    <x v="36"/>
    <x v="0"/>
    <x v="6"/>
    <x v="0"/>
    <n v="8475"/>
  </r>
  <r>
    <x v="36"/>
    <x v="0"/>
    <x v="6"/>
    <x v="2"/>
    <n v="1441"/>
  </r>
  <r>
    <x v="37"/>
    <x v="0"/>
    <x v="0"/>
    <x v="0"/>
    <n v="103643"/>
  </r>
  <r>
    <x v="37"/>
    <x v="0"/>
    <x v="0"/>
    <x v="1"/>
    <n v="31958"/>
  </r>
  <r>
    <x v="37"/>
    <x v="0"/>
    <x v="0"/>
    <x v="2"/>
    <n v="37723"/>
  </r>
  <r>
    <x v="37"/>
    <x v="0"/>
    <x v="11"/>
    <x v="4"/>
    <n v="2000"/>
  </r>
  <r>
    <x v="37"/>
    <x v="0"/>
    <x v="1"/>
    <x v="0"/>
    <n v="59578"/>
  </r>
  <r>
    <x v="37"/>
    <x v="0"/>
    <x v="1"/>
    <x v="1"/>
    <n v="89652"/>
  </r>
  <r>
    <x v="37"/>
    <x v="0"/>
    <x v="1"/>
    <x v="2"/>
    <n v="67278"/>
  </r>
  <r>
    <x v="37"/>
    <x v="0"/>
    <x v="1"/>
    <x v="4"/>
    <n v="300000"/>
  </r>
  <r>
    <x v="37"/>
    <x v="0"/>
    <x v="2"/>
    <x v="0"/>
    <n v="540562"/>
  </r>
  <r>
    <x v="37"/>
    <x v="0"/>
    <x v="2"/>
    <x v="1"/>
    <n v="390600"/>
  </r>
  <r>
    <x v="37"/>
    <x v="0"/>
    <x v="2"/>
    <x v="2"/>
    <n v="438201"/>
  </r>
  <r>
    <x v="37"/>
    <x v="0"/>
    <x v="2"/>
    <x v="3"/>
    <n v="147562"/>
  </r>
  <r>
    <x v="37"/>
    <x v="0"/>
    <x v="2"/>
    <x v="4"/>
    <n v="11500"/>
  </r>
  <r>
    <x v="36"/>
    <x v="1"/>
    <x v="2"/>
    <x v="0"/>
    <n v="149486"/>
  </r>
  <r>
    <x v="36"/>
    <x v="1"/>
    <x v="2"/>
    <x v="2"/>
    <n v="52685"/>
  </r>
  <r>
    <x v="36"/>
    <x v="1"/>
    <x v="2"/>
    <x v="3"/>
    <n v="1593"/>
  </r>
  <r>
    <x v="37"/>
    <x v="0"/>
    <x v="3"/>
    <x v="0"/>
    <n v="2000"/>
  </r>
  <r>
    <x v="37"/>
    <x v="0"/>
    <x v="3"/>
    <x v="2"/>
    <n v="313"/>
  </r>
  <r>
    <x v="37"/>
    <x v="0"/>
    <x v="3"/>
    <x v="4"/>
    <n v="25000"/>
  </r>
  <r>
    <x v="37"/>
    <x v="0"/>
    <x v="3"/>
    <x v="5"/>
    <n v="1000"/>
  </r>
  <r>
    <x v="37"/>
    <x v="0"/>
    <x v="5"/>
    <x v="3"/>
    <n v="24000"/>
  </r>
  <r>
    <x v="37"/>
    <x v="0"/>
    <x v="5"/>
    <x v="4"/>
    <n v="13500"/>
  </r>
  <r>
    <x v="37"/>
    <x v="1"/>
    <x v="2"/>
    <x v="0"/>
    <n v="53422"/>
  </r>
  <r>
    <x v="37"/>
    <x v="1"/>
    <x v="2"/>
    <x v="1"/>
    <n v="128711"/>
  </r>
  <r>
    <x v="37"/>
    <x v="1"/>
    <x v="2"/>
    <x v="2"/>
    <n v="101839"/>
  </r>
  <r>
    <x v="38"/>
    <x v="0"/>
    <x v="0"/>
    <x v="0"/>
    <n v="196287"/>
  </r>
  <r>
    <x v="38"/>
    <x v="0"/>
    <x v="0"/>
    <x v="1"/>
    <n v="89170"/>
  </r>
  <r>
    <x v="38"/>
    <x v="0"/>
    <x v="0"/>
    <x v="2"/>
    <n v="81427"/>
  </r>
  <r>
    <x v="38"/>
    <x v="0"/>
    <x v="0"/>
    <x v="3"/>
    <n v="750"/>
  </r>
  <r>
    <x v="38"/>
    <x v="0"/>
    <x v="0"/>
    <x v="4"/>
    <n v="250"/>
  </r>
  <r>
    <x v="38"/>
    <x v="0"/>
    <x v="0"/>
    <x v="5"/>
    <n v="500"/>
  </r>
  <r>
    <x v="38"/>
    <x v="0"/>
    <x v="7"/>
    <x v="1"/>
    <n v="164613"/>
  </r>
  <r>
    <x v="38"/>
    <x v="0"/>
    <x v="7"/>
    <x v="2"/>
    <n v="142182"/>
  </r>
  <r>
    <x v="38"/>
    <x v="0"/>
    <x v="1"/>
    <x v="0"/>
    <n v="728453"/>
  </r>
  <r>
    <x v="38"/>
    <x v="0"/>
    <x v="1"/>
    <x v="1"/>
    <n v="62796"/>
  </r>
  <r>
    <x v="38"/>
    <x v="0"/>
    <x v="1"/>
    <x v="2"/>
    <n v="252954"/>
  </r>
  <r>
    <x v="38"/>
    <x v="0"/>
    <x v="1"/>
    <x v="3"/>
    <n v="750"/>
  </r>
  <r>
    <x v="38"/>
    <x v="0"/>
    <x v="1"/>
    <x v="4"/>
    <n v="927165"/>
  </r>
  <r>
    <x v="38"/>
    <x v="0"/>
    <x v="1"/>
    <x v="5"/>
    <n v="300"/>
  </r>
  <r>
    <x v="38"/>
    <x v="0"/>
    <x v="2"/>
    <x v="0"/>
    <n v="2333417"/>
  </r>
  <r>
    <x v="38"/>
    <x v="0"/>
    <x v="2"/>
    <x v="1"/>
    <n v="1146020"/>
  </r>
  <r>
    <x v="38"/>
    <x v="0"/>
    <x v="2"/>
    <x v="2"/>
    <n v="1437670"/>
  </r>
  <r>
    <x v="38"/>
    <x v="0"/>
    <x v="2"/>
    <x v="3"/>
    <n v="237896"/>
  </r>
  <r>
    <x v="38"/>
    <x v="0"/>
    <x v="2"/>
    <x v="4"/>
    <n v="539921"/>
  </r>
  <r>
    <x v="38"/>
    <x v="0"/>
    <x v="8"/>
    <x v="4"/>
    <n v="1032170"/>
  </r>
  <r>
    <x v="38"/>
    <x v="0"/>
    <x v="3"/>
    <x v="0"/>
    <n v="77984"/>
  </r>
  <r>
    <x v="38"/>
    <x v="0"/>
    <x v="3"/>
    <x v="2"/>
    <n v="12632"/>
  </r>
  <r>
    <x v="38"/>
    <x v="0"/>
    <x v="3"/>
    <x v="4"/>
    <n v="1500"/>
  </r>
  <r>
    <x v="38"/>
    <x v="0"/>
    <x v="3"/>
    <x v="5"/>
    <n v="750"/>
  </r>
  <r>
    <x v="38"/>
    <x v="0"/>
    <x v="4"/>
    <x v="3"/>
    <n v="13742"/>
  </r>
  <r>
    <x v="38"/>
    <x v="0"/>
    <x v="6"/>
    <x v="0"/>
    <n v="47179"/>
  </r>
  <r>
    <x v="38"/>
    <x v="0"/>
    <x v="6"/>
    <x v="2"/>
    <n v="7644"/>
  </r>
  <r>
    <x v="38"/>
    <x v="1"/>
    <x v="1"/>
    <x v="4"/>
    <n v="200000"/>
  </r>
  <r>
    <x v="38"/>
    <x v="1"/>
    <x v="2"/>
    <x v="1"/>
    <n v="398237"/>
  </r>
  <r>
    <x v="38"/>
    <x v="1"/>
    <x v="2"/>
    <x v="2"/>
    <n v="253572"/>
  </r>
  <r>
    <x v="38"/>
    <x v="1"/>
    <x v="2"/>
    <x v="4"/>
    <n v="61341"/>
  </r>
  <r>
    <x v="39"/>
    <x v="0"/>
    <x v="0"/>
    <x v="0"/>
    <n v="127524"/>
  </r>
  <r>
    <x v="39"/>
    <x v="0"/>
    <x v="0"/>
    <x v="1"/>
    <n v="148845"/>
  </r>
  <r>
    <x v="39"/>
    <x v="0"/>
    <x v="0"/>
    <x v="2"/>
    <n v="90800"/>
  </r>
  <r>
    <x v="39"/>
    <x v="0"/>
    <x v="0"/>
    <x v="3"/>
    <n v="63000"/>
  </r>
  <r>
    <x v="39"/>
    <x v="0"/>
    <x v="1"/>
    <x v="0"/>
    <n v="435704"/>
  </r>
  <r>
    <x v="39"/>
    <x v="0"/>
    <x v="1"/>
    <x v="1"/>
    <n v="29220"/>
  </r>
  <r>
    <x v="39"/>
    <x v="0"/>
    <x v="1"/>
    <x v="2"/>
    <n v="160192"/>
  </r>
  <r>
    <x v="39"/>
    <x v="0"/>
    <x v="1"/>
    <x v="4"/>
    <n v="389000"/>
  </r>
  <r>
    <x v="39"/>
    <x v="0"/>
    <x v="2"/>
    <x v="0"/>
    <n v="800285"/>
  </r>
  <r>
    <x v="39"/>
    <x v="0"/>
    <x v="2"/>
    <x v="1"/>
    <n v="796618"/>
  </r>
  <r>
    <x v="39"/>
    <x v="0"/>
    <x v="2"/>
    <x v="2"/>
    <n v="795876"/>
  </r>
  <r>
    <x v="39"/>
    <x v="0"/>
    <x v="2"/>
    <x v="3"/>
    <n v="31000"/>
  </r>
  <r>
    <x v="39"/>
    <x v="0"/>
    <x v="2"/>
    <x v="4"/>
    <n v="67000"/>
  </r>
  <r>
    <x v="39"/>
    <x v="0"/>
    <x v="3"/>
    <x v="4"/>
    <n v="20000"/>
  </r>
  <r>
    <x v="40"/>
    <x v="0"/>
    <x v="1"/>
    <x v="4"/>
    <n v="115606"/>
  </r>
  <r>
    <x v="40"/>
    <x v="0"/>
    <x v="2"/>
    <x v="0"/>
    <n v="98020"/>
  </r>
  <r>
    <x v="40"/>
    <x v="0"/>
    <x v="2"/>
    <x v="1"/>
    <n v="113024"/>
  </r>
  <r>
    <x v="40"/>
    <x v="0"/>
    <x v="2"/>
    <x v="2"/>
    <n v="104803"/>
  </r>
  <r>
    <x v="39"/>
    <x v="0"/>
    <x v="5"/>
    <x v="3"/>
    <n v="3500"/>
  </r>
  <r>
    <x v="39"/>
    <x v="0"/>
    <x v="6"/>
    <x v="0"/>
    <n v="22161"/>
  </r>
  <r>
    <x v="39"/>
    <x v="0"/>
    <x v="6"/>
    <x v="2"/>
    <n v="3492"/>
  </r>
  <r>
    <x v="41"/>
    <x v="0"/>
    <x v="0"/>
    <x v="0"/>
    <n v="156517"/>
  </r>
  <r>
    <x v="41"/>
    <x v="0"/>
    <x v="0"/>
    <x v="1"/>
    <n v="56784"/>
  </r>
  <r>
    <x v="41"/>
    <x v="0"/>
    <x v="0"/>
    <x v="2"/>
    <n v="64433"/>
  </r>
  <r>
    <x v="41"/>
    <x v="0"/>
    <x v="7"/>
    <x v="1"/>
    <n v="39698"/>
  </r>
  <r>
    <x v="41"/>
    <x v="0"/>
    <x v="7"/>
    <x v="2"/>
    <n v="37746"/>
  </r>
  <r>
    <x v="39"/>
    <x v="1"/>
    <x v="1"/>
    <x v="0"/>
    <n v="126420"/>
  </r>
  <r>
    <x v="39"/>
    <x v="1"/>
    <x v="1"/>
    <x v="2"/>
    <n v="44731"/>
  </r>
  <r>
    <x v="39"/>
    <x v="1"/>
    <x v="2"/>
    <x v="0"/>
    <n v="201710"/>
  </r>
  <r>
    <x v="39"/>
    <x v="1"/>
    <x v="2"/>
    <x v="2"/>
    <n v="73392"/>
  </r>
  <r>
    <x v="39"/>
    <x v="1"/>
    <x v="3"/>
    <x v="0"/>
    <n v="7128"/>
  </r>
  <r>
    <x v="39"/>
    <x v="1"/>
    <x v="3"/>
    <x v="2"/>
    <n v="1123"/>
  </r>
  <r>
    <x v="42"/>
    <x v="0"/>
    <x v="0"/>
    <x v="0"/>
    <n v="15500"/>
  </r>
  <r>
    <x v="42"/>
    <x v="0"/>
    <x v="0"/>
    <x v="2"/>
    <n v="4604"/>
  </r>
  <r>
    <x v="42"/>
    <x v="0"/>
    <x v="1"/>
    <x v="4"/>
    <n v="18639"/>
  </r>
  <r>
    <x v="42"/>
    <x v="0"/>
    <x v="2"/>
    <x v="0"/>
    <n v="57945"/>
  </r>
  <r>
    <x v="42"/>
    <x v="0"/>
    <x v="2"/>
    <x v="1"/>
    <n v="64568"/>
  </r>
  <r>
    <x v="42"/>
    <x v="0"/>
    <x v="2"/>
    <x v="2"/>
    <n v="64223"/>
  </r>
  <r>
    <x v="42"/>
    <x v="0"/>
    <x v="2"/>
    <x v="3"/>
    <n v="1000"/>
  </r>
  <r>
    <x v="42"/>
    <x v="0"/>
    <x v="6"/>
    <x v="0"/>
    <n v="1212"/>
  </r>
  <r>
    <x v="42"/>
    <x v="0"/>
    <x v="6"/>
    <x v="2"/>
    <n v="221"/>
  </r>
  <r>
    <x v="41"/>
    <x v="0"/>
    <x v="1"/>
    <x v="0"/>
    <n v="162536"/>
  </r>
  <r>
    <x v="41"/>
    <x v="0"/>
    <x v="1"/>
    <x v="1"/>
    <n v="77748"/>
  </r>
  <r>
    <x v="41"/>
    <x v="0"/>
    <x v="1"/>
    <x v="2"/>
    <n v="88130"/>
  </r>
  <r>
    <x v="41"/>
    <x v="0"/>
    <x v="2"/>
    <x v="0"/>
    <n v="1005300"/>
  </r>
  <r>
    <x v="41"/>
    <x v="0"/>
    <x v="2"/>
    <x v="1"/>
    <n v="569073"/>
  </r>
  <r>
    <x v="41"/>
    <x v="0"/>
    <x v="2"/>
    <x v="2"/>
    <n v="680278"/>
  </r>
  <r>
    <x v="41"/>
    <x v="0"/>
    <x v="2"/>
    <x v="3"/>
    <n v="589167"/>
  </r>
  <r>
    <x v="41"/>
    <x v="0"/>
    <x v="3"/>
    <x v="0"/>
    <n v="17000"/>
  </r>
  <r>
    <x v="41"/>
    <x v="0"/>
    <x v="3"/>
    <x v="1"/>
    <n v="1500"/>
  </r>
  <r>
    <x v="41"/>
    <x v="0"/>
    <x v="3"/>
    <x v="2"/>
    <n v="3101"/>
  </r>
  <r>
    <x v="41"/>
    <x v="0"/>
    <x v="6"/>
    <x v="0"/>
    <n v="18107"/>
  </r>
  <r>
    <x v="41"/>
    <x v="0"/>
    <x v="6"/>
    <x v="2"/>
    <n v="2918"/>
  </r>
  <r>
    <x v="40"/>
    <x v="1"/>
    <x v="1"/>
    <x v="4"/>
    <n v="43925"/>
  </r>
  <r>
    <x v="41"/>
    <x v="1"/>
    <x v="2"/>
    <x v="1"/>
    <n v="287484"/>
  </r>
  <r>
    <x v="41"/>
    <x v="1"/>
    <x v="2"/>
    <x v="2"/>
    <n v="172168"/>
  </r>
  <r>
    <x v="42"/>
    <x v="1"/>
    <x v="1"/>
    <x v="4"/>
    <n v="33083"/>
  </r>
  <r>
    <x v="43"/>
    <x v="0"/>
    <x v="11"/>
    <x v="0"/>
    <n v="25388"/>
  </r>
  <r>
    <x v="43"/>
    <x v="0"/>
    <x v="11"/>
    <x v="2"/>
    <n v="7254"/>
  </r>
  <r>
    <x v="43"/>
    <x v="0"/>
    <x v="2"/>
    <x v="0"/>
    <n v="148062"/>
  </r>
  <r>
    <x v="43"/>
    <x v="0"/>
    <x v="2"/>
    <x v="1"/>
    <n v="248939"/>
  </r>
  <r>
    <x v="43"/>
    <x v="0"/>
    <x v="2"/>
    <x v="2"/>
    <n v="177950"/>
  </r>
  <r>
    <x v="43"/>
    <x v="0"/>
    <x v="2"/>
    <x v="3"/>
    <n v="2000"/>
  </r>
  <r>
    <x v="43"/>
    <x v="0"/>
    <x v="2"/>
    <x v="4"/>
    <n v="185378"/>
  </r>
  <r>
    <x v="42"/>
    <x v="2"/>
    <x v="1"/>
    <x v="4"/>
    <n v="11000"/>
  </r>
  <r>
    <x v="43"/>
    <x v="1"/>
    <x v="2"/>
    <x v="1"/>
    <n v="48925"/>
  </r>
  <r>
    <x v="43"/>
    <x v="1"/>
    <x v="2"/>
    <x v="2"/>
    <n v="23697"/>
  </r>
  <r>
    <x v="43"/>
    <x v="1"/>
    <x v="2"/>
    <x v="3"/>
    <n v="363"/>
  </r>
  <r>
    <x v="44"/>
    <x v="0"/>
    <x v="0"/>
    <x v="2"/>
    <n v="9472"/>
  </r>
  <r>
    <x v="44"/>
    <x v="0"/>
    <x v="11"/>
    <x v="1"/>
    <n v="5804"/>
  </r>
  <r>
    <x v="44"/>
    <x v="0"/>
    <x v="11"/>
    <x v="2"/>
    <n v="3280"/>
  </r>
  <r>
    <x v="44"/>
    <x v="0"/>
    <x v="1"/>
    <x v="0"/>
    <n v="41818"/>
  </r>
  <r>
    <x v="44"/>
    <x v="0"/>
    <x v="1"/>
    <x v="2"/>
    <n v="22409"/>
  </r>
  <r>
    <x v="44"/>
    <x v="0"/>
    <x v="1"/>
    <x v="3"/>
    <n v="200"/>
  </r>
  <r>
    <x v="44"/>
    <x v="0"/>
    <x v="1"/>
    <x v="4"/>
    <n v="22500"/>
  </r>
  <r>
    <x v="44"/>
    <x v="0"/>
    <x v="2"/>
    <x v="0"/>
    <n v="198103"/>
  </r>
  <r>
    <x v="44"/>
    <x v="0"/>
    <x v="2"/>
    <x v="1"/>
    <n v="235891"/>
  </r>
  <r>
    <x v="44"/>
    <x v="0"/>
    <x v="2"/>
    <x v="2"/>
    <n v="209736"/>
  </r>
  <r>
    <x v="44"/>
    <x v="0"/>
    <x v="2"/>
    <x v="3"/>
    <n v="15250"/>
  </r>
  <r>
    <x v="44"/>
    <x v="0"/>
    <x v="2"/>
    <x v="4"/>
    <n v="5650"/>
  </r>
  <r>
    <x v="44"/>
    <x v="0"/>
    <x v="3"/>
    <x v="4"/>
    <n v="750"/>
  </r>
  <r>
    <x v="44"/>
    <x v="0"/>
    <x v="4"/>
    <x v="3"/>
    <n v="3300"/>
  </r>
  <r>
    <x v="44"/>
    <x v="0"/>
    <x v="5"/>
    <x v="3"/>
    <n v="500"/>
  </r>
  <r>
    <x v="44"/>
    <x v="1"/>
    <x v="2"/>
    <x v="0"/>
    <n v="62370"/>
  </r>
  <r>
    <x v="44"/>
    <x v="1"/>
    <x v="2"/>
    <x v="2"/>
    <n v="19393"/>
  </r>
  <r>
    <x v="44"/>
    <x v="2"/>
    <x v="2"/>
    <x v="3"/>
    <n v="4000"/>
  </r>
  <r>
    <x v="44"/>
    <x v="2"/>
    <x v="2"/>
    <x v="4"/>
    <n v="3000"/>
  </r>
  <r>
    <x v="45"/>
    <x v="0"/>
    <x v="0"/>
    <x v="0"/>
    <n v="72616"/>
  </r>
  <r>
    <x v="45"/>
    <x v="0"/>
    <x v="0"/>
    <x v="1"/>
    <n v="25465"/>
  </r>
  <r>
    <x v="45"/>
    <x v="0"/>
    <x v="0"/>
    <x v="2"/>
    <n v="29270"/>
  </r>
  <r>
    <x v="45"/>
    <x v="0"/>
    <x v="7"/>
    <x v="3"/>
    <n v="500"/>
  </r>
  <r>
    <x v="45"/>
    <x v="0"/>
    <x v="1"/>
    <x v="4"/>
    <n v="450000"/>
  </r>
  <r>
    <x v="45"/>
    <x v="0"/>
    <x v="2"/>
    <x v="6"/>
    <n v="1000"/>
  </r>
  <r>
    <x v="45"/>
    <x v="0"/>
    <x v="2"/>
    <x v="0"/>
    <n v="457990"/>
  </r>
  <r>
    <x v="45"/>
    <x v="0"/>
    <x v="2"/>
    <x v="1"/>
    <n v="487007"/>
  </r>
  <r>
    <x v="45"/>
    <x v="0"/>
    <x v="2"/>
    <x v="2"/>
    <n v="429226"/>
  </r>
  <r>
    <x v="45"/>
    <x v="0"/>
    <x v="2"/>
    <x v="3"/>
    <n v="3000"/>
  </r>
  <r>
    <x v="45"/>
    <x v="0"/>
    <x v="2"/>
    <x v="4"/>
    <n v="33000"/>
  </r>
  <r>
    <x v="45"/>
    <x v="0"/>
    <x v="3"/>
    <x v="0"/>
    <n v="1332"/>
  </r>
  <r>
    <x v="45"/>
    <x v="0"/>
    <x v="3"/>
    <x v="1"/>
    <n v="4741"/>
  </r>
  <r>
    <x v="45"/>
    <x v="0"/>
    <x v="3"/>
    <x v="2"/>
    <n v="502"/>
  </r>
  <r>
    <x v="45"/>
    <x v="0"/>
    <x v="5"/>
    <x v="3"/>
    <n v="2000"/>
  </r>
  <r>
    <x v="45"/>
    <x v="0"/>
    <x v="6"/>
    <x v="0"/>
    <n v="6210"/>
  </r>
  <r>
    <x v="45"/>
    <x v="0"/>
    <x v="6"/>
    <x v="2"/>
    <n v="993"/>
  </r>
  <r>
    <x v="45"/>
    <x v="1"/>
    <x v="1"/>
    <x v="4"/>
    <n v="149438"/>
  </r>
  <r>
    <x v="46"/>
    <x v="0"/>
    <x v="11"/>
    <x v="0"/>
    <n v="13240"/>
  </r>
  <r>
    <x v="46"/>
    <x v="0"/>
    <x v="11"/>
    <x v="1"/>
    <n v="9302"/>
  </r>
  <r>
    <x v="46"/>
    <x v="0"/>
    <x v="11"/>
    <x v="2"/>
    <n v="9086"/>
  </r>
  <r>
    <x v="47"/>
    <x v="0"/>
    <x v="0"/>
    <x v="0"/>
    <n v="101730"/>
  </r>
  <r>
    <x v="47"/>
    <x v="0"/>
    <x v="0"/>
    <x v="1"/>
    <n v="10973"/>
  </r>
  <r>
    <x v="47"/>
    <x v="0"/>
    <x v="0"/>
    <x v="2"/>
    <n v="35565"/>
  </r>
  <r>
    <x v="47"/>
    <x v="0"/>
    <x v="0"/>
    <x v="3"/>
    <n v="1000"/>
  </r>
  <r>
    <x v="47"/>
    <x v="0"/>
    <x v="0"/>
    <x v="4"/>
    <n v="6000"/>
  </r>
  <r>
    <x v="47"/>
    <x v="0"/>
    <x v="0"/>
    <x v="5"/>
    <n v="1000"/>
  </r>
  <r>
    <x v="47"/>
    <x v="0"/>
    <x v="1"/>
    <x v="0"/>
    <n v="118855"/>
  </r>
  <r>
    <x v="47"/>
    <x v="0"/>
    <x v="1"/>
    <x v="2"/>
    <n v="36285"/>
  </r>
  <r>
    <x v="47"/>
    <x v="0"/>
    <x v="1"/>
    <x v="3"/>
    <n v="6999"/>
  </r>
  <r>
    <x v="47"/>
    <x v="0"/>
    <x v="1"/>
    <x v="4"/>
    <n v="39380"/>
  </r>
  <r>
    <x v="47"/>
    <x v="0"/>
    <x v="1"/>
    <x v="5"/>
    <n v="1000"/>
  </r>
  <r>
    <x v="47"/>
    <x v="0"/>
    <x v="2"/>
    <x v="0"/>
    <n v="490661"/>
  </r>
  <r>
    <x v="47"/>
    <x v="0"/>
    <x v="2"/>
    <x v="1"/>
    <n v="294457"/>
  </r>
  <r>
    <x v="47"/>
    <x v="0"/>
    <x v="2"/>
    <x v="2"/>
    <n v="379127"/>
  </r>
  <r>
    <x v="47"/>
    <x v="0"/>
    <x v="2"/>
    <x v="3"/>
    <n v="6000"/>
  </r>
  <r>
    <x v="47"/>
    <x v="0"/>
    <x v="2"/>
    <x v="4"/>
    <n v="16734"/>
  </r>
  <r>
    <x v="47"/>
    <x v="0"/>
    <x v="2"/>
    <x v="5"/>
    <n v="2400"/>
  </r>
  <r>
    <x v="47"/>
    <x v="0"/>
    <x v="3"/>
    <x v="0"/>
    <n v="11455"/>
  </r>
  <r>
    <x v="47"/>
    <x v="0"/>
    <x v="3"/>
    <x v="2"/>
    <n v="1929"/>
  </r>
  <r>
    <x v="47"/>
    <x v="0"/>
    <x v="6"/>
    <x v="0"/>
    <n v="9758"/>
  </r>
  <r>
    <x v="47"/>
    <x v="0"/>
    <x v="6"/>
    <x v="2"/>
    <n v="1644"/>
  </r>
  <r>
    <x v="46"/>
    <x v="0"/>
    <x v="1"/>
    <x v="4"/>
    <n v="78500"/>
  </r>
  <r>
    <x v="46"/>
    <x v="0"/>
    <x v="2"/>
    <x v="0"/>
    <n v="52034"/>
  </r>
  <r>
    <x v="46"/>
    <x v="0"/>
    <x v="2"/>
    <x v="1"/>
    <n v="96975"/>
  </r>
  <r>
    <x v="46"/>
    <x v="0"/>
    <x v="2"/>
    <x v="2"/>
    <n v="82666"/>
  </r>
  <r>
    <x v="46"/>
    <x v="0"/>
    <x v="2"/>
    <x v="3"/>
    <n v="3500"/>
  </r>
  <r>
    <x v="46"/>
    <x v="0"/>
    <x v="2"/>
    <x v="4"/>
    <n v="5000"/>
  </r>
  <r>
    <x v="46"/>
    <x v="0"/>
    <x v="8"/>
    <x v="4"/>
    <n v="8000"/>
  </r>
  <r>
    <x v="46"/>
    <x v="0"/>
    <x v="4"/>
    <x v="3"/>
    <n v="1000"/>
  </r>
  <r>
    <x v="46"/>
    <x v="0"/>
    <x v="4"/>
    <x v="4"/>
    <n v="1500"/>
  </r>
  <r>
    <x v="46"/>
    <x v="0"/>
    <x v="5"/>
    <x v="3"/>
    <n v="1500"/>
  </r>
  <r>
    <x v="47"/>
    <x v="1"/>
    <x v="1"/>
    <x v="4"/>
    <n v="150000"/>
  </r>
  <r>
    <x v="47"/>
    <x v="1"/>
    <x v="1"/>
    <x v="5"/>
    <n v="3000"/>
  </r>
  <r>
    <x v="47"/>
    <x v="1"/>
    <x v="2"/>
    <x v="3"/>
    <n v="15000"/>
  </r>
  <r>
    <x v="47"/>
    <x v="1"/>
    <x v="2"/>
    <x v="5"/>
    <n v="3000"/>
  </r>
  <r>
    <x v="46"/>
    <x v="1"/>
    <x v="2"/>
    <x v="0"/>
    <n v="34986"/>
  </r>
  <r>
    <x v="46"/>
    <x v="1"/>
    <x v="2"/>
    <x v="2"/>
    <n v="12652"/>
  </r>
  <r>
    <x v="48"/>
    <x v="0"/>
    <x v="1"/>
    <x v="3"/>
    <n v="500"/>
  </r>
  <r>
    <x v="48"/>
    <x v="0"/>
    <x v="1"/>
    <x v="4"/>
    <n v="57000"/>
  </r>
  <r>
    <x v="48"/>
    <x v="0"/>
    <x v="2"/>
    <x v="0"/>
    <n v="111521"/>
  </r>
  <r>
    <x v="48"/>
    <x v="0"/>
    <x v="2"/>
    <x v="1"/>
    <n v="96019"/>
  </r>
  <r>
    <x v="48"/>
    <x v="0"/>
    <x v="2"/>
    <x v="2"/>
    <n v="97373"/>
  </r>
  <r>
    <x v="48"/>
    <x v="0"/>
    <x v="2"/>
    <x v="3"/>
    <n v="3000"/>
  </r>
  <r>
    <x v="48"/>
    <x v="0"/>
    <x v="5"/>
    <x v="3"/>
    <n v="2000"/>
  </r>
  <r>
    <x v="48"/>
    <x v="1"/>
    <x v="1"/>
    <x v="4"/>
    <n v="18000"/>
  </r>
  <r>
    <x v="49"/>
    <x v="0"/>
    <x v="9"/>
    <x v="4"/>
    <n v="7500"/>
  </r>
  <r>
    <x v="49"/>
    <x v="0"/>
    <x v="1"/>
    <x v="4"/>
    <n v="15000"/>
  </r>
  <r>
    <x v="49"/>
    <x v="0"/>
    <x v="2"/>
    <x v="1"/>
    <n v="86605"/>
  </r>
  <r>
    <x v="49"/>
    <x v="0"/>
    <x v="2"/>
    <x v="2"/>
    <n v="42170"/>
  </r>
  <r>
    <x v="49"/>
    <x v="0"/>
    <x v="2"/>
    <x v="3"/>
    <n v="1000"/>
  </r>
  <r>
    <x v="49"/>
    <x v="0"/>
    <x v="4"/>
    <x v="3"/>
    <n v="1500"/>
  </r>
  <r>
    <x v="49"/>
    <x v="0"/>
    <x v="4"/>
    <x v="4"/>
    <n v="1500"/>
  </r>
  <r>
    <x v="49"/>
    <x v="0"/>
    <x v="5"/>
    <x v="3"/>
    <n v="1500"/>
  </r>
  <r>
    <x v="50"/>
    <x v="0"/>
    <x v="0"/>
    <x v="0"/>
    <n v="136200"/>
  </r>
  <r>
    <x v="50"/>
    <x v="0"/>
    <x v="0"/>
    <x v="1"/>
    <n v="24366"/>
  </r>
  <r>
    <x v="50"/>
    <x v="0"/>
    <x v="0"/>
    <x v="2"/>
    <n v="49756"/>
  </r>
  <r>
    <x v="50"/>
    <x v="0"/>
    <x v="1"/>
    <x v="0"/>
    <n v="277516"/>
  </r>
  <r>
    <x v="50"/>
    <x v="0"/>
    <x v="1"/>
    <x v="2"/>
    <n v="77681"/>
  </r>
  <r>
    <x v="50"/>
    <x v="0"/>
    <x v="1"/>
    <x v="4"/>
    <n v="53000"/>
  </r>
  <r>
    <x v="50"/>
    <x v="0"/>
    <x v="2"/>
    <x v="0"/>
    <n v="828760"/>
  </r>
  <r>
    <x v="50"/>
    <x v="0"/>
    <x v="2"/>
    <x v="1"/>
    <n v="645629"/>
  </r>
  <r>
    <x v="50"/>
    <x v="0"/>
    <x v="2"/>
    <x v="2"/>
    <n v="581158"/>
  </r>
  <r>
    <x v="50"/>
    <x v="0"/>
    <x v="2"/>
    <x v="3"/>
    <n v="10000"/>
  </r>
  <r>
    <x v="50"/>
    <x v="0"/>
    <x v="8"/>
    <x v="4"/>
    <n v="75000"/>
  </r>
  <r>
    <x v="50"/>
    <x v="0"/>
    <x v="3"/>
    <x v="4"/>
    <n v="3000"/>
  </r>
  <r>
    <x v="50"/>
    <x v="1"/>
    <x v="1"/>
    <x v="0"/>
    <n v="48084"/>
  </r>
  <r>
    <x v="50"/>
    <x v="1"/>
    <x v="1"/>
    <x v="2"/>
    <n v="24173"/>
  </r>
  <r>
    <x v="50"/>
    <x v="1"/>
    <x v="2"/>
    <x v="0"/>
    <n v="102257"/>
  </r>
  <r>
    <x v="50"/>
    <x v="1"/>
    <x v="2"/>
    <x v="2"/>
    <n v="32982"/>
  </r>
  <r>
    <x v="51"/>
    <x v="0"/>
    <x v="1"/>
    <x v="4"/>
    <n v="3000"/>
  </r>
  <r>
    <x v="51"/>
    <x v="0"/>
    <x v="2"/>
    <x v="0"/>
    <n v="97622"/>
  </r>
  <r>
    <x v="51"/>
    <x v="0"/>
    <x v="2"/>
    <x v="1"/>
    <n v="159207"/>
  </r>
  <r>
    <x v="51"/>
    <x v="0"/>
    <x v="2"/>
    <x v="2"/>
    <n v="143212"/>
  </r>
  <r>
    <x v="51"/>
    <x v="0"/>
    <x v="2"/>
    <x v="3"/>
    <n v="500"/>
  </r>
  <r>
    <x v="51"/>
    <x v="0"/>
    <x v="2"/>
    <x v="4"/>
    <n v="50200"/>
  </r>
  <r>
    <x v="51"/>
    <x v="0"/>
    <x v="2"/>
    <x v="5"/>
    <n v="1000"/>
  </r>
  <r>
    <x v="52"/>
    <x v="0"/>
    <x v="0"/>
    <x v="1"/>
    <n v="9038"/>
  </r>
  <r>
    <x v="52"/>
    <x v="0"/>
    <x v="0"/>
    <x v="2"/>
    <n v="3111"/>
  </r>
  <r>
    <x v="52"/>
    <x v="0"/>
    <x v="1"/>
    <x v="0"/>
    <n v="88106"/>
  </r>
  <r>
    <x v="52"/>
    <x v="0"/>
    <x v="1"/>
    <x v="2"/>
    <n v="21611"/>
  </r>
  <r>
    <x v="52"/>
    <x v="0"/>
    <x v="1"/>
    <x v="3"/>
    <n v="1000"/>
  </r>
  <r>
    <x v="52"/>
    <x v="0"/>
    <x v="1"/>
    <x v="4"/>
    <n v="33000"/>
  </r>
  <r>
    <x v="52"/>
    <x v="0"/>
    <x v="2"/>
    <x v="0"/>
    <n v="152431"/>
  </r>
  <r>
    <x v="52"/>
    <x v="0"/>
    <x v="2"/>
    <x v="1"/>
    <n v="123658"/>
  </r>
  <r>
    <x v="52"/>
    <x v="0"/>
    <x v="2"/>
    <x v="2"/>
    <n v="110086"/>
  </r>
  <r>
    <x v="52"/>
    <x v="0"/>
    <x v="2"/>
    <x v="3"/>
    <n v="4500"/>
  </r>
  <r>
    <x v="52"/>
    <x v="0"/>
    <x v="2"/>
    <x v="4"/>
    <n v="128000"/>
  </r>
  <r>
    <x v="52"/>
    <x v="0"/>
    <x v="3"/>
    <x v="0"/>
    <n v="1471"/>
  </r>
  <r>
    <x v="52"/>
    <x v="0"/>
    <x v="3"/>
    <x v="2"/>
    <n v="243"/>
  </r>
  <r>
    <x v="52"/>
    <x v="0"/>
    <x v="5"/>
    <x v="3"/>
    <n v="1500"/>
  </r>
  <r>
    <x v="52"/>
    <x v="0"/>
    <x v="6"/>
    <x v="0"/>
    <n v="3189"/>
  </r>
  <r>
    <x v="52"/>
    <x v="0"/>
    <x v="6"/>
    <x v="2"/>
    <n v="710"/>
  </r>
  <r>
    <x v="51"/>
    <x v="1"/>
    <x v="1"/>
    <x v="4"/>
    <n v="56278"/>
  </r>
  <r>
    <x v="52"/>
    <x v="1"/>
    <x v="1"/>
    <x v="4"/>
    <n v="83273"/>
  </r>
  <r>
    <x v="53"/>
    <x v="0"/>
    <x v="8"/>
    <x v="4"/>
    <n v="715372"/>
  </r>
  <r>
    <x v="54"/>
    <x v="0"/>
    <x v="0"/>
    <x v="0"/>
    <n v="217550"/>
  </r>
  <r>
    <x v="54"/>
    <x v="0"/>
    <x v="0"/>
    <x v="1"/>
    <n v="42505"/>
  </r>
  <r>
    <x v="54"/>
    <x v="0"/>
    <x v="0"/>
    <x v="2"/>
    <n v="45899"/>
  </r>
  <r>
    <x v="54"/>
    <x v="0"/>
    <x v="0"/>
    <x v="3"/>
    <n v="10250"/>
  </r>
  <r>
    <x v="54"/>
    <x v="0"/>
    <x v="0"/>
    <x v="4"/>
    <n v="500"/>
  </r>
  <r>
    <x v="54"/>
    <x v="0"/>
    <x v="0"/>
    <x v="5"/>
    <n v="1000"/>
  </r>
  <r>
    <x v="54"/>
    <x v="0"/>
    <x v="7"/>
    <x v="1"/>
    <n v="48868"/>
  </r>
  <r>
    <x v="54"/>
    <x v="0"/>
    <x v="7"/>
    <x v="2"/>
    <n v="31209"/>
  </r>
  <r>
    <x v="54"/>
    <x v="0"/>
    <x v="1"/>
    <x v="0"/>
    <n v="892973"/>
  </r>
  <r>
    <x v="54"/>
    <x v="0"/>
    <x v="1"/>
    <x v="2"/>
    <n v="293370"/>
  </r>
  <r>
    <x v="54"/>
    <x v="0"/>
    <x v="1"/>
    <x v="3"/>
    <n v="40000"/>
  </r>
  <r>
    <x v="54"/>
    <x v="0"/>
    <x v="1"/>
    <x v="4"/>
    <n v="2500"/>
  </r>
  <r>
    <x v="54"/>
    <x v="0"/>
    <x v="1"/>
    <x v="5"/>
    <n v="500"/>
  </r>
  <r>
    <x v="54"/>
    <x v="0"/>
    <x v="2"/>
    <x v="6"/>
    <n v="1564"/>
  </r>
  <r>
    <x v="54"/>
    <x v="0"/>
    <x v="2"/>
    <x v="0"/>
    <n v="1425131"/>
  </r>
  <r>
    <x v="54"/>
    <x v="0"/>
    <x v="2"/>
    <x v="1"/>
    <n v="536788"/>
  </r>
  <r>
    <x v="54"/>
    <x v="0"/>
    <x v="2"/>
    <x v="2"/>
    <n v="891479"/>
  </r>
  <r>
    <x v="54"/>
    <x v="0"/>
    <x v="2"/>
    <x v="3"/>
    <n v="577500"/>
  </r>
  <r>
    <x v="54"/>
    <x v="0"/>
    <x v="2"/>
    <x v="4"/>
    <n v="318500"/>
  </r>
  <r>
    <x v="54"/>
    <x v="0"/>
    <x v="2"/>
    <x v="5"/>
    <n v="250"/>
  </r>
  <r>
    <x v="54"/>
    <x v="0"/>
    <x v="3"/>
    <x v="0"/>
    <n v="36003"/>
  </r>
  <r>
    <x v="54"/>
    <x v="0"/>
    <x v="3"/>
    <x v="2"/>
    <n v="5992"/>
  </r>
  <r>
    <x v="54"/>
    <x v="0"/>
    <x v="3"/>
    <x v="4"/>
    <n v="4200"/>
  </r>
  <r>
    <x v="54"/>
    <x v="0"/>
    <x v="3"/>
    <x v="5"/>
    <n v="1200"/>
  </r>
  <r>
    <x v="54"/>
    <x v="0"/>
    <x v="6"/>
    <x v="0"/>
    <n v="3316"/>
  </r>
  <r>
    <x v="54"/>
    <x v="0"/>
    <x v="6"/>
    <x v="2"/>
    <n v="536"/>
  </r>
  <r>
    <x v="44"/>
    <x v="0"/>
    <x v="0"/>
    <x v="0"/>
    <n v="32000"/>
  </r>
  <r>
    <x v="44"/>
    <x v="0"/>
    <x v="0"/>
    <x v="1"/>
    <n v="3000"/>
  </r>
  <r>
    <x v="55"/>
    <x v="0"/>
    <x v="0"/>
    <x v="0"/>
    <n v="349931"/>
  </r>
  <r>
    <x v="55"/>
    <x v="0"/>
    <x v="0"/>
    <x v="1"/>
    <n v="50232"/>
  </r>
  <r>
    <x v="55"/>
    <x v="0"/>
    <x v="0"/>
    <x v="2"/>
    <n v="108271"/>
  </r>
  <r>
    <x v="55"/>
    <x v="0"/>
    <x v="0"/>
    <x v="3"/>
    <n v="246000"/>
  </r>
  <r>
    <x v="55"/>
    <x v="0"/>
    <x v="0"/>
    <x v="4"/>
    <n v="3500"/>
  </r>
  <r>
    <x v="54"/>
    <x v="1"/>
    <x v="2"/>
    <x v="0"/>
    <n v="64608"/>
  </r>
  <r>
    <x v="54"/>
    <x v="1"/>
    <x v="2"/>
    <x v="1"/>
    <n v="232162"/>
  </r>
  <r>
    <x v="54"/>
    <x v="1"/>
    <x v="2"/>
    <x v="2"/>
    <n v="186269"/>
  </r>
  <r>
    <x v="54"/>
    <x v="1"/>
    <x v="3"/>
    <x v="0"/>
    <n v="1033"/>
  </r>
  <r>
    <x v="54"/>
    <x v="1"/>
    <x v="3"/>
    <x v="2"/>
    <n v="173"/>
  </r>
  <r>
    <x v="55"/>
    <x v="0"/>
    <x v="7"/>
    <x v="1"/>
    <n v="131182"/>
  </r>
  <r>
    <x v="55"/>
    <x v="0"/>
    <x v="7"/>
    <x v="2"/>
    <n v="99650"/>
  </r>
  <r>
    <x v="55"/>
    <x v="0"/>
    <x v="1"/>
    <x v="0"/>
    <n v="2276698"/>
  </r>
  <r>
    <x v="55"/>
    <x v="0"/>
    <x v="1"/>
    <x v="1"/>
    <n v="144563"/>
  </r>
  <r>
    <x v="55"/>
    <x v="0"/>
    <x v="1"/>
    <x v="2"/>
    <n v="777054"/>
  </r>
  <r>
    <x v="55"/>
    <x v="0"/>
    <x v="1"/>
    <x v="3"/>
    <n v="292500"/>
  </r>
  <r>
    <x v="55"/>
    <x v="0"/>
    <x v="1"/>
    <x v="4"/>
    <n v="607500"/>
  </r>
  <r>
    <x v="55"/>
    <x v="0"/>
    <x v="2"/>
    <x v="0"/>
    <n v="2264535"/>
  </r>
  <r>
    <x v="55"/>
    <x v="0"/>
    <x v="2"/>
    <x v="1"/>
    <n v="2204450"/>
  </r>
  <r>
    <x v="55"/>
    <x v="0"/>
    <x v="2"/>
    <x v="2"/>
    <n v="2125336"/>
  </r>
  <r>
    <x v="55"/>
    <x v="0"/>
    <x v="2"/>
    <x v="3"/>
    <n v="77500"/>
  </r>
  <r>
    <x v="55"/>
    <x v="0"/>
    <x v="3"/>
    <x v="4"/>
    <n v="30000"/>
  </r>
  <r>
    <x v="55"/>
    <x v="0"/>
    <x v="6"/>
    <x v="0"/>
    <n v="124694"/>
  </r>
  <r>
    <x v="55"/>
    <x v="0"/>
    <x v="6"/>
    <x v="2"/>
    <n v="20364"/>
  </r>
  <r>
    <x v="55"/>
    <x v="1"/>
    <x v="2"/>
    <x v="1"/>
    <n v="816025"/>
  </r>
  <r>
    <x v="55"/>
    <x v="1"/>
    <x v="2"/>
    <x v="2"/>
    <n v="484846"/>
  </r>
  <r>
    <x v="56"/>
    <x v="0"/>
    <x v="0"/>
    <x v="0"/>
    <n v="73995"/>
  </r>
  <r>
    <x v="56"/>
    <x v="0"/>
    <x v="0"/>
    <x v="1"/>
    <n v="31793"/>
  </r>
  <r>
    <x v="56"/>
    <x v="0"/>
    <x v="0"/>
    <x v="2"/>
    <n v="33053"/>
  </r>
  <r>
    <x v="56"/>
    <x v="0"/>
    <x v="0"/>
    <x v="3"/>
    <n v="5200"/>
  </r>
  <r>
    <x v="56"/>
    <x v="0"/>
    <x v="0"/>
    <x v="4"/>
    <n v="2500"/>
  </r>
  <r>
    <x v="56"/>
    <x v="0"/>
    <x v="1"/>
    <x v="1"/>
    <n v="111542"/>
  </r>
  <r>
    <x v="56"/>
    <x v="0"/>
    <x v="1"/>
    <x v="2"/>
    <n v="40301"/>
  </r>
  <r>
    <x v="56"/>
    <x v="0"/>
    <x v="1"/>
    <x v="3"/>
    <n v="2300"/>
  </r>
  <r>
    <x v="56"/>
    <x v="0"/>
    <x v="1"/>
    <x v="4"/>
    <n v="180500"/>
  </r>
  <r>
    <x v="56"/>
    <x v="0"/>
    <x v="2"/>
    <x v="0"/>
    <n v="232715"/>
  </r>
  <r>
    <x v="56"/>
    <x v="0"/>
    <x v="2"/>
    <x v="1"/>
    <n v="283247"/>
  </r>
  <r>
    <x v="56"/>
    <x v="0"/>
    <x v="2"/>
    <x v="2"/>
    <n v="231025"/>
  </r>
  <r>
    <x v="56"/>
    <x v="0"/>
    <x v="2"/>
    <x v="3"/>
    <n v="4400"/>
  </r>
  <r>
    <x v="56"/>
    <x v="0"/>
    <x v="2"/>
    <x v="4"/>
    <n v="500"/>
  </r>
  <r>
    <x v="56"/>
    <x v="0"/>
    <x v="3"/>
    <x v="0"/>
    <n v="5936"/>
  </r>
  <r>
    <x v="56"/>
    <x v="0"/>
    <x v="3"/>
    <x v="2"/>
    <n v="954"/>
  </r>
  <r>
    <x v="56"/>
    <x v="0"/>
    <x v="3"/>
    <x v="3"/>
    <n v="1140"/>
  </r>
  <r>
    <x v="56"/>
    <x v="0"/>
    <x v="3"/>
    <x v="4"/>
    <n v="8000"/>
  </r>
  <r>
    <x v="56"/>
    <x v="0"/>
    <x v="4"/>
    <x v="3"/>
    <n v="1000"/>
  </r>
  <r>
    <x v="56"/>
    <x v="0"/>
    <x v="5"/>
    <x v="3"/>
    <n v="4500"/>
  </r>
  <r>
    <x v="56"/>
    <x v="1"/>
    <x v="1"/>
    <x v="4"/>
    <n v="4924"/>
  </r>
  <r>
    <x v="56"/>
    <x v="1"/>
    <x v="2"/>
    <x v="0"/>
    <n v="78342"/>
  </r>
  <r>
    <x v="56"/>
    <x v="1"/>
    <x v="2"/>
    <x v="2"/>
    <n v="35289"/>
  </r>
  <r>
    <x v="56"/>
    <x v="1"/>
    <x v="2"/>
    <x v="3"/>
    <n v="5511"/>
  </r>
  <r>
    <x v="57"/>
    <x v="0"/>
    <x v="0"/>
    <x v="6"/>
    <n v="1980"/>
  </r>
  <r>
    <x v="57"/>
    <x v="0"/>
    <x v="0"/>
    <x v="0"/>
    <n v="1024398"/>
  </r>
  <r>
    <x v="57"/>
    <x v="0"/>
    <x v="0"/>
    <x v="1"/>
    <n v="671143"/>
  </r>
  <r>
    <x v="57"/>
    <x v="0"/>
    <x v="0"/>
    <x v="2"/>
    <n v="467402"/>
  </r>
  <r>
    <x v="57"/>
    <x v="0"/>
    <x v="0"/>
    <x v="3"/>
    <n v="29811"/>
  </r>
  <r>
    <x v="57"/>
    <x v="0"/>
    <x v="0"/>
    <x v="4"/>
    <n v="89739"/>
  </r>
  <r>
    <x v="57"/>
    <x v="0"/>
    <x v="0"/>
    <x v="5"/>
    <n v="4100"/>
  </r>
  <r>
    <x v="57"/>
    <x v="0"/>
    <x v="11"/>
    <x v="0"/>
    <n v="1020"/>
  </r>
  <r>
    <x v="57"/>
    <x v="0"/>
    <x v="11"/>
    <x v="2"/>
    <n v="72"/>
  </r>
  <r>
    <x v="57"/>
    <x v="0"/>
    <x v="9"/>
    <x v="6"/>
    <n v="2200"/>
  </r>
  <r>
    <x v="57"/>
    <x v="0"/>
    <x v="9"/>
    <x v="0"/>
    <n v="112622"/>
  </r>
  <r>
    <x v="57"/>
    <x v="0"/>
    <x v="9"/>
    <x v="1"/>
    <n v="262268"/>
  </r>
  <r>
    <x v="57"/>
    <x v="0"/>
    <x v="9"/>
    <x v="2"/>
    <n v="140948"/>
  </r>
  <r>
    <x v="57"/>
    <x v="0"/>
    <x v="9"/>
    <x v="5"/>
    <n v="7250"/>
  </r>
  <r>
    <x v="57"/>
    <x v="0"/>
    <x v="7"/>
    <x v="0"/>
    <n v="11157"/>
  </r>
  <r>
    <x v="57"/>
    <x v="0"/>
    <x v="7"/>
    <x v="1"/>
    <n v="97106"/>
  </r>
  <r>
    <x v="57"/>
    <x v="0"/>
    <x v="7"/>
    <x v="2"/>
    <n v="54405"/>
  </r>
  <r>
    <x v="57"/>
    <x v="0"/>
    <x v="7"/>
    <x v="4"/>
    <n v="602"/>
  </r>
  <r>
    <x v="57"/>
    <x v="0"/>
    <x v="1"/>
    <x v="6"/>
    <n v="1400"/>
  </r>
  <r>
    <x v="57"/>
    <x v="0"/>
    <x v="1"/>
    <x v="0"/>
    <n v="10482473"/>
  </r>
  <r>
    <x v="57"/>
    <x v="0"/>
    <x v="1"/>
    <x v="1"/>
    <n v="344980"/>
  </r>
  <r>
    <x v="57"/>
    <x v="0"/>
    <x v="1"/>
    <x v="2"/>
    <n v="3443290"/>
  </r>
  <r>
    <x v="57"/>
    <x v="0"/>
    <x v="1"/>
    <x v="3"/>
    <n v="45327"/>
  </r>
  <r>
    <x v="57"/>
    <x v="0"/>
    <x v="1"/>
    <x v="4"/>
    <n v="195355"/>
  </r>
  <r>
    <x v="57"/>
    <x v="0"/>
    <x v="1"/>
    <x v="5"/>
    <n v="4300"/>
  </r>
  <r>
    <x v="57"/>
    <x v="0"/>
    <x v="1"/>
    <x v="7"/>
    <n v="10000"/>
  </r>
  <r>
    <x v="57"/>
    <x v="0"/>
    <x v="2"/>
    <x v="6"/>
    <n v="44420"/>
  </r>
  <r>
    <x v="57"/>
    <x v="0"/>
    <x v="2"/>
    <x v="0"/>
    <n v="19123245"/>
  </r>
  <r>
    <x v="57"/>
    <x v="0"/>
    <x v="2"/>
    <x v="1"/>
    <n v="16456298"/>
  </r>
  <r>
    <x v="57"/>
    <x v="0"/>
    <x v="2"/>
    <x v="2"/>
    <n v="15042077"/>
  </r>
  <r>
    <x v="57"/>
    <x v="0"/>
    <x v="2"/>
    <x v="3"/>
    <n v="185750"/>
  </r>
  <r>
    <x v="57"/>
    <x v="0"/>
    <x v="2"/>
    <x v="4"/>
    <n v="6692744"/>
  </r>
  <r>
    <x v="57"/>
    <x v="0"/>
    <x v="2"/>
    <x v="5"/>
    <n v="7050"/>
  </r>
  <r>
    <x v="57"/>
    <x v="0"/>
    <x v="3"/>
    <x v="0"/>
    <n v="225422"/>
  </r>
  <r>
    <x v="57"/>
    <x v="0"/>
    <x v="3"/>
    <x v="1"/>
    <n v="59994"/>
  </r>
  <r>
    <x v="57"/>
    <x v="0"/>
    <x v="3"/>
    <x v="2"/>
    <n v="58291"/>
  </r>
  <r>
    <x v="57"/>
    <x v="0"/>
    <x v="3"/>
    <x v="3"/>
    <n v="8000"/>
  </r>
  <r>
    <x v="57"/>
    <x v="0"/>
    <x v="3"/>
    <x v="4"/>
    <n v="15214"/>
  </r>
  <r>
    <x v="57"/>
    <x v="0"/>
    <x v="3"/>
    <x v="5"/>
    <n v="2300"/>
  </r>
  <r>
    <x v="57"/>
    <x v="0"/>
    <x v="4"/>
    <x v="3"/>
    <n v="25000"/>
  </r>
  <r>
    <x v="57"/>
    <x v="0"/>
    <x v="5"/>
    <x v="3"/>
    <n v="15612"/>
  </r>
  <r>
    <x v="57"/>
    <x v="0"/>
    <x v="5"/>
    <x v="4"/>
    <n v="6346"/>
  </r>
  <r>
    <x v="57"/>
    <x v="0"/>
    <x v="6"/>
    <x v="0"/>
    <n v="375101"/>
  </r>
  <r>
    <x v="57"/>
    <x v="0"/>
    <x v="6"/>
    <x v="2"/>
    <n v="61925"/>
  </r>
  <r>
    <x v="57"/>
    <x v="1"/>
    <x v="1"/>
    <x v="0"/>
    <n v="1211027"/>
  </r>
  <r>
    <x v="57"/>
    <x v="1"/>
    <x v="1"/>
    <x v="2"/>
    <n v="380740"/>
  </r>
  <r>
    <x v="57"/>
    <x v="1"/>
    <x v="2"/>
    <x v="0"/>
    <n v="2181158"/>
  </r>
  <r>
    <x v="57"/>
    <x v="1"/>
    <x v="2"/>
    <x v="1"/>
    <n v="4955"/>
  </r>
  <r>
    <x v="57"/>
    <x v="1"/>
    <x v="2"/>
    <x v="2"/>
    <n v="676232"/>
  </r>
  <r>
    <x v="58"/>
    <x v="0"/>
    <x v="8"/>
    <x v="4"/>
    <n v="20000"/>
  </r>
  <r>
    <x v="59"/>
    <x v="0"/>
    <x v="0"/>
    <x v="1"/>
    <n v="71530"/>
  </r>
  <r>
    <x v="59"/>
    <x v="0"/>
    <x v="0"/>
    <x v="2"/>
    <n v="25557"/>
  </r>
  <r>
    <x v="59"/>
    <x v="0"/>
    <x v="7"/>
    <x v="1"/>
    <n v="118496"/>
  </r>
  <r>
    <x v="59"/>
    <x v="0"/>
    <x v="7"/>
    <x v="2"/>
    <n v="59011"/>
  </r>
  <r>
    <x v="59"/>
    <x v="0"/>
    <x v="1"/>
    <x v="0"/>
    <n v="833461"/>
  </r>
  <r>
    <x v="59"/>
    <x v="0"/>
    <x v="1"/>
    <x v="1"/>
    <n v="158684"/>
  </r>
  <r>
    <x v="59"/>
    <x v="0"/>
    <x v="1"/>
    <x v="2"/>
    <n v="319813"/>
  </r>
  <r>
    <x v="59"/>
    <x v="0"/>
    <x v="2"/>
    <x v="6"/>
    <n v="33000"/>
  </r>
  <r>
    <x v="59"/>
    <x v="0"/>
    <x v="2"/>
    <x v="0"/>
    <n v="906049"/>
  </r>
  <r>
    <x v="59"/>
    <x v="0"/>
    <x v="2"/>
    <x v="1"/>
    <n v="1112600"/>
  </r>
  <r>
    <x v="59"/>
    <x v="0"/>
    <x v="2"/>
    <x v="2"/>
    <n v="898871"/>
  </r>
  <r>
    <x v="59"/>
    <x v="0"/>
    <x v="2"/>
    <x v="3"/>
    <n v="19000"/>
  </r>
  <r>
    <x v="59"/>
    <x v="0"/>
    <x v="2"/>
    <x v="4"/>
    <n v="100000"/>
  </r>
  <r>
    <x v="59"/>
    <x v="0"/>
    <x v="2"/>
    <x v="5"/>
    <n v="5000"/>
  </r>
  <r>
    <x v="59"/>
    <x v="0"/>
    <x v="3"/>
    <x v="0"/>
    <n v="8173"/>
  </r>
  <r>
    <x v="59"/>
    <x v="0"/>
    <x v="3"/>
    <x v="2"/>
    <n v="1330"/>
  </r>
  <r>
    <x v="59"/>
    <x v="0"/>
    <x v="6"/>
    <x v="0"/>
    <n v="24902"/>
  </r>
  <r>
    <x v="59"/>
    <x v="0"/>
    <x v="6"/>
    <x v="2"/>
    <n v="4039"/>
  </r>
  <r>
    <x v="59"/>
    <x v="1"/>
    <x v="2"/>
    <x v="0"/>
    <n v="204204"/>
  </r>
  <r>
    <x v="59"/>
    <x v="1"/>
    <x v="2"/>
    <x v="2"/>
    <n v="63162"/>
  </r>
  <r>
    <x v="59"/>
    <x v="1"/>
    <x v="3"/>
    <x v="0"/>
    <n v="964"/>
  </r>
  <r>
    <x v="59"/>
    <x v="1"/>
    <x v="3"/>
    <x v="2"/>
    <n v="157"/>
  </r>
  <r>
    <x v="60"/>
    <x v="0"/>
    <x v="1"/>
    <x v="4"/>
    <n v="25000"/>
  </r>
  <r>
    <x v="60"/>
    <x v="0"/>
    <x v="2"/>
    <x v="0"/>
    <n v="74065"/>
  </r>
  <r>
    <x v="60"/>
    <x v="0"/>
    <x v="2"/>
    <x v="1"/>
    <n v="69676"/>
  </r>
  <r>
    <x v="60"/>
    <x v="0"/>
    <x v="2"/>
    <x v="2"/>
    <n v="65677"/>
  </r>
  <r>
    <x v="60"/>
    <x v="0"/>
    <x v="2"/>
    <x v="3"/>
    <n v="3100"/>
  </r>
  <r>
    <x v="60"/>
    <x v="0"/>
    <x v="2"/>
    <x v="4"/>
    <n v="20500"/>
  </r>
  <r>
    <x v="60"/>
    <x v="0"/>
    <x v="3"/>
    <x v="4"/>
    <n v="12000"/>
  </r>
  <r>
    <x v="60"/>
    <x v="0"/>
    <x v="5"/>
    <x v="3"/>
    <n v="899"/>
  </r>
  <r>
    <x v="60"/>
    <x v="1"/>
    <x v="1"/>
    <x v="4"/>
    <n v="440"/>
  </r>
  <r>
    <x v="61"/>
    <x v="0"/>
    <x v="0"/>
    <x v="0"/>
    <n v="7209"/>
  </r>
  <r>
    <x v="61"/>
    <x v="0"/>
    <x v="0"/>
    <x v="2"/>
    <n v="1203"/>
  </r>
  <r>
    <x v="60"/>
    <x v="1"/>
    <x v="2"/>
    <x v="4"/>
    <n v="18500"/>
  </r>
  <r>
    <x v="61"/>
    <x v="0"/>
    <x v="1"/>
    <x v="0"/>
    <n v="39874"/>
  </r>
  <r>
    <x v="61"/>
    <x v="0"/>
    <x v="1"/>
    <x v="2"/>
    <n v="14790"/>
  </r>
  <r>
    <x v="61"/>
    <x v="0"/>
    <x v="1"/>
    <x v="3"/>
    <n v="3500"/>
  </r>
  <r>
    <x v="61"/>
    <x v="0"/>
    <x v="1"/>
    <x v="4"/>
    <n v="80000"/>
  </r>
  <r>
    <x v="61"/>
    <x v="0"/>
    <x v="2"/>
    <x v="0"/>
    <n v="292226"/>
  </r>
  <r>
    <x v="61"/>
    <x v="0"/>
    <x v="2"/>
    <x v="1"/>
    <n v="372755"/>
  </r>
  <r>
    <x v="61"/>
    <x v="0"/>
    <x v="2"/>
    <x v="2"/>
    <n v="356395"/>
  </r>
  <r>
    <x v="61"/>
    <x v="0"/>
    <x v="2"/>
    <x v="3"/>
    <n v="62500"/>
  </r>
  <r>
    <x v="61"/>
    <x v="0"/>
    <x v="2"/>
    <x v="4"/>
    <n v="46000"/>
  </r>
  <r>
    <x v="61"/>
    <x v="0"/>
    <x v="3"/>
    <x v="4"/>
    <n v="5000"/>
  </r>
  <r>
    <x v="61"/>
    <x v="0"/>
    <x v="3"/>
    <x v="5"/>
    <n v="5000"/>
  </r>
  <r>
    <x v="61"/>
    <x v="0"/>
    <x v="4"/>
    <x v="3"/>
    <n v="10000"/>
  </r>
  <r>
    <x v="61"/>
    <x v="0"/>
    <x v="5"/>
    <x v="3"/>
    <n v="12500"/>
  </r>
  <r>
    <x v="61"/>
    <x v="0"/>
    <x v="6"/>
    <x v="0"/>
    <n v="721"/>
  </r>
  <r>
    <x v="61"/>
    <x v="0"/>
    <x v="6"/>
    <x v="2"/>
    <n v="283"/>
  </r>
  <r>
    <x v="62"/>
    <x v="1"/>
    <x v="3"/>
    <x v="0"/>
    <n v="67919"/>
  </r>
  <r>
    <x v="62"/>
    <x v="1"/>
    <x v="3"/>
    <x v="2"/>
    <n v="19544"/>
  </r>
  <r>
    <x v="61"/>
    <x v="1"/>
    <x v="1"/>
    <x v="0"/>
    <n v="39874"/>
  </r>
  <r>
    <x v="61"/>
    <x v="1"/>
    <x v="1"/>
    <x v="2"/>
    <n v="14790"/>
  </r>
  <r>
    <x v="61"/>
    <x v="1"/>
    <x v="2"/>
    <x v="0"/>
    <n v="51717"/>
  </r>
  <r>
    <x v="61"/>
    <x v="1"/>
    <x v="2"/>
    <x v="2"/>
    <n v="24902"/>
  </r>
  <r>
    <x v="62"/>
    <x v="2"/>
    <x v="2"/>
    <x v="1"/>
    <n v="64471"/>
  </r>
  <r>
    <x v="62"/>
    <x v="2"/>
    <x v="2"/>
    <x v="2"/>
    <n v="40785"/>
  </r>
  <r>
    <x v="63"/>
    <x v="0"/>
    <x v="0"/>
    <x v="0"/>
    <n v="177212"/>
  </r>
  <r>
    <x v="63"/>
    <x v="0"/>
    <x v="0"/>
    <x v="1"/>
    <n v="59592"/>
  </r>
  <r>
    <x v="63"/>
    <x v="0"/>
    <x v="0"/>
    <x v="2"/>
    <n v="70411"/>
  </r>
  <r>
    <x v="63"/>
    <x v="0"/>
    <x v="0"/>
    <x v="3"/>
    <n v="2600"/>
  </r>
  <r>
    <x v="63"/>
    <x v="0"/>
    <x v="0"/>
    <x v="4"/>
    <n v="3700"/>
  </r>
  <r>
    <x v="63"/>
    <x v="0"/>
    <x v="0"/>
    <x v="5"/>
    <n v="1000"/>
  </r>
  <r>
    <x v="63"/>
    <x v="0"/>
    <x v="7"/>
    <x v="1"/>
    <n v="118892"/>
  </r>
  <r>
    <x v="63"/>
    <x v="0"/>
    <x v="7"/>
    <x v="2"/>
    <n v="105545"/>
  </r>
  <r>
    <x v="63"/>
    <x v="0"/>
    <x v="7"/>
    <x v="3"/>
    <n v="1000"/>
  </r>
  <r>
    <x v="63"/>
    <x v="0"/>
    <x v="1"/>
    <x v="0"/>
    <n v="1955855"/>
  </r>
  <r>
    <x v="63"/>
    <x v="0"/>
    <x v="1"/>
    <x v="1"/>
    <n v="199432"/>
  </r>
  <r>
    <x v="63"/>
    <x v="0"/>
    <x v="1"/>
    <x v="2"/>
    <n v="787467"/>
  </r>
  <r>
    <x v="63"/>
    <x v="0"/>
    <x v="1"/>
    <x v="3"/>
    <n v="30173"/>
  </r>
  <r>
    <x v="63"/>
    <x v="0"/>
    <x v="1"/>
    <x v="4"/>
    <n v="104000"/>
  </r>
  <r>
    <x v="63"/>
    <x v="0"/>
    <x v="1"/>
    <x v="5"/>
    <n v="5000"/>
  </r>
  <r>
    <x v="63"/>
    <x v="0"/>
    <x v="2"/>
    <x v="6"/>
    <n v="2000"/>
  </r>
  <r>
    <x v="63"/>
    <x v="0"/>
    <x v="2"/>
    <x v="0"/>
    <n v="3363085"/>
  </r>
  <r>
    <x v="63"/>
    <x v="0"/>
    <x v="2"/>
    <x v="1"/>
    <n v="1376040"/>
  </r>
  <r>
    <x v="63"/>
    <x v="0"/>
    <x v="2"/>
    <x v="2"/>
    <n v="1992022"/>
  </r>
  <r>
    <x v="63"/>
    <x v="0"/>
    <x v="2"/>
    <x v="3"/>
    <n v="17000"/>
  </r>
  <r>
    <x v="63"/>
    <x v="0"/>
    <x v="2"/>
    <x v="4"/>
    <n v="10000"/>
  </r>
  <r>
    <x v="63"/>
    <x v="0"/>
    <x v="2"/>
    <x v="5"/>
    <n v="2500"/>
  </r>
  <r>
    <x v="63"/>
    <x v="0"/>
    <x v="3"/>
    <x v="0"/>
    <n v="9260"/>
  </r>
  <r>
    <x v="63"/>
    <x v="0"/>
    <x v="3"/>
    <x v="2"/>
    <n v="716"/>
  </r>
  <r>
    <x v="63"/>
    <x v="0"/>
    <x v="3"/>
    <x v="4"/>
    <n v="4500"/>
  </r>
  <r>
    <x v="63"/>
    <x v="0"/>
    <x v="3"/>
    <x v="5"/>
    <n v="1000"/>
  </r>
  <r>
    <x v="63"/>
    <x v="0"/>
    <x v="4"/>
    <x v="3"/>
    <n v="5000"/>
  </r>
  <r>
    <x v="63"/>
    <x v="0"/>
    <x v="5"/>
    <x v="3"/>
    <n v="5000"/>
  </r>
  <r>
    <x v="63"/>
    <x v="0"/>
    <x v="6"/>
    <x v="0"/>
    <n v="74942"/>
  </r>
  <r>
    <x v="63"/>
    <x v="0"/>
    <x v="6"/>
    <x v="2"/>
    <n v="25515"/>
  </r>
  <r>
    <x v="63"/>
    <x v="1"/>
    <x v="2"/>
    <x v="1"/>
    <n v="485148"/>
  </r>
  <r>
    <x v="63"/>
    <x v="1"/>
    <x v="2"/>
    <x v="2"/>
    <n v="359942"/>
  </r>
  <r>
    <x v="64"/>
    <x v="0"/>
    <x v="0"/>
    <x v="0"/>
    <n v="174531"/>
  </r>
  <r>
    <x v="64"/>
    <x v="0"/>
    <x v="0"/>
    <x v="1"/>
    <n v="71785"/>
  </r>
  <r>
    <x v="64"/>
    <x v="0"/>
    <x v="0"/>
    <x v="2"/>
    <n v="87973"/>
  </r>
  <r>
    <x v="64"/>
    <x v="0"/>
    <x v="0"/>
    <x v="3"/>
    <n v="150"/>
  </r>
  <r>
    <x v="64"/>
    <x v="0"/>
    <x v="0"/>
    <x v="4"/>
    <n v="2700"/>
  </r>
  <r>
    <x v="64"/>
    <x v="0"/>
    <x v="7"/>
    <x v="3"/>
    <n v="3000"/>
  </r>
  <r>
    <x v="64"/>
    <x v="0"/>
    <x v="1"/>
    <x v="0"/>
    <n v="582822"/>
  </r>
  <r>
    <x v="64"/>
    <x v="0"/>
    <x v="1"/>
    <x v="2"/>
    <n v="203434"/>
  </r>
  <r>
    <x v="64"/>
    <x v="0"/>
    <x v="1"/>
    <x v="3"/>
    <n v="3500"/>
  </r>
  <r>
    <x v="64"/>
    <x v="0"/>
    <x v="1"/>
    <x v="4"/>
    <n v="979752"/>
  </r>
  <r>
    <x v="64"/>
    <x v="0"/>
    <x v="2"/>
    <x v="6"/>
    <n v="15200"/>
  </r>
  <r>
    <x v="64"/>
    <x v="0"/>
    <x v="2"/>
    <x v="0"/>
    <n v="1828394"/>
  </r>
  <r>
    <x v="64"/>
    <x v="0"/>
    <x v="2"/>
    <x v="1"/>
    <n v="1298176"/>
  </r>
  <r>
    <x v="64"/>
    <x v="0"/>
    <x v="2"/>
    <x v="2"/>
    <n v="1433573"/>
  </r>
  <r>
    <x v="64"/>
    <x v="0"/>
    <x v="2"/>
    <x v="3"/>
    <n v="13500"/>
  </r>
  <r>
    <x v="64"/>
    <x v="0"/>
    <x v="2"/>
    <x v="4"/>
    <n v="108510"/>
  </r>
  <r>
    <x v="64"/>
    <x v="0"/>
    <x v="2"/>
    <x v="5"/>
    <n v="500"/>
  </r>
  <r>
    <x v="64"/>
    <x v="0"/>
    <x v="4"/>
    <x v="3"/>
    <n v="1500"/>
  </r>
  <r>
    <x v="64"/>
    <x v="0"/>
    <x v="5"/>
    <x v="3"/>
    <n v="11800"/>
  </r>
  <r>
    <x v="64"/>
    <x v="0"/>
    <x v="6"/>
    <x v="0"/>
    <n v="38266"/>
  </r>
  <r>
    <x v="64"/>
    <x v="0"/>
    <x v="6"/>
    <x v="2"/>
    <n v="5913"/>
  </r>
  <r>
    <x v="64"/>
    <x v="1"/>
    <x v="2"/>
    <x v="0"/>
    <n v="139093"/>
  </r>
  <r>
    <x v="64"/>
    <x v="1"/>
    <x v="2"/>
    <x v="1"/>
    <n v="276486"/>
  </r>
  <r>
    <x v="64"/>
    <x v="1"/>
    <x v="2"/>
    <x v="2"/>
    <n v="282060"/>
  </r>
  <r>
    <x v="64"/>
    <x v="1"/>
    <x v="2"/>
    <x v="3"/>
    <n v="12571"/>
  </r>
  <r>
    <x v="65"/>
    <x v="0"/>
    <x v="0"/>
    <x v="0"/>
    <n v="11220"/>
  </r>
  <r>
    <x v="65"/>
    <x v="0"/>
    <x v="0"/>
    <x v="2"/>
    <n v="906"/>
  </r>
  <r>
    <x v="65"/>
    <x v="0"/>
    <x v="1"/>
    <x v="4"/>
    <n v="40472"/>
  </r>
  <r>
    <x v="65"/>
    <x v="0"/>
    <x v="1"/>
    <x v="5"/>
    <n v="1800"/>
  </r>
  <r>
    <x v="65"/>
    <x v="0"/>
    <x v="2"/>
    <x v="0"/>
    <n v="5521"/>
  </r>
  <r>
    <x v="65"/>
    <x v="0"/>
    <x v="2"/>
    <x v="1"/>
    <n v="11440"/>
  </r>
  <r>
    <x v="65"/>
    <x v="0"/>
    <x v="2"/>
    <x v="2"/>
    <n v="1601"/>
  </r>
  <r>
    <x v="65"/>
    <x v="0"/>
    <x v="2"/>
    <x v="3"/>
    <n v="2500"/>
  </r>
  <r>
    <x v="65"/>
    <x v="0"/>
    <x v="2"/>
    <x v="4"/>
    <n v="1500"/>
  </r>
  <r>
    <x v="65"/>
    <x v="1"/>
    <x v="1"/>
    <x v="4"/>
    <n v="8334"/>
  </r>
  <r>
    <x v="66"/>
    <x v="0"/>
    <x v="0"/>
    <x v="0"/>
    <n v="157655"/>
  </r>
  <r>
    <x v="66"/>
    <x v="0"/>
    <x v="0"/>
    <x v="1"/>
    <n v="65445"/>
  </r>
  <r>
    <x v="66"/>
    <x v="0"/>
    <x v="0"/>
    <x v="2"/>
    <n v="68426"/>
  </r>
  <r>
    <x v="66"/>
    <x v="0"/>
    <x v="0"/>
    <x v="3"/>
    <n v="500"/>
  </r>
  <r>
    <x v="66"/>
    <x v="0"/>
    <x v="0"/>
    <x v="4"/>
    <n v="2700"/>
  </r>
  <r>
    <x v="66"/>
    <x v="0"/>
    <x v="0"/>
    <x v="5"/>
    <n v="3500"/>
  </r>
  <r>
    <x v="66"/>
    <x v="0"/>
    <x v="7"/>
    <x v="1"/>
    <n v="42031"/>
  </r>
  <r>
    <x v="66"/>
    <x v="0"/>
    <x v="7"/>
    <x v="2"/>
    <n v="24545"/>
  </r>
  <r>
    <x v="66"/>
    <x v="0"/>
    <x v="7"/>
    <x v="3"/>
    <n v="150"/>
  </r>
  <r>
    <x v="66"/>
    <x v="0"/>
    <x v="1"/>
    <x v="0"/>
    <n v="472457"/>
  </r>
  <r>
    <x v="66"/>
    <x v="0"/>
    <x v="1"/>
    <x v="1"/>
    <n v="55912"/>
  </r>
  <r>
    <x v="66"/>
    <x v="0"/>
    <x v="1"/>
    <x v="2"/>
    <n v="188664"/>
  </r>
  <r>
    <x v="66"/>
    <x v="0"/>
    <x v="1"/>
    <x v="3"/>
    <n v="600"/>
  </r>
  <r>
    <x v="66"/>
    <x v="0"/>
    <x v="1"/>
    <x v="4"/>
    <n v="3500"/>
  </r>
  <r>
    <x v="66"/>
    <x v="0"/>
    <x v="1"/>
    <x v="5"/>
    <n v="1200"/>
  </r>
  <r>
    <x v="66"/>
    <x v="0"/>
    <x v="2"/>
    <x v="6"/>
    <n v="5850"/>
  </r>
  <r>
    <x v="66"/>
    <x v="0"/>
    <x v="2"/>
    <x v="0"/>
    <n v="1421700"/>
  </r>
  <r>
    <x v="66"/>
    <x v="0"/>
    <x v="2"/>
    <x v="1"/>
    <n v="1056959"/>
  </r>
  <r>
    <x v="66"/>
    <x v="0"/>
    <x v="2"/>
    <x v="2"/>
    <n v="1143381"/>
  </r>
  <r>
    <x v="66"/>
    <x v="0"/>
    <x v="2"/>
    <x v="3"/>
    <n v="12200"/>
  </r>
  <r>
    <x v="66"/>
    <x v="0"/>
    <x v="2"/>
    <x v="4"/>
    <n v="20600"/>
  </r>
  <r>
    <x v="66"/>
    <x v="0"/>
    <x v="3"/>
    <x v="3"/>
    <n v="300"/>
  </r>
  <r>
    <x v="66"/>
    <x v="0"/>
    <x v="3"/>
    <x v="4"/>
    <n v="9000"/>
  </r>
  <r>
    <x v="66"/>
    <x v="0"/>
    <x v="5"/>
    <x v="3"/>
    <n v="46000"/>
  </r>
  <r>
    <x v="66"/>
    <x v="0"/>
    <x v="5"/>
    <x v="4"/>
    <n v="8000"/>
  </r>
  <r>
    <x v="66"/>
    <x v="0"/>
    <x v="6"/>
    <x v="0"/>
    <n v="25262"/>
  </r>
  <r>
    <x v="66"/>
    <x v="0"/>
    <x v="6"/>
    <x v="2"/>
    <n v="3431"/>
  </r>
  <r>
    <x v="66"/>
    <x v="1"/>
    <x v="0"/>
    <x v="5"/>
    <n v="1000"/>
  </r>
  <r>
    <x v="66"/>
    <x v="1"/>
    <x v="1"/>
    <x v="0"/>
    <n v="8670"/>
  </r>
  <r>
    <x v="66"/>
    <x v="1"/>
    <x v="1"/>
    <x v="2"/>
    <n v="3223"/>
  </r>
  <r>
    <x v="66"/>
    <x v="1"/>
    <x v="1"/>
    <x v="4"/>
    <n v="394099"/>
  </r>
  <r>
    <x v="66"/>
    <x v="1"/>
    <x v="2"/>
    <x v="0"/>
    <n v="74977"/>
  </r>
  <r>
    <x v="66"/>
    <x v="1"/>
    <x v="2"/>
    <x v="2"/>
    <n v="30099"/>
  </r>
  <r>
    <x v="66"/>
    <x v="1"/>
    <x v="2"/>
    <x v="3"/>
    <n v="5000"/>
  </r>
  <r>
    <x v="66"/>
    <x v="1"/>
    <x v="3"/>
    <x v="4"/>
    <n v="4000"/>
  </r>
  <r>
    <x v="66"/>
    <x v="1"/>
    <x v="5"/>
    <x v="3"/>
    <n v="28000"/>
  </r>
  <r>
    <x v="67"/>
    <x v="0"/>
    <x v="0"/>
    <x v="0"/>
    <n v="182408"/>
  </r>
  <r>
    <x v="67"/>
    <x v="0"/>
    <x v="0"/>
    <x v="1"/>
    <n v="82927"/>
  </r>
  <r>
    <x v="67"/>
    <x v="0"/>
    <x v="0"/>
    <x v="2"/>
    <n v="70156"/>
  </r>
  <r>
    <x v="67"/>
    <x v="0"/>
    <x v="0"/>
    <x v="3"/>
    <n v="2900"/>
  </r>
  <r>
    <x v="67"/>
    <x v="0"/>
    <x v="0"/>
    <x v="4"/>
    <n v="16000"/>
  </r>
  <r>
    <x v="67"/>
    <x v="0"/>
    <x v="7"/>
    <x v="1"/>
    <n v="216053"/>
  </r>
  <r>
    <x v="67"/>
    <x v="0"/>
    <x v="7"/>
    <x v="2"/>
    <n v="155541"/>
  </r>
  <r>
    <x v="67"/>
    <x v="0"/>
    <x v="1"/>
    <x v="0"/>
    <n v="1931217"/>
  </r>
  <r>
    <x v="67"/>
    <x v="0"/>
    <x v="1"/>
    <x v="1"/>
    <n v="59348"/>
  </r>
  <r>
    <x v="67"/>
    <x v="0"/>
    <x v="1"/>
    <x v="2"/>
    <n v="567920"/>
  </r>
  <r>
    <x v="67"/>
    <x v="0"/>
    <x v="1"/>
    <x v="3"/>
    <n v="81000"/>
  </r>
  <r>
    <x v="67"/>
    <x v="0"/>
    <x v="1"/>
    <x v="4"/>
    <n v="50100"/>
  </r>
  <r>
    <x v="67"/>
    <x v="0"/>
    <x v="1"/>
    <x v="5"/>
    <n v="250"/>
  </r>
  <r>
    <x v="67"/>
    <x v="0"/>
    <x v="2"/>
    <x v="6"/>
    <n v="200"/>
  </r>
  <r>
    <x v="67"/>
    <x v="0"/>
    <x v="2"/>
    <x v="0"/>
    <n v="2970321"/>
  </r>
  <r>
    <x v="67"/>
    <x v="0"/>
    <x v="2"/>
    <x v="1"/>
    <n v="1690744"/>
  </r>
  <r>
    <x v="67"/>
    <x v="0"/>
    <x v="2"/>
    <x v="2"/>
    <n v="1809805"/>
  </r>
  <r>
    <x v="67"/>
    <x v="0"/>
    <x v="2"/>
    <x v="3"/>
    <n v="153000"/>
  </r>
  <r>
    <x v="67"/>
    <x v="0"/>
    <x v="2"/>
    <x v="4"/>
    <n v="619600"/>
  </r>
  <r>
    <x v="67"/>
    <x v="0"/>
    <x v="8"/>
    <x v="4"/>
    <n v="225000"/>
  </r>
  <r>
    <x v="67"/>
    <x v="0"/>
    <x v="3"/>
    <x v="0"/>
    <n v="5005"/>
  </r>
  <r>
    <x v="67"/>
    <x v="0"/>
    <x v="3"/>
    <x v="1"/>
    <n v="4005"/>
  </r>
  <r>
    <x v="67"/>
    <x v="0"/>
    <x v="3"/>
    <x v="2"/>
    <n v="1991"/>
  </r>
  <r>
    <x v="67"/>
    <x v="0"/>
    <x v="3"/>
    <x v="3"/>
    <n v="700"/>
  </r>
  <r>
    <x v="67"/>
    <x v="0"/>
    <x v="3"/>
    <x v="4"/>
    <n v="5500"/>
  </r>
  <r>
    <x v="67"/>
    <x v="0"/>
    <x v="3"/>
    <x v="5"/>
    <n v="1000"/>
  </r>
  <r>
    <x v="67"/>
    <x v="0"/>
    <x v="5"/>
    <x v="3"/>
    <n v="20000"/>
  </r>
  <r>
    <x v="67"/>
    <x v="1"/>
    <x v="2"/>
    <x v="0"/>
    <n v="264077"/>
  </r>
  <r>
    <x v="67"/>
    <x v="1"/>
    <x v="2"/>
    <x v="1"/>
    <n v="266882"/>
  </r>
  <r>
    <x v="67"/>
    <x v="1"/>
    <x v="2"/>
    <x v="2"/>
    <n v="240301"/>
  </r>
  <r>
    <x v="67"/>
    <x v="1"/>
    <x v="2"/>
    <x v="3"/>
    <n v="4500"/>
  </r>
  <r>
    <x v="67"/>
    <x v="1"/>
    <x v="2"/>
    <x v="4"/>
    <n v="21715"/>
  </r>
  <r>
    <x v="68"/>
    <x v="0"/>
    <x v="0"/>
    <x v="0"/>
    <n v="232268"/>
  </r>
  <r>
    <x v="68"/>
    <x v="0"/>
    <x v="0"/>
    <x v="1"/>
    <n v="69555"/>
  </r>
  <r>
    <x v="68"/>
    <x v="0"/>
    <x v="0"/>
    <x v="2"/>
    <n v="86245"/>
  </r>
  <r>
    <x v="68"/>
    <x v="0"/>
    <x v="0"/>
    <x v="4"/>
    <n v="3400"/>
  </r>
  <r>
    <x v="68"/>
    <x v="0"/>
    <x v="1"/>
    <x v="0"/>
    <n v="768091"/>
  </r>
  <r>
    <x v="68"/>
    <x v="0"/>
    <x v="1"/>
    <x v="1"/>
    <n v="144465"/>
  </r>
  <r>
    <x v="68"/>
    <x v="0"/>
    <x v="1"/>
    <x v="2"/>
    <n v="349562"/>
  </r>
  <r>
    <x v="68"/>
    <x v="0"/>
    <x v="1"/>
    <x v="3"/>
    <n v="5000"/>
  </r>
  <r>
    <x v="68"/>
    <x v="0"/>
    <x v="1"/>
    <x v="4"/>
    <n v="1066162"/>
  </r>
  <r>
    <x v="68"/>
    <x v="0"/>
    <x v="2"/>
    <x v="0"/>
    <n v="1542883"/>
  </r>
  <r>
    <x v="68"/>
    <x v="0"/>
    <x v="2"/>
    <x v="1"/>
    <n v="389591"/>
  </r>
  <r>
    <x v="68"/>
    <x v="0"/>
    <x v="2"/>
    <x v="2"/>
    <n v="786509"/>
  </r>
  <r>
    <x v="68"/>
    <x v="0"/>
    <x v="2"/>
    <x v="3"/>
    <n v="5000"/>
  </r>
  <r>
    <x v="68"/>
    <x v="0"/>
    <x v="2"/>
    <x v="4"/>
    <n v="492160"/>
  </r>
  <r>
    <x v="68"/>
    <x v="0"/>
    <x v="3"/>
    <x v="0"/>
    <n v="62654"/>
  </r>
  <r>
    <x v="68"/>
    <x v="0"/>
    <x v="3"/>
    <x v="2"/>
    <n v="10131"/>
  </r>
  <r>
    <x v="68"/>
    <x v="1"/>
    <x v="0"/>
    <x v="0"/>
    <n v="24905"/>
  </r>
  <r>
    <x v="68"/>
    <x v="1"/>
    <x v="0"/>
    <x v="2"/>
    <n v="6087"/>
  </r>
  <r>
    <x v="68"/>
    <x v="1"/>
    <x v="1"/>
    <x v="0"/>
    <n v="3859"/>
  </r>
  <r>
    <x v="68"/>
    <x v="1"/>
    <x v="1"/>
    <x v="2"/>
    <n v="1139"/>
  </r>
  <r>
    <x v="68"/>
    <x v="1"/>
    <x v="1"/>
    <x v="3"/>
    <n v="20000"/>
  </r>
  <r>
    <x v="68"/>
    <x v="1"/>
    <x v="2"/>
    <x v="0"/>
    <n v="3214"/>
  </r>
  <r>
    <x v="68"/>
    <x v="1"/>
    <x v="2"/>
    <x v="1"/>
    <n v="352326"/>
  </r>
  <r>
    <x v="68"/>
    <x v="1"/>
    <x v="2"/>
    <x v="2"/>
    <n v="246967"/>
  </r>
  <r>
    <x v="68"/>
    <x v="1"/>
    <x v="2"/>
    <x v="3"/>
    <n v="52290"/>
  </r>
  <r>
    <x v="68"/>
    <x v="1"/>
    <x v="3"/>
    <x v="0"/>
    <n v="88"/>
  </r>
  <r>
    <x v="68"/>
    <x v="1"/>
    <x v="3"/>
    <x v="2"/>
    <n v="14"/>
  </r>
  <r>
    <x v="68"/>
    <x v="1"/>
    <x v="3"/>
    <x v="4"/>
    <n v="5450"/>
  </r>
  <r>
    <x v="68"/>
    <x v="1"/>
    <x v="3"/>
    <x v="5"/>
    <n v="2000"/>
  </r>
  <r>
    <x v="69"/>
    <x v="0"/>
    <x v="8"/>
    <x v="4"/>
    <n v="250255"/>
  </r>
  <r>
    <x v="70"/>
    <x v="0"/>
    <x v="0"/>
    <x v="6"/>
    <n v="157"/>
  </r>
  <r>
    <x v="70"/>
    <x v="0"/>
    <x v="0"/>
    <x v="0"/>
    <n v="141799"/>
  </r>
  <r>
    <x v="70"/>
    <x v="0"/>
    <x v="0"/>
    <x v="1"/>
    <n v="62177"/>
  </r>
  <r>
    <x v="70"/>
    <x v="0"/>
    <x v="0"/>
    <x v="2"/>
    <n v="55230"/>
  </r>
  <r>
    <x v="70"/>
    <x v="0"/>
    <x v="0"/>
    <x v="3"/>
    <n v="9719"/>
  </r>
  <r>
    <x v="70"/>
    <x v="0"/>
    <x v="0"/>
    <x v="4"/>
    <n v="196951"/>
  </r>
  <r>
    <x v="70"/>
    <x v="0"/>
    <x v="0"/>
    <x v="5"/>
    <n v="325"/>
  </r>
  <r>
    <x v="70"/>
    <x v="0"/>
    <x v="1"/>
    <x v="6"/>
    <n v="200"/>
  </r>
  <r>
    <x v="70"/>
    <x v="0"/>
    <x v="1"/>
    <x v="0"/>
    <n v="373003"/>
  </r>
  <r>
    <x v="70"/>
    <x v="0"/>
    <x v="1"/>
    <x v="2"/>
    <n v="124487"/>
  </r>
  <r>
    <x v="70"/>
    <x v="0"/>
    <x v="1"/>
    <x v="3"/>
    <n v="3185"/>
  </r>
  <r>
    <x v="70"/>
    <x v="0"/>
    <x v="1"/>
    <x v="4"/>
    <n v="490300"/>
  </r>
  <r>
    <x v="70"/>
    <x v="0"/>
    <x v="1"/>
    <x v="5"/>
    <n v="300"/>
  </r>
  <r>
    <x v="70"/>
    <x v="0"/>
    <x v="2"/>
    <x v="6"/>
    <n v="3700"/>
  </r>
  <r>
    <x v="70"/>
    <x v="0"/>
    <x v="2"/>
    <x v="0"/>
    <n v="1147554"/>
  </r>
  <r>
    <x v="70"/>
    <x v="0"/>
    <x v="2"/>
    <x v="1"/>
    <n v="368542"/>
  </r>
  <r>
    <x v="70"/>
    <x v="0"/>
    <x v="2"/>
    <x v="2"/>
    <n v="565750"/>
  </r>
  <r>
    <x v="70"/>
    <x v="0"/>
    <x v="2"/>
    <x v="3"/>
    <n v="21950"/>
  </r>
  <r>
    <x v="70"/>
    <x v="0"/>
    <x v="2"/>
    <x v="4"/>
    <n v="440300"/>
  </r>
  <r>
    <x v="70"/>
    <x v="0"/>
    <x v="3"/>
    <x v="3"/>
    <n v="80"/>
  </r>
  <r>
    <x v="70"/>
    <x v="0"/>
    <x v="3"/>
    <x v="4"/>
    <n v="500"/>
  </r>
  <r>
    <x v="70"/>
    <x v="0"/>
    <x v="5"/>
    <x v="4"/>
    <n v="1500"/>
  </r>
  <r>
    <x v="70"/>
    <x v="0"/>
    <x v="6"/>
    <x v="0"/>
    <n v="22880"/>
  </r>
  <r>
    <x v="70"/>
    <x v="0"/>
    <x v="6"/>
    <x v="2"/>
    <n v="3632"/>
  </r>
  <r>
    <x v="70"/>
    <x v="1"/>
    <x v="2"/>
    <x v="0"/>
    <n v="13921"/>
  </r>
  <r>
    <x v="70"/>
    <x v="1"/>
    <x v="2"/>
    <x v="1"/>
    <n v="263975"/>
  </r>
  <r>
    <x v="70"/>
    <x v="1"/>
    <x v="2"/>
    <x v="2"/>
    <n v="163539"/>
  </r>
  <r>
    <x v="70"/>
    <x v="1"/>
    <x v="2"/>
    <x v="3"/>
    <n v="6786"/>
  </r>
  <r>
    <x v="71"/>
    <x v="0"/>
    <x v="0"/>
    <x v="0"/>
    <n v="37180"/>
  </r>
  <r>
    <x v="71"/>
    <x v="0"/>
    <x v="0"/>
    <x v="1"/>
    <n v="20180"/>
  </r>
  <r>
    <x v="71"/>
    <x v="0"/>
    <x v="0"/>
    <x v="2"/>
    <n v="17563"/>
  </r>
  <r>
    <x v="71"/>
    <x v="0"/>
    <x v="7"/>
    <x v="1"/>
    <n v="14541"/>
  </r>
  <r>
    <x v="71"/>
    <x v="0"/>
    <x v="7"/>
    <x v="2"/>
    <n v="9128"/>
  </r>
  <r>
    <x v="71"/>
    <x v="0"/>
    <x v="1"/>
    <x v="1"/>
    <n v="40478"/>
  </r>
  <r>
    <x v="71"/>
    <x v="0"/>
    <x v="1"/>
    <x v="2"/>
    <n v="22727"/>
  </r>
  <r>
    <x v="71"/>
    <x v="0"/>
    <x v="1"/>
    <x v="4"/>
    <n v="287000"/>
  </r>
  <r>
    <x v="71"/>
    <x v="0"/>
    <x v="2"/>
    <x v="0"/>
    <n v="274343"/>
  </r>
  <r>
    <x v="71"/>
    <x v="0"/>
    <x v="2"/>
    <x v="1"/>
    <n v="97958"/>
  </r>
  <r>
    <x v="71"/>
    <x v="0"/>
    <x v="2"/>
    <x v="2"/>
    <n v="151924"/>
  </r>
  <r>
    <x v="71"/>
    <x v="0"/>
    <x v="2"/>
    <x v="3"/>
    <n v="5500"/>
  </r>
  <r>
    <x v="71"/>
    <x v="0"/>
    <x v="2"/>
    <x v="4"/>
    <n v="30000"/>
  </r>
  <r>
    <x v="71"/>
    <x v="0"/>
    <x v="3"/>
    <x v="4"/>
    <n v="5000"/>
  </r>
  <r>
    <x v="71"/>
    <x v="0"/>
    <x v="5"/>
    <x v="3"/>
    <n v="500"/>
  </r>
  <r>
    <x v="71"/>
    <x v="1"/>
    <x v="2"/>
    <x v="1"/>
    <n v="53708"/>
  </r>
  <r>
    <x v="71"/>
    <x v="1"/>
    <x v="2"/>
    <x v="2"/>
    <n v="41119"/>
  </r>
  <r>
    <x v="71"/>
    <x v="1"/>
    <x v="2"/>
    <x v="3"/>
    <n v="17000"/>
  </r>
  <r>
    <x v="72"/>
    <x v="0"/>
    <x v="0"/>
    <x v="0"/>
    <n v="93396"/>
  </r>
  <r>
    <x v="72"/>
    <x v="0"/>
    <x v="0"/>
    <x v="1"/>
    <n v="12100"/>
  </r>
  <r>
    <x v="72"/>
    <x v="0"/>
    <x v="0"/>
    <x v="2"/>
    <n v="35657"/>
  </r>
  <r>
    <x v="72"/>
    <x v="0"/>
    <x v="1"/>
    <x v="0"/>
    <n v="226157"/>
  </r>
  <r>
    <x v="72"/>
    <x v="0"/>
    <x v="1"/>
    <x v="2"/>
    <n v="65883"/>
  </r>
  <r>
    <x v="72"/>
    <x v="0"/>
    <x v="2"/>
    <x v="0"/>
    <n v="462825"/>
  </r>
  <r>
    <x v="72"/>
    <x v="0"/>
    <x v="2"/>
    <x v="1"/>
    <n v="125115"/>
  </r>
  <r>
    <x v="72"/>
    <x v="0"/>
    <x v="2"/>
    <x v="2"/>
    <n v="253467"/>
  </r>
  <r>
    <x v="72"/>
    <x v="0"/>
    <x v="2"/>
    <x v="4"/>
    <n v="446128"/>
  </r>
  <r>
    <x v="72"/>
    <x v="0"/>
    <x v="3"/>
    <x v="0"/>
    <n v="750"/>
  </r>
  <r>
    <x v="72"/>
    <x v="0"/>
    <x v="3"/>
    <x v="2"/>
    <n v="279"/>
  </r>
  <r>
    <x v="72"/>
    <x v="1"/>
    <x v="2"/>
    <x v="0"/>
    <n v="1500"/>
  </r>
  <r>
    <x v="72"/>
    <x v="1"/>
    <x v="2"/>
    <x v="1"/>
    <n v="131862"/>
  </r>
  <r>
    <x v="72"/>
    <x v="1"/>
    <x v="2"/>
    <x v="2"/>
    <n v="82783"/>
  </r>
  <r>
    <x v="72"/>
    <x v="1"/>
    <x v="2"/>
    <x v="3"/>
    <n v="55204"/>
  </r>
  <r>
    <x v="73"/>
    <x v="0"/>
    <x v="1"/>
    <x v="4"/>
    <n v="240000"/>
  </r>
  <r>
    <x v="73"/>
    <x v="0"/>
    <x v="2"/>
    <x v="6"/>
    <n v="10000"/>
  </r>
  <r>
    <x v="73"/>
    <x v="0"/>
    <x v="2"/>
    <x v="0"/>
    <n v="284497"/>
  </r>
  <r>
    <x v="73"/>
    <x v="0"/>
    <x v="2"/>
    <x v="1"/>
    <n v="310165"/>
  </r>
  <r>
    <x v="73"/>
    <x v="0"/>
    <x v="2"/>
    <x v="2"/>
    <n v="266821"/>
  </r>
  <r>
    <x v="73"/>
    <x v="0"/>
    <x v="2"/>
    <x v="3"/>
    <n v="3599"/>
  </r>
  <r>
    <x v="73"/>
    <x v="0"/>
    <x v="8"/>
    <x v="4"/>
    <n v="354011"/>
  </r>
  <r>
    <x v="73"/>
    <x v="1"/>
    <x v="1"/>
    <x v="4"/>
    <n v="103343"/>
  </r>
  <r>
    <x v="74"/>
    <x v="0"/>
    <x v="8"/>
    <x v="4"/>
    <n v="120579"/>
  </r>
  <r>
    <x v="75"/>
    <x v="0"/>
    <x v="1"/>
    <x v="4"/>
    <n v="6000"/>
  </r>
  <r>
    <x v="75"/>
    <x v="0"/>
    <x v="2"/>
    <x v="0"/>
    <n v="96691"/>
  </r>
  <r>
    <x v="75"/>
    <x v="0"/>
    <x v="2"/>
    <x v="1"/>
    <n v="48115"/>
  </r>
  <r>
    <x v="75"/>
    <x v="0"/>
    <x v="2"/>
    <x v="2"/>
    <n v="66585"/>
  </r>
  <r>
    <x v="75"/>
    <x v="0"/>
    <x v="2"/>
    <x v="3"/>
    <n v="1000"/>
  </r>
  <r>
    <x v="75"/>
    <x v="0"/>
    <x v="2"/>
    <x v="4"/>
    <n v="18250"/>
  </r>
  <r>
    <x v="75"/>
    <x v="0"/>
    <x v="2"/>
    <x v="5"/>
    <n v="200"/>
  </r>
  <r>
    <x v="76"/>
    <x v="0"/>
    <x v="0"/>
    <x v="6"/>
    <n v="1200"/>
  </r>
  <r>
    <x v="76"/>
    <x v="0"/>
    <x v="0"/>
    <x v="0"/>
    <n v="614209"/>
  </r>
  <r>
    <x v="76"/>
    <x v="0"/>
    <x v="0"/>
    <x v="1"/>
    <n v="157073"/>
  </r>
  <r>
    <x v="76"/>
    <x v="0"/>
    <x v="0"/>
    <x v="2"/>
    <n v="219127"/>
  </r>
  <r>
    <x v="76"/>
    <x v="0"/>
    <x v="0"/>
    <x v="4"/>
    <n v="6650"/>
  </r>
  <r>
    <x v="76"/>
    <x v="0"/>
    <x v="0"/>
    <x v="5"/>
    <n v="300"/>
  </r>
  <r>
    <x v="76"/>
    <x v="0"/>
    <x v="11"/>
    <x v="1"/>
    <n v="996"/>
  </r>
  <r>
    <x v="76"/>
    <x v="0"/>
    <x v="11"/>
    <x v="2"/>
    <n v="179"/>
  </r>
  <r>
    <x v="76"/>
    <x v="0"/>
    <x v="1"/>
    <x v="0"/>
    <n v="2517328"/>
  </r>
  <r>
    <x v="76"/>
    <x v="0"/>
    <x v="1"/>
    <x v="1"/>
    <n v="201330"/>
  </r>
  <r>
    <x v="76"/>
    <x v="0"/>
    <x v="1"/>
    <x v="2"/>
    <n v="909976"/>
  </r>
  <r>
    <x v="76"/>
    <x v="0"/>
    <x v="1"/>
    <x v="3"/>
    <n v="7200"/>
  </r>
  <r>
    <x v="76"/>
    <x v="0"/>
    <x v="1"/>
    <x v="4"/>
    <n v="20250"/>
  </r>
  <r>
    <x v="76"/>
    <x v="0"/>
    <x v="1"/>
    <x v="5"/>
    <n v="1100"/>
  </r>
  <r>
    <x v="76"/>
    <x v="0"/>
    <x v="2"/>
    <x v="6"/>
    <n v="975"/>
  </r>
  <r>
    <x v="76"/>
    <x v="0"/>
    <x v="2"/>
    <x v="0"/>
    <n v="4448939"/>
  </r>
  <r>
    <x v="76"/>
    <x v="0"/>
    <x v="2"/>
    <x v="1"/>
    <n v="3771666"/>
  </r>
  <r>
    <x v="76"/>
    <x v="0"/>
    <x v="2"/>
    <x v="2"/>
    <n v="3952776"/>
  </r>
  <r>
    <x v="76"/>
    <x v="0"/>
    <x v="2"/>
    <x v="3"/>
    <n v="5289"/>
  </r>
  <r>
    <x v="76"/>
    <x v="0"/>
    <x v="2"/>
    <x v="4"/>
    <n v="1480081"/>
  </r>
  <r>
    <x v="76"/>
    <x v="0"/>
    <x v="8"/>
    <x v="4"/>
    <n v="1308254"/>
  </r>
  <r>
    <x v="76"/>
    <x v="0"/>
    <x v="3"/>
    <x v="0"/>
    <n v="50714"/>
  </r>
  <r>
    <x v="76"/>
    <x v="0"/>
    <x v="3"/>
    <x v="2"/>
    <n v="5880"/>
  </r>
  <r>
    <x v="76"/>
    <x v="0"/>
    <x v="3"/>
    <x v="3"/>
    <n v="500"/>
  </r>
  <r>
    <x v="76"/>
    <x v="0"/>
    <x v="3"/>
    <x v="4"/>
    <n v="3000"/>
  </r>
  <r>
    <x v="76"/>
    <x v="0"/>
    <x v="3"/>
    <x v="5"/>
    <n v="1000"/>
  </r>
  <r>
    <x v="76"/>
    <x v="0"/>
    <x v="4"/>
    <x v="3"/>
    <n v="7500"/>
  </r>
  <r>
    <x v="76"/>
    <x v="0"/>
    <x v="6"/>
    <x v="0"/>
    <n v="107277"/>
  </r>
  <r>
    <x v="76"/>
    <x v="0"/>
    <x v="6"/>
    <x v="2"/>
    <n v="8705"/>
  </r>
  <r>
    <x v="75"/>
    <x v="1"/>
    <x v="1"/>
    <x v="4"/>
    <n v="20000"/>
  </r>
  <r>
    <x v="76"/>
    <x v="1"/>
    <x v="2"/>
    <x v="0"/>
    <n v="1205183"/>
  </r>
  <r>
    <x v="76"/>
    <x v="1"/>
    <x v="2"/>
    <x v="1"/>
    <n v="44766"/>
  </r>
  <r>
    <x v="76"/>
    <x v="1"/>
    <x v="2"/>
    <x v="2"/>
    <n v="414491"/>
  </r>
  <r>
    <x v="76"/>
    <x v="1"/>
    <x v="3"/>
    <x v="0"/>
    <n v="19837"/>
  </r>
  <r>
    <x v="76"/>
    <x v="1"/>
    <x v="3"/>
    <x v="2"/>
    <n v="1609"/>
  </r>
  <r>
    <x v="77"/>
    <x v="0"/>
    <x v="0"/>
    <x v="0"/>
    <n v="445595"/>
  </r>
  <r>
    <x v="77"/>
    <x v="0"/>
    <x v="0"/>
    <x v="1"/>
    <n v="149677"/>
  </r>
  <r>
    <x v="77"/>
    <x v="0"/>
    <x v="0"/>
    <x v="2"/>
    <n v="168390"/>
  </r>
  <r>
    <x v="77"/>
    <x v="0"/>
    <x v="0"/>
    <x v="3"/>
    <n v="5000"/>
  </r>
  <r>
    <x v="77"/>
    <x v="0"/>
    <x v="0"/>
    <x v="4"/>
    <n v="52600"/>
  </r>
  <r>
    <x v="77"/>
    <x v="0"/>
    <x v="0"/>
    <x v="5"/>
    <n v="4000"/>
  </r>
  <r>
    <x v="77"/>
    <x v="0"/>
    <x v="9"/>
    <x v="0"/>
    <n v="622742"/>
  </r>
  <r>
    <x v="77"/>
    <x v="0"/>
    <x v="9"/>
    <x v="2"/>
    <n v="204085"/>
  </r>
  <r>
    <x v="77"/>
    <x v="0"/>
    <x v="1"/>
    <x v="0"/>
    <n v="3706922"/>
  </r>
  <r>
    <x v="77"/>
    <x v="0"/>
    <x v="1"/>
    <x v="1"/>
    <n v="90340"/>
  </r>
  <r>
    <x v="77"/>
    <x v="0"/>
    <x v="1"/>
    <x v="2"/>
    <n v="1222368"/>
  </r>
  <r>
    <x v="77"/>
    <x v="0"/>
    <x v="1"/>
    <x v="3"/>
    <n v="28750"/>
  </r>
  <r>
    <x v="77"/>
    <x v="0"/>
    <x v="1"/>
    <x v="4"/>
    <n v="1007000"/>
  </r>
  <r>
    <x v="77"/>
    <x v="0"/>
    <x v="1"/>
    <x v="5"/>
    <n v="5000"/>
  </r>
  <r>
    <x v="77"/>
    <x v="0"/>
    <x v="2"/>
    <x v="6"/>
    <n v="15000"/>
  </r>
  <r>
    <x v="77"/>
    <x v="0"/>
    <x v="2"/>
    <x v="0"/>
    <n v="5960960"/>
  </r>
  <r>
    <x v="77"/>
    <x v="0"/>
    <x v="2"/>
    <x v="1"/>
    <n v="5802132"/>
  </r>
  <r>
    <x v="77"/>
    <x v="0"/>
    <x v="2"/>
    <x v="2"/>
    <n v="5721196"/>
  </r>
  <r>
    <x v="77"/>
    <x v="0"/>
    <x v="2"/>
    <x v="3"/>
    <n v="180250"/>
  </r>
  <r>
    <x v="77"/>
    <x v="0"/>
    <x v="2"/>
    <x v="4"/>
    <n v="403500"/>
  </r>
  <r>
    <x v="77"/>
    <x v="0"/>
    <x v="2"/>
    <x v="5"/>
    <n v="1000"/>
  </r>
  <r>
    <x v="77"/>
    <x v="0"/>
    <x v="3"/>
    <x v="0"/>
    <n v="932281"/>
  </r>
  <r>
    <x v="77"/>
    <x v="0"/>
    <x v="3"/>
    <x v="2"/>
    <n v="277032"/>
  </r>
  <r>
    <x v="77"/>
    <x v="0"/>
    <x v="3"/>
    <x v="3"/>
    <n v="4000"/>
  </r>
  <r>
    <x v="77"/>
    <x v="0"/>
    <x v="3"/>
    <x v="4"/>
    <n v="16700"/>
  </r>
  <r>
    <x v="77"/>
    <x v="0"/>
    <x v="3"/>
    <x v="5"/>
    <n v="5000"/>
  </r>
  <r>
    <x v="77"/>
    <x v="1"/>
    <x v="1"/>
    <x v="0"/>
    <n v="6186"/>
  </r>
  <r>
    <x v="77"/>
    <x v="1"/>
    <x v="1"/>
    <x v="2"/>
    <n v="1649"/>
  </r>
  <r>
    <x v="77"/>
    <x v="1"/>
    <x v="2"/>
    <x v="1"/>
    <n v="31975"/>
  </r>
  <r>
    <x v="77"/>
    <x v="1"/>
    <x v="2"/>
    <x v="2"/>
    <n v="19022"/>
  </r>
  <r>
    <x v="77"/>
    <x v="1"/>
    <x v="2"/>
    <x v="4"/>
    <n v="1700000"/>
  </r>
  <r>
    <x v="78"/>
    <x v="0"/>
    <x v="1"/>
    <x v="4"/>
    <n v="16645"/>
  </r>
  <r>
    <x v="78"/>
    <x v="0"/>
    <x v="2"/>
    <x v="0"/>
    <n v="134980"/>
  </r>
  <r>
    <x v="78"/>
    <x v="0"/>
    <x v="2"/>
    <x v="1"/>
    <n v="207360"/>
  </r>
  <r>
    <x v="78"/>
    <x v="0"/>
    <x v="2"/>
    <x v="2"/>
    <n v="160830"/>
  </r>
  <r>
    <x v="78"/>
    <x v="0"/>
    <x v="2"/>
    <x v="3"/>
    <n v="6100"/>
  </r>
  <r>
    <x v="78"/>
    <x v="1"/>
    <x v="1"/>
    <x v="4"/>
    <n v="56760"/>
  </r>
  <r>
    <x v="78"/>
    <x v="2"/>
    <x v="1"/>
    <x v="4"/>
    <n v="20000"/>
  </r>
  <r>
    <x v="79"/>
    <x v="0"/>
    <x v="2"/>
    <x v="4"/>
    <n v="225000"/>
  </r>
  <r>
    <x v="80"/>
    <x v="0"/>
    <x v="0"/>
    <x v="0"/>
    <n v="302109"/>
  </r>
  <r>
    <x v="80"/>
    <x v="0"/>
    <x v="0"/>
    <x v="1"/>
    <n v="103139"/>
  </r>
  <r>
    <x v="80"/>
    <x v="0"/>
    <x v="0"/>
    <x v="2"/>
    <n v="123694"/>
  </r>
  <r>
    <x v="80"/>
    <x v="0"/>
    <x v="1"/>
    <x v="0"/>
    <n v="274506"/>
  </r>
  <r>
    <x v="80"/>
    <x v="0"/>
    <x v="1"/>
    <x v="2"/>
    <n v="92257"/>
  </r>
  <r>
    <x v="80"/>
    <x v="0"/>
    <x v="1"/>
    <x v="4"/>
    <n v="50000"/>
  </r>
  <r>
    <x v="80"/>
    <x v="0"/>
    <x v="2"/>
    <x v="0"/>
    <n v="1103224"/>
  </r>
  <r>
    <x v="80"/>
    <x v="0"/>
    <x v="2"/>
    <x v="1"/>
    <n v="619010"/>
  </r>
  <r>
    <x v="80"/>
    <x v="0"/>
    <x v="2"/>
    <x v="2"/>
    <n v="846607"/>
  </r>
  <r>
    <x v="80"/>
    <x v="0"/>
    <x v="2"/>
    <x v="3"/>
    <n v="8850"/>
  </r>
  <r>
    <x v="80"/>
    <x v="0"/>
    <x v="2"/>
    <x v="4"/>
    <n v="4000"/>
  </r>
  <r>
    <x v="80"/>
    <x v="0"/>
    <x v="2"/>
    <x v="5"/>
    <n v="145"/>
  </r>
  <r>
    <x v="80"/>
    <x v="0"/>
    <x v="8"/>
    <x v="4"/>
    <n v="750000"/>
  </r>
  <r>
    <x v="80"/>
    <x v="0"/>
    <x v="3"/>
    <x v="4"/>
    <n v="15000"/>
  </r>
  <r>
    <x v="80"/>
    <x v="0"/>
    <x v="5"/>
    <x v="3"/>
    <n v="1000"/>
  </r>
  <r>
    <x v="81"/>
    <x v="0"/>
    <x v="1"/>
    <x v="4"/>
    <n v="134917"/>
  </r>
  <r>
    <x v="81"/>
    <x v="0"/>
    <x v="2"/>
    <x v="0"/>
    <n v="106228"/>
  </r>
  <r>
    <x v="81"/>
    <x v="0"/>
    <x v="2"/>
    <x v="1"/>
    <n v="61341"/>
  </r>
  <r>
    <x v="81"/>
    <x v="0"/>
    <x v="2"/>
    <x v="2"/>
    <n v="67720"/>
  </r>
  <r>
    <x v="81"/>
    <x v="0"/>
    <x v="2"/>
    <x v="3"/>
    <n v="2000"/>
  </r>
  <r>
    <x v="81"/>
    <x v="1"/>
    <x v="2"/>
    <x v="1"/>
    <n v="16955"/>
  </r>
  <r>
    <x v="81"/>
    <x v="1"/>
    <x v="2"/>
    <x v="2"/>
    <n v="9747"/>
  </r>
  <r>
    <x v="81"/>
    <x v="1"/>
    <x v="2"/>
    <x v="3"/>
    <n v="2000"/>
  </r>
  <r>
    <x v="82"/>
    <x v="0"/>
    <x v="0"/>
    <x v="0"/>
    <n v="11000"/>
  </r>
  <r>
    <x v="82"/>
    <x v="0"/>
    <x v="0"/>
    <x v="2"/>
    <n v="1801"/>
  </r>
  <r>
    <x v="82"/>
    <x v="0"/>
    <x v="1"/>
    <x v="4"/>
    <n v="65918"/>
  </r>
  <r>
    <x v="82"/>
    <x v="0"/>
    <x v="2"/>
    <x v="0"/>
    <n v="38806"/>
  </r>
  <r>
    <x v="82"/>
    <x v="0"/>
    <x v="2"/>
    <x v="1"/>
    <n v="91985"/>
  </r>
  <r>
    <x v="82"/>
    <x v="0"/>
    <x v="2"/>
    <x v="2"/>
    <n v="91362"/>
  </r>
  <r>
    <x v="82"/>
    <x v="0"/>
    <x v="2"/>
    <x v="3"/>
    <n v="2350"/>
  </r>
  <r>
    <x v="82"/>
    <x v="0"/>
    <x v="2"/>
    <x v="4"/>
    <n v="2200"/>
  </r>
  <r>
    <x v="80"/>
    <x v="1"/>
    <x v="1"/>
    <x v="0"/>
    <n v="202789"/>
  </r>
  <r>
    <x v="80"/>
    <x v="1"/>
    <x v="1"/>
    <x v="2"/>
    <n v="64619"/>
  </r>
  <r>
    <x v="80"/>
    <x v="1"/>
    <x v="2"/>
    <x v="0"/>
    <n v="6593"/>
  </r>
  <r>
    <x v="80"/>
    <x v="1"/>
    <x v="2"/>
    <x v="2"/>
    <n v="2181"/>
  </r>
  <r>
    <x v="80"/>
    <x v="1"/>
    <x v="8"/>
    <x v="4"/>
    <n v="40000"/>
  </r>
  <r>
    <x v="82"/>
    <x v="0"/>
    <x v="4"/>
    <x v="4"/>
    <n v="1250"/>
  </r>
  <r>
    <x v="82"/>
    <x v="0"/>
    <x v="5"/>
    <x v="3"/>
    <n v="400"/>
  </r>
  <r>
    <x v="82"/>
    <x v="1"/>
    <x v="1"/>
    <x v="4"/>
    <n v="19622"/>
  </r>
  <r>
    <x v="82"/>
    <x v="1"/>
    <x v="2"/>
    <x v="0"/>
    <n v="27868"/>
  </r>
  <r>
    <x v="82"/>
    <x v="1"/>
    <x v="2"/>
    <x v="2"/>
    <n v="11829"/>
  </r>
  <r>
    <x v="83"/>
    <x v="0"/>
    <x v="8"/>
    <x v="4"/>
    <n v="688953"/>
  </r>
  <r>
    <x v="84"/>
    <x v="0"/>
    <x v="0"/>
    <x v="0"/>
    <n v="8151"/>
  </r>
  <r>
    <x v="84"/>
    <x v="0"/>
    <x v="0"/>
    <x v="1"/>
    <n v="33422"/>
  </r>
  <r>
    <x v="84"/>
    <x v="0"/>
    <x v="0"/>
    <x v="2"/>
    <n v="22089"/>
  </r>
  <r>
    <x v="84"/>
    <x v="0"/>
    <x v="0"/>
    <x v="3"/>
    <n v="12000"/>
  </r>
  <r>
    <x v="84"/>
    <x v="0"/>
    <x v="0"/>
    <x v="4"/>
    <n v="5000"/>
  </r>
  <r>
    <x v="84"/>
    <x v="0"/>
    <x v="0"/>
    <x v="5"/>
    <n v="1200"/>
  </r>
  <r>
    <x v="84"/>
    <x v="0"/>
    <x v="11"/>
    <x v="0"/>
    <n v="71912"/>
  </r>
  <r>
    <x v="84"/>
    <x v="0"/>
    <x v="11"/>
    <x v="2"/>
    <n v="18195"/>
  </r>
  <r>
    <x v="84"/>
    <x v="0"/>
    <x v="1"/>
    <x v="0"/>
    <n v="161308"/>
  </r>
  <r>
    <x v="84"/>
    <x v="0"/>
    <x v="1"/>
    <x v="2"/>
    <n v="49197"/>
  </r>
  <r>
    <x v="84"/>
    <x v="0"/>
    <x v="1"/>
    <x v="3"/>
    <n v="5500"/>
  </r>
  <r>
    <x v="84"/>
    <x v="0"/>
    <x v="1"/>
    <x v="4"/>
    <n v="66000"/>
  </r>
  <r>
    <x v="84"/>
    <x v="0"/>
    <x v="2"/>
    <x v="0"/>
    <n v="392734"/>
  </r>
  <r>
    <x v="84"/>
    <x v="0"/>
    <x v="2"/>
    <x v="1"/>
    <n v="335072"/>
  </r>
  <r>
    <x v="84"/>
    <x v="0"/>
    <x v="2"/>
    <x v="2"/>
    <n v="354801"/>
  </r>
  <r>
    <x v="84"/>
    <x v="0"/>
    <x v="2"/>
    <x v="3"/>
    <n v="18000"/>
  </r>
  <r>
    <x v="84"/>
    <x v="0"/>
    <x v="2"/>
    <x v="4"/>
    <n v="9250"/>
  </r>
  <r>
    <x v="84"/>
    <x v="0"/>
    <x v="3"/>
    <x v="4"/>
    <n v="250"/>
  </r>
  <r>
    <x v="84"/>
    <x v="0"/>
    <x v="4"/>
    <x v="4"/>
    <n v="2000"/>
  </r>
  <r>
    <x v="84"/>
    <x v="0"/>
    <x v="12"/>
    <x v="3"/>
    <n v="10000"/>
  </r>
  <r>
    <x v="84"/>
    <x v="1"/>
    <x v="0"/>
    <x v="0"/>
    <n v="59416"/>
  </r>
  <r>
    <x v="84"/>
    <x v="1"/>
    <x v="0"/>
    <x v="2"/>
    <n v="17403"/>
  </r>
  <r>
    <x v="84"/>
    <x v="1"/>
    <x v="2"/>
    <x v="0"/>
    <n v="63986"/>
  </r>
  <r>
    <x v="84"/>
    <x v="1"/>
    <x v="2"/>
    <x v="2"/>
    <n v="27404"/>
  </r>
  <r>
    <x v="85"/>
    <x v="0"/>
    <x v="0"/>
    <x v="0"/>
    <n v="111292"/>
  </r>
  <r>
    <x v="85"/>
    <x v="0"/>
    <x v="0"/>
    <x v="1"/>
    <n v="46063"/>
  </r>
  <r>
    <x v="85"/>
    <x v="0"/>
    <x v="0"/>
    <x v="2"/>
    <n v="57080"/>
  </r>
  <r>
    <x v="85"/>
    <x v="0"/>
    <x v="0"/>
    <x v="3"/>
    <n v="400"/>
  </r>
  <r>
    <x v="85"/>
    <x v="0"/>
    <x v="0"/>
    <x v="5"/>
    <n v="275"/>
  </r>
  <r>
    <x v="85"/>
    <x v="0"/>
    <x v="9"/>
    <x v="5"/>
    <n v="450"/>
  </r>
  <r>
    <x v="85"/>
    <x v="0"/>
    <x v="1"/>
    <x v="0"/>
    <n v="248232"/>
  </r>
  <r>
    <x v="85"/>
    <x v="0"/>
    <x v="1"/>
    <x v="2"/>
    <n v="96023"/>
  </r>
  <r>
    <x v="85"/>
    <x v="0"/>
    <x v="1"/>
    <x v="3"/>
    <n v="750"/>
  </r>
  <r>
    <x v="85"/>
    <x v="0"/>
    <x v="1"/>
    <x v="4"/>
    <n v="36250"/>
  </r>
  <r>
    <x v="85"/>
    <x v="0"/>
    <x v="1"/>
    <x v="5"/>
    <n v="150"/>
  </r>
  <r>
    <x v="85"/>
    <x v="0"/>
    <x v="2"/>
    <x v="6"/>
    <n v="570"/>
  </r>
  <r>
    <x v="85"/>
    <x v="0"/>
    <x v="2"/>
    <x v="0"/>
    <n v="529221"/>
  </r>
  <r>
    <x v="85"/>
    <x v="0"/>
    <x v="2"/>
    <x v="1"/>
    <n v="90617"/>
  </r>
  <r>
    <x v="85"/>
    <x v="0"/>
    <x v="2"/>
    <x v="2"/>
    <n v="262066"/>
  </r>
  <r>
    <x v="85"/>
    <x v="0"/>
    <x v="2"/>
    <x v="3"/>
    <n v="7400"/>
  </r>
  <r>
    <x v="85"/>
    <x v="0"/>
    <x v="2"/>
    <x v="4"/>
    <n v="214715"/>
  </r>
  <r>
    <x v="85"/>
    <x v="0"/>
    <x v="2"/>
    <x v="5"/>
    <n v="775"/>
  </r>
  <r>
    <x v="85"/>
    <x v="0"/>
    <x v="3"/>
    <x v="2"/>
    <n v="6640"/>
  </r>
  <r>
    <x v="85"/>
    <x v="0"/>
    <x v="3"/>
    <x v="3"/>
    <n v="30"/>
  </r>
  <r>
    <x v="85"/>
    <x v="0"/>
    <x v="3"/>
    <x v="4"/>
    <n v="5800"/>
  </r>
  <r>
    <x v="85"/>
    <x v="0"/>
    <x v="3"/>
    <x v="5"/>
    <n v="3850"/>
  </r>
  <r>
    <x v="85"/>
    <x v="0"/>
    <x v="5"/>
    <x v="3"/>
    <n v="4050"/>
  </r>
  <r>
    <x v="85"/>
    <x v="1"/>
    <x v="2"/>
    <x v="0"/>
    <n v="26538"/>
  </r>
  <r>
    <x v="85"/>
    <x v="1"/>
    <x v="2"/>
    <x v="1"/>
    <n v="107837"/>
  </r>
  <r>
    <x v="85"/>
    <x v="1"/>
    <x v="2"/>
    <x v="2"/>
    <n v="97474"/>
  </r>
  <r>
    <x v="86"/>
    <x v="0"/>
    <x v="0"/>
    <x v="0"/>
    <n v="71750"/>
  </r>
  <r>
    <x v="86"/>
    <x v="0"/>
    <x v="0"/>
    <x v="1"/>
    <n v="14455"/>
  </r>
  <r>
    <x v="86"/>
    <x v="0"/>
    <x v="0"/>
    <x v="2"/>
    <n v="39518"/>
  </r>
  <r>
    <x v="86"/>
    <x v="0"/>
    <x v="0"/>
    <x v="4"/>
    <n v="225000"/>
  </r>
  <r>
    <x v="86"/>
    <x v="0"/>
    <x v="1"/>
    <x v="0"/>
    <n v="76796"/>
  </r>
  <r>
    <x v="86"/>
    <x v="0"/>
    <x v="1"/>
    <x v="1"/>
    <n v="67901"/>
  </r>
  <r>
    <x v="86"/>
    <x v="0"/>
    <x v="1"/>
    <x v="2"/>
    <n v="58725"/>
  </r>
  <r>
    <x v="86"/>
    <x v="0"/>
    <x v="1"/>
    <x v="4"/>
    <n v="61500"/>
  </r>
  <r>
    <x v="86"/>
    <x v="0"/>
    <x v="2"/>
    <x v="0"/>
    <n v="382895"/>
  </r>
  <r>
    <x v="86"/>
    <x v="0"/>
    <x v="2"/>
    <x v="1"/>
    <n v="301883"/>
  </r>
  <r>
    <x v="86"/>
    <x v="0"/>
    <x v="2"/>
    <x v="2"/>
    <n v="327864"/>
  </r>
  <r>
    <x v="86"/>
    <x v="0"/>
    <x v="2"/>
    <x v="4"/>
    <n v="99000"/>
  </r>
  <r>
    <x v="86"/>
    <x v="0"/>
    <x v="8"/>
    <x v="4"/>
    <n v="4500"/>
  </r>
  <r>
    <x v="86"/>
    <x v="0"/>
    <x v="3"/>
    <x v="0"/>
    <n v="7041"/>
  </r>
  <r>
    <x v="86"/>
    <x v="0"/>
    <x v="3"/>
    <x v="2"/>
    <n v="1521"/>
  </r>
  <r>
    <x v="86"/>
    <x v="0"/>
    <x v="3"/>
    <x v="4"/>
    <n v="3000"/>
  </r>
  <r>
    <x v="86"/>
    <x v="0"/>
    <x v="3"/>
    <x v="5"/>
    <n v="500"/>
  </r>
  <r>
    <x v="86"/>
    <x v="0"/>
    <x v="4"/>
    <x v="3"/>
    <n v="1200"/>
  </r>
  <r>
    <x v="86"/>
    <x v="0"/>
    <x v="5"/>
    <x v="3"/>
    <n v="2000"/>
  </r>
  <r>
    <x v="86"/>
    <x v="1"/>
    <x v="2"/>
    <x v="0"/>
    <n v="107238"/>
  </r>
  <r>
    <x v="86"/>
    <x v="1"/>
    <x v="2"/>
    <x v="2"/>
    <n v="34175"/>
  </r>
  <r>
    <x v="86"/>
    <x v="1"/>
    <x v="3"/>
    <x v="0"/>
    <n v="2390"/>
  </r>
  <r>
    <x v="86"/>
    <x v="1"/>
    <x v="3"/>
    <x v="2"/>
    <n v="430"/>
  </r>
  <r>
    <x v="87"/>
    <x v="0"/>
    <x v="0"/>
    <x v="0"/>
    <n v="399669"/>
  </r>
  <r>
    <x v="87"/>
    <x v="0"/>
    <x v="0"/>
    <x v="1"/>
    <n v="99693"/>
  </r>
  <r>
    <x v="87"/>
    <x v="0"/>
    <x v="0"/>
    <x v="2"/>
    <n v="137003"/>
  </r>
  <r>
    <x v="87"/>
    <x v="0"/>
    <x v="0"/>
    <x v="3"/>
    <n v="1216"/>
  </r>
  <r>
    <x v="87"/>
    <x v="0"/>
    <x v="0"/>
    <x v="4"/>
    <n v="3086"/>
  </r>
  <r>
    <x v="87"/>
    <x v="0"/>
    <x v="0"/>
    <x v="5"/>
    <n v="3239"/>
  </r>
  <r>
    <x v="87"/>
    <x v="0"/>
    <x v="1"/>
    <x v="0"/>
    <n v="1207961"/>
  </r>
  <r>
    <x v="87"/>
    <x v="0"/>
    <x v="1"/>
    <x v="1"/>
    <n v="6726"/>
  </r>
  <r>
    <x v="87"/>
    <x v="0"/>
    <x v="1"/>
    <x v="2"/>
    <n v="371563"/>
  </r>
  <r>
    <x v="87"/>
    <x v="0"/>
    <x v="1"/>
    <x v="3"/>
    <n v="4556"/>
  </r>
  <r>
    <x v="87"/>
    <x v="0"/>
    <x v="1"/>
    <x v="4"/>
    <n v="1235104"/>
  </r>
  <r>
    <x v="87"/>
    <x v="0"/>
    <x v="1"/>
    <x v="5"/>
    <n v="2367"/>
  </r>
  <r>
    <x v="87"/>
    <x v="0"/>
    <x v="2"/>
    <x v="6"/>
    <n v="621"/>
  </r>
  <r>
    <x v="87"/>
    <x v="0"/>
    <x v="2"/>
    <x v="0"/>
    <n v="2973880"/>
  </r>
  <r>
    <x v="87"/>
    <x v="0"/>
    <x v="2"/>
    <x v="1"/>
    <n v="2419998"/>
  </r>
  <r>
    <x v="87"/>
    <x v="0"/>
    <x v="2"/>
    <x v="2"/>
    <n v="2486625"/>
  </r>
  <r>
    <x v="87"/>
    <x v="0"/>
    <x v="2"/>
    <x v="3"/>
    <n v="12810"/>
  </r>
  <r>
    <x v="87"/>
    <x v="0"/>
    <x v="2"/>
    <x v="4"/>
    <n v="1623976"/>
  </r>
  <r>
    <x v="86"/>
    <x v="2"/>
    <x v="2"/>
    <x v="1"/>
    <n v="70202"/>
  </r>
  <r>
    <x v="86"/>
    <x v="2"/>
    <x v="2"/>
    <x v="2"/>
    <n v="45376"/>
  </r>
  <r>
    <x v="87"/>
    <x v="0"/>
    <x v="2"/>
    <x v="5"/>
    <n v="752"/>
  </r>
  <r>
    <x v="87"/>
    <x v="0"/>
    <x v="3"/>
    <x v="6"/>
    <n v="69"/>
  </r>
  <r>
    <x v="87"/>
    <x v="0"/>
    <x v="3"/>
    <x v="0"/>
    <n v="67146"/>
  </r>
  <r>
    <x v="87"/>
    <x v="0"/>
    <x v="3"/>
    <x v="2"/>
    <n v="10917"/>
  </r>
  <r>
    <x v="87"/>
    <x v="0"/>
    <x v="3"/>
    <x v="3"/>
    <n v="147"/>
  </r>
  <r>
    <x v="87"/>
    <x v="0"/>
    <x v="3"/>
    <x v="4"/>
    <n v="10161"/>
  </r>
  <r>
    <x v="87"/>
    <x v="0"/>
    <x v="3"/>
    <x v="5"/>
    <n v="11039"/>
  </r>
  <r>
    <x v="87"/>
    <x v="0"/>
    <x v="4"/>
    <x v="3"/>
    <n v="600"/>
  </r>
  <r>
    <x v="87"/>
    <x v="0"/>
    <x v="4"/>
    <x v="4"/>
    <n v="4125"/>
  </r>
  <r>
    <x v="87"/>
    <x v="0"/>
    <x v="5"/>
    <x v="3"/>
    <n v="26286"/>
  </r>
  <r>
    <x v="87"/>
    <x v="0"/>
    <x v="5"/>
    <x v="4"/>
    <n v="16618"/>
  </r>
  <r>
    <x v="87"/>
    <x v="0"/>
    <x v="6"/>
    <x v="0"/>
    <n v="107744"/>
  </r>
  <r>
    <x v="87"/>
    <x v="0"/>
    <x v="6"/>
    <x v="2"/>
    <n v="17477"/>
  </r>
  <r>
    <x v="87"/>
    <x v="1"/>
    <x v="1"/>
    <x v="0"/>
    <n v="424835"/>
  </r>
  <r>
    <x v="87"/>
    <x v="1"/>
    <x v="1"/>
    <x v="2"/>
    <n v="131556"/>
  </r>
  <r>
    <x v="87"/>
    <x v="1"/>
    <x v="1"/>
    <x v="3"/>
    <n v="1500"/>
  </r>
  <r>
    <x v="87"/>
    <x v="1"/>
    <x v="2"/>
    <x v="0"/>
    <n v="399979"/>
  </r>
  <r>
    <x v="87"/>
    <x v="1"/>
    <x v="2"/>
    <x v="1"/>
    <n v="17863"/>
  </r>
  <r>
    <x v="87"/>
    <x v="1"/>
    <x v="2"/>
    <x v="2"/>
    <n v="141674"/>
  </r>
  <r>
    <x v="87"/>
    <x v="1"/>
    <x v="2"/>
    <x v="3"/>
    <n v="4500"/>
  </r>
  <r>
    <x v="87"/>
    <x v="1"/>
    <x v="3"/>
    <x v="0"/>
    <n v="37891"/>
  </r>
  <r>
    <x v="87"/>
    <x v="1"/>
    <x v="3"/>
    <x v="2"/>
    <n v="6291"/>
  </r>
  <r>
    <x v="88"/>
    <x v="0"/>
    <x v="1"/>
    <x v="4"/>
    <n v="26000"/>
  </r>
  <r>
    <x v="88"/>
    <x v="0"/>
    <x v="2"/>
    <x v="0"/>
    <n v="73705"/>
  </r>
  <r>
    <x v="88"/>
    <x v="0"/>
    <x v="2"/>
    <x v="1"/>
    <n v="97592"/>
  </r>
  <r>
    <x v="88"/>
    <x v="0"/>
    <x v="2"/>
    <x v="2"/>
    <n v="92041"/>
  </r>
  <r>
    <x v="88"/>
    <x v="0"/>
    <x v="2"/>
    <x v="3"/>
    <n v="2500"/>
  </r>
  <r>
    <x v="88"/>
    <x v="0"/>
    <x v="2"/>
    <x v="4"/>
    <n v="3000"/>
  </r>
  <r>
    <x v="89"/>
    <x v="0"/>
    <x v="1"/>
    <x v="3"/>
    <n v="100"/>
  </r>
  <r>
    <x v="89"/>
    <x v="0"/>
    <x v="2"/>
    <x v="1"/>
    <n v="7230"/>
  </r>
  <r>
    <x v="89"/>
    <x v="0"/>
    <x v="2"/>
    <x v="2"/>
    <n v="10056"/>
  </r>
  <r>
    <x v="89"/>
    <x v="0"/>
    <x v="2"/>
    <x v="3"/>
    <n v="100"/>
  </r>
  <r>
    <x v="89"/>
    <x v="0"/>
    <x v="2"/>
    <x v="4"/>
    <n v="80766"/>
  </r>
  <r>
    <x v="90"/>
    <x v="0"/>
    <x v="0"/>
    <x v="0"/>
    <n v="26042"/>
  </r>
  <r>
    <x v="90"/>
    <x v="0"/>
    <x v="0"/>
    <x v="2"/>
    <n v="4160"/>
  </r>
  <r>
    <x v="90"/>
    <x v="0"/>
    <x v="1"/>
    <x v="3"/>
    <n v="2000"/>
  </r>
  <r>
    <x v="90"/>
    <x v="0"/>
    <x v="1"/>
    <x v="4"/>
    <n v="238553"/>
  </r>
  <r>
    <x v="90"/>
    <x v="0"/>
    <x v="2"/>
    <x v="0"/>
    <n v="238310"/>
  </r>
  <r>
    <x v="90"/>
    <x v="0"/>
    <x v="2"/>
    <x v="1"/>
    <n v="177378"/>
  </r>
  <r>
    <x v="90"/>
    <x v="0"/>
    <x v="2"/>
    <x v="2"/>
    <n v="169903"/>
  </r>
  <r>
    <x v="90"/>
    <x v="0"/>
    <x v="2"/>
    <x v="3"/>
    <n v="7000"/>
  </r>
  <r>
    <x v="90"/>
    <x v="0"/>
    <x v="2"/>
    <x v="4"/>
    <n v="3000"/>
  </r>
  <r>
    <x v="90"/>
    <x v="0"/>
    <x v="3"/>
    <x v="0"/>
    <n v="995"/>
  </r>
  <r>
    <x v="90"/>
    <x v="0"/>
    <x v="3"/>
    <x v="2"/>
    <n v="300"/>
  </r>
  <r>
    <x v="90"/>
    <x v="0"/>
    <x v="6"/>
    <x v="0"/>
    <n v="2986"/>
  </r>
  <r>
    <x v="90"/>
    <x v="0"/>
    <x v="6"/>
    <x v="2"/>
    <n v="898"/>
  </r>
  <r>
    <x v="89"/>
    <x v="1"/>
    <x v="2"/>
    <x v="4"/>
    <n v="8751"/>
  </r>
  <r>
    <x v="90"/>
    <x v="1"/>
    <x v="1"/>
    <x v="0"/>
    <n v="68820"/>
  </r>
  <r>
    <x v="90"/>
    <x v="1"/>
    <x v="1"/>
    <x v="2"/>
    <n v="26197"/>
  </r>
  <r>
    <x v="88"/>
    <x v="1"/>
    <x v="1"/>
    <x v="4"/>
    <n v="34000"/>
  </r>
  <r>
    <x v="91"/>
    <x v="0"/>
    <x v="9"/>
    <x v="0"/>
    <n v="7230"/>
  </r>
  <r>
    <x v="91"/>
    <x v="0"/>
    <x v="9"/>
    <x v="2"/>
    <n v="32"/>
  </r>
  <r>
    <x v="91"/>
    <x v="0"/>
    <x v="2"/>
    <x v="0"/>
    <n v="77436"/>
  </r>
  <r>
    <x v="91"/>
    <x v="0"/>
    <x v="2"/>
    <x v="2"/>
    <n v="48040"/>
  </r>
  <r>
    <x v="91"/>
    <x v="0"/>
    <x v="2"/>
    <x v="3"/>
    <n v="4500"/>
  </r>
  <r>
    <x v="91"/>
    <x v="0"/>
    <x v="2"/>
    <x v="4"/>
    <n v="80500"/>
  </r>
  <r>
    <x v="91"/>
    <x v="0"/>
    <x v="4"/>
    <x v="3"/>
    <n v="500"/>
  </r>
  <r>
    <x v="91"/>
    <x v="0"/>
    <x v="5"/>
    <x v="3"/>
    <n v="1500"/>
  </r>
  <r>
    <x v="91"/>
    <x v="1"/>
    <x v="2"/>
    <x v="3"/>
    <n v="500"/>
  </r>
  <r>
    <x v="91"/>
    <x v="1"/>
    <x v="2"/>
    <x v="4"/>
    <n v="18800"/>
  </r>
  <r>
    <x v="91"/>
    <x v="1"/>
    <x v="4"/>
    <x v="3"/>
    <n v="32"/>
  </r>
  <r>
    <x v="92"/>
    <x v="0"/>
    <x v="0"/>
    <x v="0"/>
    <n v="585994"/>
  </r>
  <r>
    <x v="92"/>
    <x v="0"/>
    <x v="0"/>
    <x v="1"/>
    <n v="195719"/>
  </r>
  <r>
    <x v="92"/>
    <x v="0"/>
    <x v="0"/>
    <x v="2"/>
    <n v="199560"/>
  </r>
  <r>
    <x v="92"/>
    <x v="0"/>
    <x v="9"/>
    <x v="0"/>
    <n v="260575"/>
  </r>
  <r>
    <x v="92"/>
    <x v="0"/>
    <x v="9"/>
    <x v="2"/>
    <n v="74931"/>
  </r>
  <r>
    <x v="92"/>
    <x v="0"/>
    <x v="9"/>
    <x v="5"/>
    <n v="800"/>
  </r>
  <r>
    <x v="92"/>
    <x v="0"/>
    <x v="1"/>
    <x v="0"/>
    <n v="10896936"/>
  </r>
  <r>
    <x v="92"/>
    <x v="0"/>
    <x v="1"/>
    <x v="1"/>
    <n v="1410666"/>
  </r>
  <r>
    <x v="92"/>
    <x v="0"/>
    <x v="1"/>
    <x v="2"/>
    <n v="3776514"/>
  </r>
  <r>
    <x v="92"/>
    <x v="0"/>
    <x v="1"/>
    <x v="3"/>
    <n v="85500"/>
  </r>
  <r>
    <x v="92"/>
    <x v="0"/>
    <x v="1"/>
    <x v="5"/>
    <n v="19250"/>
  </r>
  <r>
    <x v="92"/>
    <x v="0"/>
    <x v="2"/>
    <x v="0"/>
    <n v="20043360"/>
  </r>
  <r>
    <x v="92"/>
    <x v="0"/>
    <x v="2"/>
    <x v="1"/>
    <n v="16137041"/>
  </r>
  <r>
    <x v="92"/>
    <x v="0"/>
    <x v="2"/>
    <x v="2"/>
    <n v="14796073"/>
  </r>
  <r>
    <x v="92"/>
    <x v="0"/>
    <x v="2"/>
    <x v="3"/>
    <n v="84000"/>
  </r>
  <r>
    <x v="92"/>
    <x v="0"/>
    <x v="2"/>
    <x v="4"/>
    <n v="131000"/>
  </r>
  <r>
    <x v="92"/>
    <x v="0"/>
    <x v="2"/>
    <x v="5"/>
    <n v="19250"/>
  </r>
  <r>
    <x v="92"/>
    <x v="0"/>
    <x v="10"/>
    <x v="3"/>
    <n v="15000"/>
  </r>
  <r>
    <x v="92"/>
    <x v="0"/>
    <x v="3"/>
    <x v="0"/>
    <n v="44650"/>
  </r>
  <r>
    <x v="92"/>
    <x v="0"/>
    <x v="3"/>
    <x v="2"/>
    <n v="450"/>
  </r>
  <r>
    <x v="92"/>
    <x v="0"/>
    <x v="4"/>
    <x v="3"/>
    <n v="38000"/>
  </r>
  <r>
    <x v="92"/>
    <x v="0"/>
    <x v="4"/>
    <x v="4"/>
    <n v="50000"/>
  </r>
  <r>
    <x v="92"/>
    <x v="0"/>
    <x v="5"/>
    <x v="3"/>
    <n v="60000"/>
  </r>
  <r>
    <x v="92"/>
    <x v="0"/>
    <x v="6"/>
    <x v="0"/>
    <n v="307126"/>
  </r>
  <r>
    <x v="93"/>
    <x v="0"/>
    <x v="0"/>
    <x v="0"/>
    <n v="149510"/>
  </r>
  <r>
    <x v="93"/>
    <x v="0"/>
    <x v="0"/>
    <x v="1"/>
    <n v="95493"/>
  </r>
  <r>
    <x v="93"/>
    <x v="0"/>
    <x v="0"/>
    <x v="2"/>
    <n v="84984"/>
  </r>
  <r>
    <x v="93"/>
    <x v="0"/>
    <x v="0"/>
    <x v="3"/>
    <n v="15000"/>
  </r>
  <r>
    <x v="93"/>
    <x v="0"/>
    <x v="0"/>
    <x v="4"/>
    <n v="25000"/>
  </r>
  <r>
    <x v="93"/>
    <x v="0"/>
    <x v="7"/>
    <x v="1"/>
    <n v="71453"/>
  </r>
  <r>
    <x v="93"/>
    <x v="0"/>
    <x v="7"/>
    <x v="2"/>
    <n v="20224"/>
  </r>
  <r>
    <x v="93"/>
    <x v="0"/>
    <x v="1"/>
    <x v="0"/>
    <n v="632177"/>
  </r>
  <r>
    <x v="93"/>
    <x v="0"/>
    <x v="1"/>
    <x v="1"/>
    <n v="7040"/>
  </r>
  <r>
    <x v="93"/>
    <x v="0"/>
    <x v="1"/>
    <x v="2"/>
    <n v="223134"/>
  </r>
  <r>
    <x v="93"/>
    <x v="0"/>
    <x v="1"/>
    <x v="3"/>
    <n v="8500"/>
  </r>
  <r>
    <x v="93"/>
    <x v="0"/>
    <x v="1"/>
    <x v="4"/>
    <n v="376000"/>
  </r>
  <r>
    <x v="93"/>
    <x v="0"/>
    <x v="1"/>
    <x v="5"/>
    <n v="2500"/>
  </r>
  <r>
    <x v="93"/>
    <x v="0"/>
    <x v="2"/>
    <x v="0"/>
    <n v="1529233"/>
  </r>
  <r>
    <x v="93"/>
    <x v="0"/>
    <x v="2"/>
    <x v="1"/>
    <n v="624671"/>
  </r>
  <r>
    <x v="93"/>
    <x v="0"/>
    <x v="2"/>
    <x v="2"/>
    <n v="902671"/>
  </r>
  <r>
    <x v="93"/>
    <x v="0"/>
    <x v="2"/>
    <x v="3"/>
    <n v="5950"/>
  </r>
  <r>
    <x v="93"/>
    <x v="0"/>
    <x v="2"/>
    <x v="4"/>
    <n v="256501"/>
  </r>
  <r>
    <x v="93"/>
    <x v="0"/>
    <x v="3"/>
    <x v="4"/>
    <n v="35000"/>
  </r>
  <r>
    <x v="93"/>
    <x v="0"/>
    <x v="3"/>
    <x v="5"/>
    <n v="10000"/>
  </r>
  <r>
    <x v="93"/>
    <x v="0"/>
    <x v="4"/>
    <x v="3"/>
    <n v="8000"/>
  </r>
  <r>
    <x v="93"/>
    <x v="0"/>
    <x v="4"/>
    <x v="4"/>
    <n v="7000"/>
  </r>
  <r>
    <x v="93"/>
    <x v="0"/>
    <x v="5"/>
    <x v="3"/>
    <n v="20000"/>
  </r>
  <r>
    <x v="93"/>
    <x v="0"/>
    <x v="6"/>
    <x v="0"/>
    <n v="31812"/>
  </r>
  <r>
    <x v="93"/>
    <x v="0"/>
    <x v="6"/>
    <x v="2"/>
    <n v="5181"/>
  </r>
  <r>
    <x v="92"/>
    <x v="1"/>
    <x v="0"/>
    <x v="1"/>
    <n v="120098"/>
  </r>
  <r>
    <x v="92"/>
    <x v="1"/>
    <x v="0"/>
    <x v="2"/>
    <n v="48563"/>
  </r>
  <r>
    <x v="92"/>
    <x v="1"/>
    <x v="2"/>
    <x v="0"/>
    <n v="2088607"/>
  </r>
  <r>
    <x v="92"/>
    <x v="1"/>
    <x v="2"/>
    <x v="1"/>
    <n v="1276310"/>
  </r>
  <r>
    <x v="92"/>
    <x v="1"/>
    <x v="2"/>
    <x v="2"/>
    <n v="1377679"/>
  </r>
  <r>
    <x v="93"/>
    <x v="1"/>
    <x v="2"/>
    <x v="0"/>
    <n v="13768"/>
  </r>
  <r>
    <x v="93"/>
    <x v="1"/>
    <x v="2"/>
    <x v="1"/>
    <n v="360042"/>
  </r>
  <r>
    <x v="93"/>
    <x v="1"/>
    <x v="2"/>
    <x v="2"/>
    <n v="250703"/>
  </r>
  <r>
    <x v="94"/>
    <x v="0"/>
    <x v="8"/>
    <x v="4"/>
    <n v="138615"/>
  </r>
  <r>
    <x v="95"/>
    <x v="0"/>
    <x v="2"/>
    <x v="0"/>
    <n v="52633"/>
  </r>
  <r>
    <x v="95"/>
    <x v="0"/>
    <x v="2"/>
    <x v="2"/>
    <n v="17852"/>
  </r>
  <r>
    <x v="95"/>
    <x v="0"/>
    <x v="2"/>
    <x v="3"/>
    <n v="100"/>
  </r>
  <r>
    <x v="95"/>
    <x v="0"/>
    <x v="2"/>
    <x v="4"/>
    <n v="6793"/>
  </r>
  <r>
    <x v="95"/>
    <x v="0"/>
    <x v="3"/>
    <x v="4"/>
    <n v="7950"/>
  </r>
  <r>
    <x v="95"/>
    <x v="0"/>
    <x v="4"/>
    <x v="4"/>
    <n v="1089"/>
  </r>
  <r>
    <x v="95"/>
    <x v="1"/>
    <x v="2"/>
    <x v="0"/>
    <n v="5263"/>
  </r>
  <r>
    <x v="95"/>
    <x v="1"/>
    <x v="2"/>
    <x v="2"/>
    <n v="1785"/>
  </r>
  <r>
    <x v="95"/>
    <x v="1"/>
    <x v="2"/>
    <x v="4"/>
    <n v="443"/>
  </r>
  <r>
    <x v="96"/>
    <x v="0"/>
    <x v="9"/>
    <x v="0"/>
    <n v="21299"/>
  </r>
  <r>
    <x v="96"/>
    <x v="0"/>
    <x v="9"/>
    <x v="2"/>
    <n v="7668"/>
  </r>
  <r>
    <x v="96"/>
    <x v="0"/>
    <x v="1"/>
    <x v="3"/>
    <n v="1664"/>
  </r>
  <r>
    <x v="96"/>
    <x v="0"/>
    <x v="1"/>
    <x v="4"/>
    <n v="234002"/>
  </r>
  <r>
    <x v="96"/>
    <x v="0"/>
    <x v="2"/>
    <x v="0"/>
    <n v="85108"/>
  </r>
  <r>
    <x v="96"/>
    <x v="0"/>
    <x v="2"/>
    <x v="1"/>
    <n v="30000"/>
  </r>
  <r>
    <x v="96"/>
    <x v="0"/>
    <x v="2"/>
    <x v="2"/>
    <n v="41439"/>
  </r>
  <r>
    <x v="96"/>
    <x v="1"/>
    <x v="2"/>
    <x v="0"/>
    <n v="37748"/>
  </r>
  <r>
    <x v="96"/>
    <x v="1"/>
    <x v="2"/>
    <x v="2"/>
    <n v="13589"/>
  </r>
  <r>
    <x v="97"/>
    <x v="0"/>
    <x v="0"/>
    <x v="0"/>
    <n v="98339"/>
  </r>
  <r>
    <x v="97"/>
    <x v="0"/>
    <x v="0"/>
    <x v="1"/>
    <n v="49130"/>
  </r>
  <r>
    <x v="97"/>
    <x v="0"/>
    <x v="0"/>
    <x v="2"/>
    <n v="49447"/>
  </r>
  <r>
    <x v="97"/>
    <x v="0"/>
    <x v="0"/>
    <x v="3"/>
    <n v="4500"/>
  </r>
  <r>
    <x v="97"/>
    <x v="0"/>
    <x v="7"/>
    <x v="1"/>
    <n v="30884"/>
  </r>
  <r>
    <x v="97"/>
    <x v="0"/>
    <x v="7"/>
    <x v="2"/>
    <n v="5089"/>
  </r>
  <r>
    <x v="97"/>
    <x v="0"/>
    <x v="1"/>
    <x v="0"/>
    <n v="246350"/>
  </r>
  <r>
    <x v="97"/>
    <x v="0"/>
    <x v="1"/>
    <x v="2"/>
    <n v="87342"/>
  </r>
  <r>
    <x v="97"/>
    <x v="0"/>
    <x v="1"/>
    <x v="4"/>
    <n v="80600"/>
  </r>
  <r>
    <x v="97"/>
    <x v="0"/>
    <x v="2"/>
    <x v="0"/>
    <n v="564449"/>
  </r>
  <r>
    <x v="97"/>
    <x v="0"/>
    <x v="2"/>
    <x v="1"/>
    <n v="333613"/>
  </r>
  <r>
    <x v="97"/>
    <x v="0"/>
    <x v="2"/>
    <x v="2"/>
    <n v="385830"/>
  </r>
  <r>
    <x v="97"/>
    <x v="0"/>
    <x v="2"/>
    <x v="3"/>
    <n v="45869"/>
  </r>
  <r>
    <x v="97"/>
    <x v="0"/>
    <x v="2"/>
    <x v="4"/>
    <n v="96900"/>
  </r>
  <r>
    <x v="97"/>
    <x v="0"/>
    <x v="3"/>
    <x v="0"/>
    <n v="4330"/>
  </r>
  <r>
    <x v="97"/>
    <x v="0"/>
    <x v="3"/>
    <x v="2"/>
    <n v="867"/>
  </r>
  <r>
    <x v="97"/>
    <x v="0"/>
    <x v="3"/>
    <x v="4"/>
    <n v="1000"/>
  </r>
  <r>
    <x v="97"/>
    <x v="0"/>
    <x v="3"/>
    <x v="5"/>
    <n v="800"/>
  </r>
  <r>
    <x v="97"/>
    <x v="0"/>
    <x v="4"/>
    <x v="7"/>
    <n v="1500"/>
  </r>
  <r>
    <x v="97"/>
    <x v="0"/>
    <x v="5"/>
    <x v="3"/>
    <n v="3000"/>
  </r>
  <r>
    <x v="97"/>
    <x v="0"/>
    <x v="6"/>
    <x v="0"/>
    <n v="13003"/>
  </r>
  <r>
    <x v="97"/>
    <x v="0"/>
    <x v="6"/>
    <x v="2"/>
    <n v="2181"/>
  </r>
  <r>
    <x v="97"/>
    <x v="1"/>
    <x v="2"/>
    <x v="0"/>
    <n v="8553"/>
  </r>
  <r>
    <x v="97"/>
    <x v="1"/>
    <x v="2"/>
    <x v="1"/>
    <n v="188670"/>
  </r>
  <r>
    <x v="97"/>
    <x v="1"/>
    <x v="2"/>
    <x v="2"/>
    <n v="92434"/>
  </r>
  <r>
    <x v="98"/>
    <x v="0"/>
    <x v="2"/>
    <x v="0"/>
    <n v="32112"/>
  </r>
  <r>
    <x v="98"/>
    <x v="0"/>
    <x v="2"/>
    <x v="1"/>
    <n v="32525"/>
  </r>
  <r>
    <x v="98"/>
    <x v="0"/>
    <x v="2"/>
    <x v="2"/>
    <n v="33758"/>
  </r>
  <r>
    <x v="98"/>
    <x v="0"/>
    <x v="2"/>
    <x v="3"/>
    <n v="1300"/>
  </r>
  <r>
    <x v="98"/>
    <x v="0"/>
    <x v="2"/>
    <x v="4"/>
    <n v="100"/>
  </r>
  <r>
    <x v="98"/>
    <x v="0"/>
    <x v="8"/>
    <x v="4"/>
    <n v="58650"/>
  </r>
  <r>
    <x v="98"/>
    <x v="0"/>
    <x v="3"/>
    <x v="5"/>
    <n v="100"/>
  </r>
  <r>
    <x v="98"/>
    <x v="1"/>
    <x v="1"/>
    <x v="4"/>
    <n v="11339"/>
  </r>
  <r>
    <x v="99"/>
    <x v="0"/>
    <x v="0"/>
    <x v="0"/>
    <n v="167100"/>
  </r>
  <r>
    <x v="99"/>
    <x v="0"/>
    <x v="0"/>
    <x v="1"/>
    <n v="65566"/>
  </r>
  <r>
    <x v="99"/>
    <x v="0"/>
    <x v="0"/>
    <x v="2"/>
    <n v="67320"/>
  </r>
  <r>
    <x v="99"/>
    <x v="0"/>
    <x v="0"/>
    <x v="4"/>
    <n v="3200"/>
  </r>
  <r>
    <x v="99"/>
    <x v="0"/>
    <x v="0"/>
    <x v="5"/>
    <n v="750"/>
  </r>
  <r>
    <x v="99"/>
    <x v="0"/>
    <x v="9"/>
    <x v="0"/>
    <n v="51209"/>
  </r>
  <r>
    <x v="99"/>
    <x v="0"/>
    <x v="9"/>
    <x v="2"/>
    <n v="17652"/>
  </r>
  <r>
    <x v="99"/>
    <x v="0"/>
    <x v="1"/>
    <x v="0"/>
    <n v="724778"/>
  </r>
  <r>
    <x v="99"/>
    <x v="0"/>
    <x v="1"/>
    <x v="2"/>
    <n v="207710"/>
  </r>
  <r>
    <x v="99"/>
    <x v="0"/>
    <x v="1"/>
    <x v="3"/>
    <n v="450"/>
  </r>
  <r>
    <x v="99"/>
    <x v="0"/>
    <x v="1"/>
    <x v="4"/>
    <n v="199004"/>
  </r>
  <r>
    <x v="99"/>
    <x v="0"/>
    <x v="2"/>
    <x v="0"/>
    <n v="894046"/>
  </r>
  <r>
    <x v="99"/>
    <x v="0"/>
    <x v="2"/>
    <x v="1"/>
    <n v="1003864"/>
  </r>
  <r>
    <x v="99"/>
    <x v="0"/>
    <x v="2"/>
    <x v="2"/>
    <n v="1004219"/>
  </r>
  <r>
    <x v="99"/>
    <x v="0"/>
    <x v="2"/>
    <x v="3"/>
    <n v="46900"/>
  </r>
  <r>
    <x v="99"/>
    <x v="0"/>
    <x v="2"/>
    <x v="4"/>
    <n v="530430"/>
  </r>
  <r>
    <x v="99"/>
    <x v="0"/>
    <x v="3"/>
    <x v="4"/>
    <n v="12500"/>
  </r>
  <r>
    <x v="99"/>
    <x v="0"/>
    <x v="3"/>
    <x v="5"/>
    <n v="500"/>
  </r>
  <r>
    <x v="99"/>
    <x v="0"/>
    <x v="5"/>
    <x v="3"/>
    <n v="1000"/>
  </r>
  <r>
    <x v="99"/>
    <x v="1"/>
    <x v="2"/>
    <x v="0"/>
    <n v="120449"/>
  </r>
  <r>
    <x v="99"/>
    <x v="1"/>
    <x v="2"/>
    <x v="1"/>
    <n v="59911"/>
  </r>
  <r>
    <x v="99"/>
    <x v="1"/>
    <x v="2"/>
    <x v="2"/>
    <n v="75418"/>
  </r>
  <r>
    <x v="100"/>
    <x v="0"/>
    <x v="0"/>
    <x v="1"/>
    <n v="26591"/>
  </r>
  <r>
    <x v="100"/>
    <x v="0"/>
    <x v="0"/>
    <x v="2"/>
    <n v="13078"/>
  </r>
  <r>
    <x v="100"/>
    <x v="0"/>
    <x v="7"/>
    <x v="1"/>
    <n v="2742"/>
  </r>
  <r>
    <x v="100"/>
    <x v="0"/>
    <x v="7"/>
    <x v="2"/>
    <n v="1323"/>
  </r>
  <r>
    <x v="100"/>
    <x v="0"/>
    <x v="1"/>
    <x v="4"/>
    <n v="280000"/>
  </r>
  <r>
    <x v="100"/>
    <x v="0"/>
    <x v="2"/>
    <x v="0"/>
    <n v="230998"/>
  </r>
  <r>
    <x v="100"/>
    <x v="0"/>
    <x v="2"/>
    <x v="1"/>
    <n v="196508"/>
  </r>
  <r>
    <x v="100"/>
    <x v="0"/>
    <x v="2"/>
    <x v="2"/>
    <n v="210530"/>
  </r>
  <r>
    <x v="100"/>
    <x v="0"/>
    <x v="2"/>
    <x v="3"/>
    <n v="40942"/>
  </r>
  <r>
    <x v="100"/>
    <x v="0"/>
    <x v="2"/>
    <x v="4"/>
    <n v="2500"/>
  </r>
  <r>
    <x v="100"/>
    <x v="0"/>
    <x v="4"/>
    <x v="3"/>
    <n v="1250"/>
  </r>
  <r>
    <x v="100"/>
    <x v="0"/>
    <x v="4"/>
    <x v="4"/>
    <n v="1300"/>
  </r>
  <r>
    <x v="100"/>
    <x v="0"/>
    <x v="5"/>
    <x v="3"/>
    <n v="25000"/>
  </r>
  <r>
    <x v="101"/>
    <x v="0"/>
    <x v="2"/>
    <x v="4"/>
    <n v="6503648"/>
  </r>
  <r>
    <x v="102"/>
    <x v="0"/>
    <x v="8"/>
    <x v="4"/>
    <n v="375494"/>
  </r>
  <r>
    <x v="103"/>
    <x v="0"/>
    <x v="8"/>
    <x v="4"/>
    <n v="750920"/>
  </r>
  <r>
    <x v="103"/>
    <x v="2"/>
    <x v="8"/>
    <x v="4"/>
    <n v="9000"/>
  </r>
  <r>
    <x v="104"/>
    <x v="0"/>
    <x v="0"/>
    <x v="0"/>
    <n v="1182422"/>
  </r>
  <r>
    <x v="104"/>
    <x v="0"/>
    <x v="0"/>
    <x v="1"/>
    <n v="306957"/>
  </r>
  <r>
    <x v="104"/>
    <x v="0"/>
    <x v="0"/>
    <x v="2"/>
    <n v="375924"/>
  </r>
  <r>
    <x v="104"/>
    <x v="0"/>
    <x v="0"/>
    <x v="3"/>
    <n v="21502"/>
  </r>
  <r>
    <x v="104"/>
    <x v="0"/>
    <x v="0"/>
    <x v="4"/>
    <n v="153004"/>
  </r>
  <r>
    <x v="104"/>
    <x v="0"/>
    <x v="0"/>
    <x v="5"/>
    <n v="20000"/>
  </r>
  <r>
    <x v="104"/>
    <x v="0"/>
    <x v="0"/>
    <x v="7"/>
    <n v="8500"/>
  </r>
  <r>
    <x v="104"/>
    <x v="0"/>
    <x v="11"/>
    <x v="0"/>
    <n v="214120"/>
  </r>
  <r>
    <x v="104"/>
    <x v="0"/>
    <x v="11"/>
    <x v="2"/>
    <n v="48272"/>
  </r>
  <r>
    <x v="104"/>
    <x v="0"/>
    <x v="1"/>
    <x v="0"/>
    <n v="5525269"/>
  </r>
  <r>
    <x v="104"/>
    <x v="0"/>
    <x v="1"/>
    <x v="1"/>
    <n v="428370"/>
  </r>
  <r>
    <x v="104"/>
    <x v="0"/>
    <x v="1"/>
    <x v="2"/>
    <n v="1775524"/>
  </r>
  <r>
    <x v="104"/>
    <x v="0"/>
    <x v="1"/>
    <x v="3"/>
    <n v="122162"/>
  </r>
  <r>
    <x v="104"/>
    <x v="0"/>
    <x v="1"/>
    <x v="4"/>
    <n v="1900202"/>
  </r>
  <r>
    <x v="104"/>
    <x v="0"/>
    <x v="1"/>
    <x v="5"/>
    <n v="10000"/>
  </r>
  <r>
    <x v="104"/>
    <x v="0"/>
    <x v="1"/>
    <x v="7"/>
    <n v="35838"/>
  </r>
  <r>
    <x v="104"/>
    <x v="0"/>
    <x v="2"/>
    <x v="0"/>
    <n v="12440430"/>
  </r>
  <r>
    <x v="104"/>
    <x v="0"/>
    <x v="2"/>
    <x v="1"/>
    <n v="10861254"/>
  </r>
  <r>
    <x v="104"/>
    <x v="0"/>
    <x v="2"/>
    <x v="2"/>
    <n v="9651863"/>
  </r>
  <r>
    <x v="104"/>
    <x v="0"/>
    <x v="2"/>
    <x v="3"/>
    <n v="49322"/>
  </r>
  <r>
    <x v="104"/>
    <x v="0"/>
    <x v="2"/>
    <x v="4"/>
    <n v="4758360"/>
  </r>
  <r>
    <x v="104"/>
    <x v="0"/>
    <x v="2"/>
    <x v="5"/>
    <n v="10000"/>
  </r>
  <r>
    <x v="104"/>
    <x v="0"/>
    <x v="2"/>
    <x v="7"/>
    <n v="12498"/>
  </r>
  <r>
    <x v="104"/>
    <x v="0"/>
    <x v="8"/>
    <x v="4"/>
    <n v="150000"/>
  </r>
  <r>
    <x v="104"/>
    <x v="0"/>
    <x v="5"/>
    <x v="3"/>
    <n v="202280"/>
  </r>
  <r>
    <x v="105"/>
    <x v="0"/>
    <x v="0"/>
    <x v="0"/>
    <n v="850505"/>
  </r>
  <r>
    <x v="105"/>
    <x v="0"/>
    <x v="0"/>
    <x v="1"/>
    <n v="434380"/>
  </r>
  <r>
    <x v="105"/>
    <x v="0"/>
    <x v="0"/>
    <x v="2"/>
    <n v="321968"/>
  </r>
  <r>
    <x v="105"/>
    <x v="0"/>
    <x v="0"/>
    <x v="3"/>
    <n v="4250"/>
  </r>
  <r>
    <x v="105"/>
    <x v="0"/>
    <x v="0"/>
    <x v="4"/>
    <n v="5400"/>
  </r>
  <r>
    <x v="105"/>
    <x v="0"/>
    <x v="0"/>
    <x v="5"/>
    <n v="1300"/>
  </r>
  <r>
    <x v="105"/>
    <x v="0"/>
    <x v="7"/>
    <x v="1"/>
    <n v="115770"/>
  </r>
  <r>
    <x v="105"/>
    <x v="0"/>
    <x v="7"/>
    <x v="2"/>
    <n v="47155"/>
  </r>
  <r>
    <x v="105"/>
    <x v="0"/>
    <x v="1"/>
    <x v="6"/>
    <n v="1000"/>
  </r>
  <r>
    <x v="105"/>
    <x v="0"/>
    <x v="1"/>
    <x v="0"/>
    <n v="10654414"/>
  </r>
  <r>
    <x v="105"/>
    <x v="0"/>
    <x v="1"/>
    <x v="1"/>
    <n v="718671"/>
  </r>
  <r>
    <x v="105"/>
    <x v="0"/>
    <x v="1"/>
    <x v="2"/>
    <n v="3272955"/>
  </r>
  <r>
    <x v="105"/>
    <x v="0"/>
    <x v="1"/>
    <x v="3"/>
    <n v="93170"/>
  </r>
  <r>
    <x v="105"/>
    <x v="0"/>
    <x v="1"/>
    <x v="4"/>
    <n v="1138880"/>
  </r>
  <r>
    <x v="105"/>
    <x v="0"/>
    <x v="1"/>
    <x v="5"/>
    <n v="5495"/>
  </r>
  <r>
    <x v="105"/>
    <x v="0"/>
    <x v="1"/>
    <x v="7"/>
    <n v="5000"/>
  </r>
  <r>
    <x v="105"/>
    <x v="0"/>
    <x v="2"/>
    <x v="6"/>
    <n v="127400"/>
  </r>
  <r>
    <x v="105"/>
    <x v="0"/>
    <x v="2"/>
    <x v="0"/>
    <n v="18303641"/>
  </r>
  <r>
    <x v="105"/>
    <x v="0"/>
    <x v="2"/>
    <x v="1"/>
    <n v="11736245"/>
  </r>
  <r>
    <x v="105"/>
    <x v="0"/>
    <x v="2"/>
    <x v="2"/>
    <n v="11790866"/>
  </r>
  <r>
    <x v="105"/>
    <x v="0"/>
    <x v="2"/>
    <x v="3"/>
    <n v="50120"/>
  </r>
  <r>
    <x v="105"/>
    <x v="0"/>
    <x v="2"/>
    <x v="4"/>
    <n v="6714060"/>
  </r>
  <r>
    <x v="105"/>
    <x v="0"/>
    <x v="2"/>
    <x v="5"/>
    <n v="13800"/>
  </r>
  <r>
    <x v="105"/>
    <x v="0"/>
    <x v="2"/>
    <x v="7"/>
    <n v="5000"/>
  </r>
  <r>
    <x v="105"/>
    <x v="0"/>
    <x v="8"/>
    <x v="4"/>
    <n v="1300000"/>
  </r>
  <r>
    <x v="105"/>
    <x v="0"/>
    <x v="3"/>
    <x v="0"/>
    <n v="47700"/>
  </r>
  <r>
    <x v="105"/>
    <x v="0"/>
    <x v="3"/>
    <x v="1"/>
    <n v="34300"/>
  </r>
  <r>
    <x v="105"/>
    <x v="0"/>
    <x v="3"/>
    <x v="2"/>
    <n v="16100"/>
  </r>
  <r>
    <x v="105"/>
    <x v="0"/>
    <x v="3"/>
    <x v="3"/>
    <n v="3350"/>
  </r>
  <r>
    <x v="105"/>
    <x v="0"/>
    <x v="3"/>
    <x v="4"/>
    <n v="11700"/>
  </r>
  <r>
    <x v="105"/>
    <x v="0"/>
    <x v="3"/>
    <x v="5"/>
    <n v="70"/>
  </r>
  <r>
    <x v="105"/>
    <x v="0"/>
    <x v="6"/>
    <x v="0"/>
    <n v="1231451"/>
  </r>
  <r>
    <x v="105"/>
    <x v="0"/>
    <x v="6"/>
    <x v="2"/>
    <n v="311185"/>
  </r>
  <r>
    <x v="104"/>
    <x v="1"/>
    <x v="1"/>
    <x v="0"/>
    <n v="4172700"/>
  </r>
  <r>
    <x v="104"/>
    <x v="1"/>
    <x v="1"/>
    <x v="2"/>
    <n v="1252328"/>
  </r>
  <r>
    <x v="104"/>
    <x v="1"/>
    <x v="2"/>
    <x v="0"/>
    <n v="1282333"/>
  </r>
  <r>
    <x v="104"/>
    <x v="1"/>
    <x v="2"/>
    <x v="2"/>
    <n v="368096"/>
  </r>
  <r>
    <x v="104"/>
    <x v="1"/>
    <x v="2"/>
    <x v="4"/>
    <n v="500004"/>
  </r>
  <r>
    <x v="104"/>
    <x v="1"/>
    <x v="8"/>
    <x v="4"/>
    <n v="2"/>
  </r>
  <r>
    <x v="104"/>
    <x v="1"/>
    <x v="3"/>
    <x v="4"/>
    <n v="2"/>
  </r>
  <r>
    <x v="105"/>
    <x v="1"/>
    <x v="0"/>
    <x v="1"/>
    <n v="138480"/>
  </r>
  <r>
    <x v="105"/>
    <x v="1"/>
    <x v="0"/>
    <x v="2"/>
    <n v="53727"/>
  </r>
  <r>
    <x v="105"/>
    <x v="1"/>
    <x v="9"/>
    <x v="1"/>
    <n v="48640"/>
  </r>
  <r>
    <x v="105"/>
    <x v="1"/>
    <x v="9"/>
    <x v="2"/>
    <n v="20347"/>
  </r>
  <r>
    <x v="105"/>
    <x v="1"/>
    <x v="1"/>
    <x v="0"/>
    <n v="3042671"/>
  </r>
  <r>
    <x v="105"/>
    <x v="1"/>
    <x v="1"/>
    <x v="2"/>
    <n v="844717"/>
  </r>
  <r>
    <x v="105"/>
    <x v="1"/>
    <x v="1"/>
    <x v="4"/>
    <n v="64000"/>
  </r>
  <r>
    <x v="105"/>
    <x v="1"/>
    <x v="2"/>
    <x v="0"/>
    <n v="170114"/>
  </r>
  <r>
    <x v="105"/>
    <x v="1"/>
    <x v="2"/>
    <x v="2"/>
    <n v="52415"/>
  </r>
  <r>
    <x v="105"/>
    <x v="1"/>
    <x v="2"/>
    <x v="4"/>
    <n v="375000"/>
  </r>
  <r>
    <x v="105"/>
    <x v="1"/>
    <x v="8"/>
    <x v="4"/>
    <n v="25000"/>
  </r>
  <r>
    <x v="105"/>
    <x v="1"/>
    <x v="3"/>
    <x v="0"/>
    <n v="20300"/>
  </r>
  <r>
    <x v="105"/>
    <x v="1"/>
    <x v="3"/>
    <x v="1"/>
    <n v="5900"/>
  </r>
  <r>
    <x v="105"/>
    <x v="1"/>
    <x v="3"/>
    <x v="2"/>
    <n v="6424"/>
  </r>
  <r>
    <x v="106"/>
    <x v="0"/>
    <x v="0"/>
    <x v="3"/>
    <n v="500"/>
  </r>
  <r>
    <x v="106"/>
    <x v="0"/>
    <x v="0"/>
    <x v="4"/>
    <n v="125000"/>
  </r>
  <r>
    <x v="106"/>
    <x v="0"/>
    <x v="11"/>
    <x v="1"/>
    <n v="5413"/>
  </r>
  <r>
    <x v="106"/>
    <x v="0"/>
    <x v="11"/>
    <x v="2"/>
    <n v="2594"/>
  </r>
  <r>
    <x v="106"/>
    <x v="0"/>
    <x v="1"/>
    <x v="3"/>
    <n v="500"/>
  </r>
  <r>
    <x v="106"/>
    <x v="0"/>
    <x v="2"/>
    <x v="0"/>
    <n v="212283"/>
  </r>
  <r>
    <x v="106"/>
    <x v="0"/>
    <x v="2"/>
    <x v="1"/>
    <n v="246482"/>
  </r>
  <r>
    <x v="106"/>
    <x v="0"/>
    <x v="2"/>
    <x v="2"/>
    <n v="233168"/>
  </r>
  <r>
    <x v="106"/>
    <x v="0"/>
    <x v="2"/>
    <x v="3"/>
    <n v="6750"/>
  </r>
  <r>
    <x v="106"/>
    <x v="0"/>
    <x v="2"/>
    <x v="4"/>
    <n v="125320"/>
  </r>
  <r>
    <x v="106"/>
    <x v="0"/>
    <x v="4"/>
    <x v="3"/>
    <n v="500"/>
  </r>
  <r>
    <x v="106"/>
    <x v="1"/>
    <x v="0"/>
    <x v="4"/>
    <n v="75559"/>
  </r>
  <r>
    <x v="106"/>
    <x v="1"/>
    <x v="2"/>
    <x v="1"/>
    <n v="3621"/>
  </r>
  <r>
    <x v="106"/>
    <x v="1"/>
    <x v="2"/>
    <x v="2"/>
    <n v="2270"/>
  </r>
  <r>
    <x v="107"/>
    <x v="0"/>
    <x v="0"/>
    <x v="0"/>
    <n v="104248"/>
  </r>
  <r>
    <x v="107"/>
    <x v="0"/>
    <x v="0"/>
    <x v="2"/>
    <n v="30763"/>
  </r>
  <r>
    <x v="107"/>
    <x v="0"/>
    <x v="9"/>
    <x v="1"/>
    <n v="3000"/>
  </r>
  <r>
    <x v="107"/>
    <x v="0"/>
    <x v="9"/>
    <x v="2"/>
    <n v="261"/>
  </r>
  <r>
    <x v="107"/>
    <x v="0"/>
    <x v="1"/>
    <x v="1"/>
    <n v="79644"/>
  </r>
  <r>
    <x v="107"/>
    <x v="0"/>
    <x v="1"/>
    <x v="2"/>
    <n v="44561"/>
  </r>
  <r>
    <x v="107"/>
    <x v="0"/>
    <x v="1"/>
    <x v="4"/>
    <n v="384568"/>
  </r>
  <r>
    <x v="107"/>
    <x v="0"/>
    <x v="2"/>
    <x v="0"/>
    <n v="157242"/>
  </r>
  <r>
    <x v="107"/>
    <x v="0"/>
    <x v="2"/>
    <x v="1"/>
    <n v="374171"/>
  </r>
  <r>
    <x v="107"/>
    <x v="0"/>
    <x v="2"/>
    <x v="2"/>
    <n v="283903"/>
  </r>
  <r>
    <x v="107"/>
    <x v="0"/>
    <x v="2"/>
    <x v="3"/>
    <n v="1750"/>
  </r>
  <r>
    <x v="107"/>
    <x v="0"/>
    <x v="2"/>
    <x v="4"/>
    <n v="5840"/>
  </r>
  <r>
    <x v="107"/>
    <x v="0"/>
    <x v="2"/>
    <x v="5"/>
    <n v="1000"/>
  </r>
  <r>
    <x v="107"/>
    <x v="0"/>
    <x v="3"/>
    <x v="0"/>
    <n v="1243"/>
  </r>
  <r>
    <x v="107"/>
    <x v="0"/>
    <x v="3"/>
    <x v="2"/>
    <n v="209"/>
  </r>
  <r>
    <x v="107"/>
    <x v="0"/>
    <x v="3"/>
    <x v="5"/>
    <n v="500"/>
  </r>
  <r>
    <x v="107"/>
    <x v="0"/>
    <x v="4"/>
    <x v="3"/>
    <n v="2000"/>
  </r>
  <r>
    <x v="107"/>
    <x v="0"/>
    <x v="6"/>
    <x v="0"/>
    <n v="1243"/>
  </r>
  <r>
    <x v="107"/>
    <x v="0"/>
    <x v="6"/>
    <x v="2"/>
    <n v="209"/>
  </r>
  <r>
    <x v="107"/>
    <x v="1"/>
    <x v="1"/>
    <x v="4"/>
    <n v="6309"/>
  </r>
  <r>
    <x v="107"/>
    <x v="1"/>
    <x v="2"/>
    <x v="0"/>
    <n v="130169"/>
  </r>
  <r>
    <x v="107"/>
    <x v="1"/>
    <x v="2"/>
    <x v="2"/>
    <n v="47496"/>
  </r>
  <r>
    <x v="107"/>
    <x v="2"/>
    <x v="1"/>
    <x v="4"/>
    <n v="4745"/>
  </r>
  <r>
    <x v="108"/>
    <x v="0"/>
    <x v="0"/>
    <x v="0"/>
    <n v="192276"/>
  </r>
  <r>
    <x v="108"/>
    <x v="0"/>
    <x v="0"/>
    <x v="1"/>
    <n v="117921"/>
  </r>
  <r>
    <x v="108"/>
    <x v="0"/>
    <x v="0"/>
    <x v="2"/>
    <n v="98327"/>
  </r>
  <r>
    <x v="108"/>
    <x v="0"/>
    <x v="0"/>
    <x v="3"/>
    <n v="1000"/>
  </r>
  <r>
    <x v="108"/>
    <x v="0"/>
    <x v="0"/>
    <x v="4"/>
    <n v="1500"/>
  </r>
  <r>
    <x v="108"/>
    <x v="0"/>
    <x v="0"/>
    <x v="5"/>
    <n v="1500"/>
  </r>
  <r>
    <x v="108"/>
    <x v="0"/>
    <x v="11"/>
    <x v="1"/>
    <n v="21966"/>
  </r>
  <r>
    <x v="108"/>
    <x v="0"/>
    <x v="11"/>
    <x v="2"/>
    <n v="20595"/>
  </r>
  <r>
    <x v="108"/>
    <x v="0"/>
    <x v="7"/>
    <x v="4"/>
    <n v="2500"/>
  </r>
  <r>
    <x v="108"/>
    <x v="0"/>
    <x v="1"/>
    <x v="0"/>
    <n v="1748444"/>
  </r>
  <r>
    <x v="108"/>
    <x v="0"/>
    <x v="1"/>
    <x v="1"/>
    <n v="66431"/>
  </r>
  <r>
    <x v="108"/>
    <x v="0"/>
    <x v="1"/>
    <x v="2"/>
    <n v="613880"/>
  </r>
  <r>
    <x v="108"/>
    <x v="0"/>
    <x v="1"/>
    <x v="3"/>
    <n v="14500"/>
  </r>
  <r>
    <x v="108"/>
    <x v="0"/>
    <x v="1"/>
    <x v="4"/>
    <n v="282500"/>
  </r>
  <r>
    <x v="108"/>
    <x v="0"/>
    <x v="2"/>
    <x v="0"/>
    <n v="2248611"/>
  </r>
  <r>
    <x v="108"/>
    <x v="0"/>
    <x v="2"/>
    <x v="1"/>
    <n v="1766889"/>
  </r>
  <r>
    <x v="108"/>
    <x v="0"/>
    <x v="2"/>
    <x v="2"/>
    <n v="1840442"/>
  </r>
  <r>
    <x v="108"/>
    <x v="0"/>
    <x v="2"/>
    <x v="3"/>
    <n v="29000"/>
  </r>
  <r>
    <x v="108"/>
    <x v="0"/>
    <x v="2"/>
    <x v="4"/>
    <n v="341041"/>
  </r>
  <r>
    <x v="108"/>
    <x v="0"/>
    <x v="2"/>
    <x v="5"/>
    <n v="2500"/>
  </r>
  <r>
    <x v="108"/>
    <x v="0"/>
    <x v="3"/>
    <x v="0"/>
    <n v="172043"/>
  </r>
  <r>
    <x v="108"/>
    <x v="0"/>
    <x v="3"/>
    <x v="2"/>
    <n v="27336"/>
  </r>
  <r>
    <x v="108"/>
    <x v="0"/>
    <x v="3"/>
    <x v="3"/>
    <n v="1500"/>
  </r>
  <r>
    <x v="108"/>
    <x v="0"/>
    <x v="3"/>
    <x v="4"/>
    <n v="3500"/>
  </r>
  <r>
    <x v="108"/>
    <x v="0"/>
    <x v="3"/>
    <x v="5"/>
    <n v="1000"/>
  </r>
  <r>
    <x v="108"/>
    <x v="0"/>
    <x v="4"/>
    <x v="3"/>
    <n v="8000"/>
  </r>
  <r>
    <x v="108"/>
    <x v="0"/>
    <x v="5"/>
    <x v="3"/>
    <n v="14750"/>
  </r>
  <r>
    <x v="108"/>
    <x v="1"/>
    <x v="2"/>
    <x v="0"/>
    <n v="285330"/>
  </r>
  <r>
    <x v="108"/>
    <x v="1"/>
    <x v="2"/>
    <x v="1"/>
    <n v="258502"/>
  </r>
  <r>
    <x v="108"/>
    <x v="1"/>
    <x v="2"/>
    <x v="2"/>
    <n v="247071"/>
  </r>
  <r>
    <x v="108"/>
    <x v="1"/>
    <x v="2"/>
    <x v="4"/>
    <n v="150000"/>
  </r>
  <r>
    <x v="108"/>
    <x v="1"/>
    <x v="3"/>
    <x v="0"/>
    <n v="7732"/>
  </r>
  <r>
    <x v="108"/>
    <x v="1"/>
    <x v="3"/>
    <x v="2"/>
    <n v="1239"/>
  </r>
  <r>
    <x v="100"/>
    <x v="1"/>
    <x v="1"/>
    <x v="4"/>
    <n v="68319"/>
  </r>
  <r>
    <x v="100"/>
    <x v="1"/>
    <x v="2"/>
    <x v="1"/>
    <n v="2362"/>
  </r>
  <r>
    <x v="100"/>
    <x v="1"/>
    <x v="2"/>
    <x v="2"/>
    <n v="1520"/>
  </r>
  <r>
    <x v="109"/>
    <x v="0"/>
    <x v="0"/>
    <x v="0"/>
    <n v="421540"/>
  </r>
  <r>
    <x v="109"/>
    <x v="0"/>
    <x v="0"/>
    <x v="1"/>
    <n v="264454"/>
  </r>
  <r>
    <x v="109"/>
    <x v="0"/>
    <x v="0"/>
    <x v="2"/>
    <n v="200790"/>
  </r>
  <r>
    <x v="109"/>
    <x v="0"/>
    <x v="0"/>
    <x v="3"/>
    <n v="1525"/>
  </r>
  <r>
    <x v="109"/>
    <x v="0"/>
    <x v="0"/>
    <x v="4"/>
    <n v="8800"/>
  </r>
  <r>
    <x v="109"/>
    <x v="0"/>
    <x v="0"/>
    <x v="5"/>
    <n v="36300"/>
  </r>
  <r>
    <x v="109"/>
    <x v="0"/>
    <x v="9"/>
    <x v="1"/>
    <n v="25349"/>
  </r>
  <r>
    <x v="109"/>
    <x v="0"/>
    <x v="9"/>
    <x v="2"/>
    <n v="11450"/>
  </r>
  <r>
    <x v="109"/>
    <x v="0"/>
    <x v="1"/>
    <x v="0"/>
    <n v="5530312"/>
  </r>
  <r>
    <x v="109"/>
    <x v="0"/>
    <x v="1"/>
    <x v="1"/>
    <n v="443161"/>
  </r>
  <r>
    <x v="109"/>
    <x v="0"/>
    <x v="1"/>
    <x v="2"/>
    <n v="1838575"/>
  </r>
  <r>
    <x v="109"/>
    <x v="0"/>
    <x v="1"/>
    <x v="3"/>
    <n v="9500"/>
  </r>
  <r>
    <x v="109"/>
    <x v="0"/>
    <x v="1"/>
    <x v="4"/>
    <n v="1774450"/>
  </r>
  <r>
    <x v="109"/>
    <x v="0"/>
    <x v="1"/>
    <x v="5"/>
    <n v="1700"/>
  </r>
  <r>
    <x v="109"/>
    <x v="0"/>
    <x v="2"/>
    <x v="0"/>
    <n v="9490873"/>
  </r>
  <r>
    <x v="109"/>
    <x v="0"/>
    <x v="2"/>
    <x v="1"/>
    <n v="5139128"/>
  </r>
  <r>
    <x v="109"/>
    <x v="0"/>
    <x v="2"/>
    <x v="2"/>
    <n v="5837940"/>
  </r>
  <r>
    <x v="109"/>
    <x v="0"/>
    <x v="2"/>
    <x v="3"/>
    <n v="54550"/>
  </r>
  <r>
    <x v="109"/>
    <x v="0"/>
    <x v="2"/>
    <x v="4"/>
    <n v="3512400"/>
  </r>
  <r>
    <x v="109"/>
    <x v="0"/>
    <x v="2"/>
    <x v="5"/>
    <n v="4650"/>
  </r>
  <r>
    <x v="109"/>
    <x v="0"/>
    <x v="2"/>
    <x v="7"/>
    <n v="6000"/>
  </r>
  <r>
    <x v="109"/>
    <x v="0"/>
    <x v="8"/>
    <x v="4"/>
    <n v="42300"/>
  </r>
  <r>
    <x v="109"/>
    <x v="0"/>
    <x v="3"/>
    <x v="0"/>
    <n v="138981"/>
  </r>
  <r>
    <x v="109"/>
    <x v="0"/>
    <x v="3"/>
    <x v="2"/>
    <n v="24012"/>
  </r>
  <r>
    <x v="109"/>
    <x v="0"/>
    <x v="3"/>
    <x v="4"/>
    <n v="24800"/>
  </r>
  <r>
    <x v="109"/>
    <x v="0"/>
    <x v="4"/>
    <x v="4"/>
    <n v="8200"/>
  </r>
  <r>
    <x v="109"/>
    <x v="0"/>
    <x v="4"/>
    <x v="7"/>
    <n v="8000"/>
  </r>
  <r>
    <x v="109"/>
    <x v="0"/>
    <x v="5"/>
    <x v="3"/>
    <n v="10000"/>
  </r>
  <r>
    <x v="109"/>
    <x v="0"/>
    <x v="5"/>
    <x v="4"/>
    <n v="27900"/>
  </r>
  <r>
    <x v="109"/>
    <x v="0"/>
    <x v="6"/>
    <x v="0"/>
    <n v="215871"/>
  </r>
  <r>
    <x v="109"/>
    <x v="0"/>
    <x v="6"/>
    <x v="2"/>
    <n v="37302"/>
  </r>
  <r>
    <x v="109"/>
    <x v="1"/>
    <x v="2"/>
    <x v="1"/>
    <n v="1171501"/>
  </r>
  <r>
    <x v="109"/>
    <x v="1"/>
    <x v="2"/>
    <x v="2"/>
    <n v="693183"/>
  </r>
  <r>
    <x v="109"/>
    <x v="1"/>
    <x v="2"/>
    <x v="3"/>
    <n v="30136"/>
  </r>
  <r>
    <x v="110"/>
    <x v="0"/>
    <x v="0"/>
    <x v="0"/>
    <n v="170194"/>
  </r>
  <r>
    <x v="110"/>
    <x v="0"/>
    <x v="0"/>
    <x v="1"/>
    <n v="97383"/>
  </r>
  <r>
    <x v="110"/>
    <x v="0"/>
    <x v="0"/>
    <x v="2"/>
    <n v="89001"/>
  </r>
  <r>
    <x v="110"/>
    <x v="0"/>
    <x v="0"/>
    <x v="3"/>
    <n v="103"/>
  </r>
  <r>
    <x v="110"/>
    <x v="0"/>
    <x v="0"/>
    <x v="4"/>
    <n v="2670"/>
  </r>
  <r>
    <x v="110"/>
    <x v="0"/>
    <x v="0"/>
    <x v="5"/>
    <n v="2000"/>
  </r>
  <r>
    <x v="110"/>
    <x v="0"/>
    <x v="1"/>
    <x v="0"/>
    <n v="322551"/>
  </r>
  <r>
    <x v="110"/>
    <x v="0"/>
    <x v="1"/>
    <x v="1"/>
    <n v="305502"/>
  </r>
  <r>
    <x v="110"/>
    <x v="0"/>
    <x v="1"/>
    <x v="2"/>
    <n v="278980"/>
  </r>
  <r>
    <x v="110"/>
    <x v="0"/>
    <x v="1"/>
    <x v="3"/>
    <n v="59418"/>
  </r>
  <r>
    <x v="110"/>
    <x v="0"/>
    <x v="1"/>
    <x v="4"/>
    <n v="1227772"/>
  </r>
  <r>
    <x v="110"/>
    <x v="0"/>
    <x v="1"/>
    <x v="5"/>
    <n v="1000"/>
  </r>
  <r>
    <x v="110"/>
    <x v="0"/>
    <x v="2"/>
    <x v="6"/>
    <n v="1500"/>
  </r>
  <r>
    <x v="110"/>
    <x v="0"/>
    <x v="2"/>
    <x v="0"/>
    <n v="1874952"/>
  </r>
  <r>
    <x v="110"/>
    <x v="0"/>
    <x v="2"/>
    <x v="1"/>
    <n v="1133024"/>
  </r>
  <r>
    <x v="110"/>
    <x v="0"/>
    <x v="2"/>
    <x v="2"/>
    <n v="1385072"/>
  </r>
  <r>
    <x v="110"/>
    <x v="0"/>
    <x v="2"/>
    <x v="3"/>
    <n v="87160"/>
  </r>
  <r>
    <x v="110"/>
    <x v="0"/>
    <x v="2"/>
    <x v="4"/>
    <n v="534873"/>
  </r>
  <r>
    <x v="110"/>
    <x v="0"/>
    <x v="3"/>
    <x v="0"/>
    <n v="48407"/>
  </r>
  <r>
    <x v="110"/>
    <x v="0"/>
    <x v="3"/>
    <x v="1"/>
    <n v="5000"/>
  </r>
  <r>
    <x v="110"/>
    <x v="0"/>
    <x v="3"/>
    <x v="2"/>
    <n v="8263"/>
  </r>
  <r>
    <x v="110"/>
    <x v="0"/>
    <x v="3"/>
    <x v="4"/>
    <n v="200"/>
  </r>
  <r>
    <x v="110"/>
    <x v="0"/>
    <x v="4"/>
    <x v="4"/>
    <n v="2000"/>
  </r>
  <r>
    <x v="110"/>
    <x v="0"/>
    <x v="6"/>
    <x v="0"/>
    <n v="55612"/>
  </r>
  <r>
    <x v="110"/>
    <x v="0"/>
    <x v="6"/>
    <x v="2"/>
    <n v="9042"/>
  </r>
  <r>
    <x v="110"/>
    <x v="1"/>
    <x v="2"/>
    <x v="1"/>
    <n v="465104"/>
  </r>
  <r>
    <x v="110"/>
    <x v="1"/>
    <x v="2"/>
    <x v="2"/>
    <n v="302888"/>
  </r>
  <r>
    <x v="110"/>
    <x v="1"/>
    <x v="2"/>
    <x v="3"/>
    <n v="3672"/>
  </r>
  <r>
    <x v="110"/>
    <x v="1"/>
    <x v="3"/>
    <x v="4"/>
    <n v="3745"/>
  </r>
  <r>
    <x v="111"/>
    <x v="0"/>
    <x v="0"/>
    <x v="0"/>
    <n v="1202621"/>
  </r>
  <r>
    <x v="111"/>
    <x v="0"/>
    <x v="0"/>
    <x v="1"/>
    <n v="273750"/>
  </r>
  <r>
    <x v="111"/>
    <x v="0"/>
    <x v="0"/>
    <x v="2"/>
    <n v="409537"/>
  </r>
  <r>
    <x v="111"/>
    <x v="0"/>
    <x v="0"/>
    <x v="3"/>
    <n v="5200"/>
  </r>
  <r>
    <x v="111"/>
    <x v="0"/>
    <x v="0"/>
    <x v="4"/>
    <n v="50000"/>
  </r>
  <r>
    <x v="111"/>
    <x v="0"/>
    <x v="0"/>
    <x v="5"/>
    <n v="5000"/>
  </r>
  <r>
    <x v="111"/>
    <x v="0"/>
    <x v="11"/>
    <x v="1"/>
    <n v="436985"/>
  </r>
  <r>
    <x v="111"/>
    <x v="0"/>
    <x v="11"/>
    <x v="2"/>
    <n v="242067"/>
  </r>
  <r>
    <x v="111"/>
    <x v="0"/>
    <x v="11"/>
    <x v="5"/>
    <n v="1000"/>
  </r>
  <r>
    <x v="111"/>
    <x v="0"/>
    <x v="7"/>
    <x v="1"/>
    <n v="101354"/>
  </r>
  <r>
    <x v="111"/>
    <x v="0"/>
    <x v="7"/>
    <x v="2"/>
    <n v="69359"/>
  </r>
  <r>
    <x v="111"/>
    <x v="0"/>
    <x v="1"/>
    <x v="0"/>
    <n v="10876116"/>
  </r>
  <r>
    <x v="111"/>
    <x v="0"/>
    <x v="1"/>
    <x v="1"/>
    <n v="393369"/>
  </r>
  <r>
    <x v="111"/>
    <x v="0"/>
    <x v="1"/>
    <x v="2"/>
    <n v="3493227"/>
  </r>
  <r>
    <x v="111"/>
    <x v="0"/>
    <x v="1"/>
    <x v="3"/>
    <n v="83500"/>
  </r>
  <r>
    <x v="111"/>
    <x v="0"/>
    <x v="1"/>
    <x v="4"/>
    <n v="250000"/>
  </r>
  <r>
    <x v="111"/>
    <x v="0"/>
    <x v="1"/>
    <x v="5"/>
    <n v="5000"/>
  </r>
  <r>
    <x v="111"/>
    <x v="0"/>
    <x v="2"/>
    <x v="0"/>
    <n v="22882964"/>
  </r>
  <r>
    <x v="111"/>
    <x v="0"/>
    <x v="2"/>
    <x v="1"/>
    <n v="14518352"/>
  </r>
  <r>
    <x v="111"/>
    <x v="0"/>
    <x v="2"/>
    <x v="2"/>
    <n v="16591446"/>
  </r>
  <r>
    <x v="111"/>
    <x v="0"/>
    <x v="2"/>
    <x v="3"/>
    <n v="33149"/>
  </r>
  <r>
    <x v="111"/>
    <x v="0"/>
    <x v="2"/>
    <x v="4"/>
    <n v="1229830"/>
  </r>
  <r>
    <x v="111"/>
    <x v="0"/>
    <x v="2"/>
    <x v="5"/>
    <n v="5750"/>
  </r>
  <r>
    <x v="111"/>
    <x v="0"/>
    <x v="3"/>
    <x v="0"/>
    <n v="820834"/>
  </r>
  <r>
    <x v="111"/>
    <x v="0"/>
    <x v="3"/>
    <x v="2"/>
    <n v="182125"/>
  </r>
  <r>
    <x v="111"/>
    <x v="0"/>
    <x v="3"/>
    <x v="3"/>
    <n v="1500"/>
  </r>
  <r>
    <x v="111"/>
    <x v="0"/>
    <x v="3"/>
    <x v="5"/>
    <n v="1200"/>
  </r>
  <r>
    <x v="111"/>
    <x v="0"/>
    <x v="4"/>
    <x v="3"/>
    <n v="300000"/>
  </r>
  <r>
    <x v="111"/>
    <x v="0"/>
    <x v="6"/>
    <x v="0"/>
    <n v="570629"/>
  </r>
  <r>
    <x v="111"/>
    <x v="0"/>
    <x v="6"/>
    <x v="2"/>
    <n v="105286"/>
  </r>
  <r>
    <x v="111"/>
    <x v="1"/>
    <x v="2"/>
    <x v="1"/>
    <n v="3169970"/>
  </r>
  <r>
    <x v="111"/>
    <x v="1"/>
    <x v="2"/>
    <x v="2"/>
    <n v="2191631"/>
  </r>
  <r>
    <x v="112"/>
    <x v="0"/>
    <x v="0"/>
    <x v="0"/>
    <n v="85799"/>
  </r>
  <r>
    <x v="112"/>
    <x v="0"/>
    <x v="0"/>
    <x v="1"/>
    <n v="60923"/>
  </r>
  <r>
    <x v="112"/>
    <x v="0"/>
    <x v="0"/>
    <x v="2"/>
    <n v="45927"/>
  </r>
  <r>
    <x v="112"/>
    <x v="0"/>
    <x v="0"/>
    <x v="3"/>
    <n v="4500"/>
  </r>
  <r>
    <x v="112"/>
    <x v="0"/>
    <x v="0"/>
    <x v="4"/>
    <n v="9550"/>
  </r>
  <r>
    <x v="112"/>
    <x v="0"/>
    <x v="0"/>
    <x v="5"/>
    <n v="250"/>
  </r>
  <r>
    <x v="112"/>
    <x v="0"/>
    <x v="1"/>
    <x v="0"/>
    <n v="506555"/>
  </r>
  <r>
    <x v="112"/>
    <x v="0"/>
    <x v="1"/>
    <x v="1"/>
    <n v="33389"/>
  </r>
  <r>
    <x v="112"/>
    <x v="0"/>
    <x v="1"/>
    <x v="2"/>
    <n v="145065"/>
  </r>
  <r>
    <x v="112"/>
    <x v="0"/>
    <x v="1"/>
    <x v="3"/>
    <n v="12000"/>
  </r>
  <r>
    <x v="112"/>
    <x v="0"/>
    <x v="1"/>
    <x v="4"/>
    <n v="525000"/>
  </r>
  <r>
    <x v="112"/>
    <x v="0"/>
    <x v="2"/>
    <x v="0"/>
    <n v="1129690"/>
  </r>
  <r>
    <x v="112"/>
    <x v="0"/>
    <x v="2"/>
    <x v="1"/>
    <n v="902582"/>
  </r>
  <r>
    <x v="112"/>
    <x v="0"/>
    <x v="2"/>
    <x v="2"/>
    <n v="947180"/>
  </r>
  <r>
    <x v="112"/>
    <x v="0"/>
    <x v="2"/>
    <x v="3"/>
    <n v="16000"/>
  </r>
  <r>
    <x v="112"/>
    <x v="0"/>
    <x v="3"/>
    <x v="0"/>
    <n v="8426"/>
  </r>
  <r>
    <x v="112"/>
    <x v="0"/>
    <x v="3"/>
    <x v="2"/>
    <n v="2584"/>
  </r>
  <r>
    <x v="112"/>
    <x v="0"/>
    <x v="3"/>
    <x v="4"/>
    <n v="10000"/>
  </r>
  <r>
    <x v="112"/>
    <x v="0"/>
    <x v="4"/>
    <x v="3"/>
    <n v="4000"/>
  </r>
  <r>
    <x v="112"/>
    <x v="0"/>
    <x v="5"/>
    <x v="3"/>
    <n v="2000"/>
  </r>
  <r>
    <x v="112"/>
    <x v="0"/>
    <x v="5"/>
    <x v="4"/>
    <n v="2000"/>
  </r>
  <r>
    <x v="112"/>
    <x v="0"/>
    <x v="6"/>
    <x v="0"/>
    <n v="19926"/>
  </r>
  <r>
    <x v="112"/>
    <x v="0"/>
    <x v="6"/>
    <x v="2"/>
    <n v="6265"/>
  </r>
  <r>
    <x v="112"/>
    <x v="1"/>
    <x v="2"/>
    <x v="0"/>
    <n v="330151"/>
  </r>
  <r>
    <x v="112"/>
    <x v="1"/>
    <x v="2"/>
    <x v="1"/>
    <n v="13024"/>
  </r>
  <r>
    <x v="112"/>
    <x v="1"/>
    <x v="2"/>
    <x v="2"/>
    <n v="107091"/>
  </r>
  <r>
    <x v="113"/>
    <x v="0"/>
    <x v="2"/>
    <x v="1"/>
    <n v="27811"/>
  </r>
  <r>
    <x v="113"/>
    <x v="0"/>
    <x v="2"/>
    <x v="3"/>
    <n v="333"/>
  </r>
  <r>
    <x v="113"/>
    <x v="0"/>
    <x v="2"/>
    <x v="4"/>
    <n v="277"/>
  </r>
  <r>
    <x v="113"/>
    <x v="0"/>
    <x v="2"/>
    <x v="5"/>
    <n v="555"/>
  </r>
  <r>
    <x v="113"/>
    <x v="0"/>
    <x v="8"/>
    <x v="4"/>
    <n v="108722"/>
  </r>
  <r>
    <x v="114"/>
    <x v="0"/>
    <x v="8"/>
    <x v="4"/>
    <n v="1023595"/>
  </r>
  <r>
    <x v="115"/>
    <x v="0"/>
    <x v="0"/>
    <x v="0"/>
    <n v="1337667"/>
  </r>
  <r>
    <x v="115"/>
    <x v="0"/>
    <x v="0"/>
    <x v="1"/>
    <n v="1042117"/>
  </r>
  <r>
    <x v="115"/>
    <x v="0"/>
    <x v="0"/>
    <x v="2"/>
    <n v="661414"/>
  </r>
  <r>
    <x v="115"/>
    <x v="0"/>
    <x v="0"/>
    <x v="3"/>
    <n v="9500"/>
  </r>
  <r>
    <x v="115"/>
    <x v="0"/>
    <x v="0"/>
    <x v="4"/>
    <n v="9928"/>
  </r>
  <r>
    <x v="115"/>
    <x v="0"/>
    <x v="0"/>
    <x v="5"/>
    <n v="3200"/>
  </r>
  <r>
    <x v="115"/>
    <x v="0"/>
    <x v="11"/>
    <x v="1"/>
    <n v="49806"/>
  </r>
  <r>
    <x v="115"/>
    <x v="0"/>
    <x v="11"/>
    <x v="2"/>
    <n v="23248"/>
  </r>
  <r>
    <x v="115"/>
    <x v="0"/>
    <x v="9"/>
    <x v="3"/>
    <n v="91475"/>
  </r>
  <r>
    <x v="115"/>
    <x v="0"/>
    <x v="1"/>
    <x v="0"/>
    <n v="9613820"/>
  </r>
  <r>
    <x v="115"/>
    <x v="0"/>
    <x v="1"/>
    <x v="1"/>
    <n v="618210"/>
  </r>
  <r>
    <x v="115"/>
    <x v="0"/>
    <x v="1"/>
    <x v="2"/>
    <n v="3118638"/>
  </r>
  <r>
    <x v="115"/>
    <x v="0"/>
    <x v="1"/>
    <x v="3"/>
    <n v="32230"/>
  </r>
  <r>
    <x v="115"/>
    <x v="0"/>
    <x v="1"/>
    <x v="4"/>
    <n v="175000"/>
  </r>
  <r>
    <x v="115"/>
    <x v="0"/>
    <x v="1"/>
    <x v="5"/>
    <n v="9800"/>
  </r>
  <r>
    <x v="115"/>
    <x v="0"/>
    <x v="2"/>
    <x v="6"/>
    <n v="226932"/>
  </r>
  <r>
    <x v="115"/>
    <x v="0"/>
    <x v="2"/>
    <x v="0"/>
    <n v="16973003"/>
  </r>
  <r>
    <x v="115"/>
    <x v="0"/>
    <x v="2"/>
    <x v="1"/>
    <n v="16837678"/>
  </r>
  <r>
    <x v="115"/>
    <x v="0"/>
    <x v="2"/>
    <x v="2"/>
    <n v="15169066"/>
  </r>
  <r>
    <x v="115"/>
    <x v="0"/>
    <x v="2"/>
    <x v="3"/>
    <n v="59051"/>
  </r>
  <r>
    <x v="115"/>
    <x v="0"/>
    <x v="2"/>
    <x v="4"/>
    <n v="14068691"/>
  </r>
  <r>
    <x v="115"/>
    <x v="0"/>
    <x v="2"/>
    <x v="5"/>
    <n v="16079"/>
  </r>
  <r>
    <x v="115"/>
    <x v="0"/>
    <x v="8"/>
    <x v="4"/>
    <n v="55109"/>
  </r>
  <r>
    <x v="115"/>
    <x v="0"/>
    <x v="3"/>
    <x v="6"/>
    <n v="4400"/>
  </r>
  <r>
    <x v="115"/>
    <x v="0"/>
    <x v="3"/>
    <x v="0"/>
    <n v="1656524"/>
  </r>
  <r>
    <x v="115"/>
    <x v="0"/>
    <x v="3"/>
    <x v="1"/>
    <n v="74984"/>
  </r>
  <r>
    <x v="115"/>
    <x v="0"/>
    <x v="3"/>
    <x v="2"/>
    <n v="426029"/>
  </r>
  <r>
    <x v="115"/>
    <x v="0"/>
    <x v="3"/>
    <x v="4"/>
    <n v="500"/>
  </r>
  <r>
    <x v="115"/>
    <x v="0"/>
    <x v="5"/>
    <x v="3"/>
    <n v="85263"/>
  </r>
  <r>
    <x v="115"/>
    <x v="1"/>
    <x v="0"/>
    <x v="1"/>
    <n v="87268"/>
  </r>
  <r>
    <x v="115"/>
    <x v="1"/>
    <x v="0"/>
    <x v="2"/>
    <n v="29897"/>
  </r>
  <r>
    <x v="115"/>
    <x v="1"/>
    <x v="1"/>
    <x v="1"/>
    <n v="371369"/>
  </r>
  <r>
    <x v="115"/>
    <x v="1"/>
    <x v="1"/>
    <x v="2"/>
    <n v="155692"/>
  </r>
  <r>
    <x v="115"/>
    <x v="1"/>
    <x v="2"/>
    <x v="0"/>
    <n v="3775444"/>
  </r>
  <r>
    <x v="115"/>
    <x v="1"/>
    <x v="2"/>
    <x v="1"/>
    <n v="3284"/>
  </r>
  <r>
    <x v="115"/>
    <x v="1"/>
    <x v="2"/>
    <x v="2"/>
    <n v="1170954"/>
  </r>
  <r>
    <x v="115"/>
    <x v="1"/>
    <x v="2"/>
    <x v="3"/>
    <n v="14545"/>
  </r>
  <r>
    <x v="115"/>
    <x v="1"/>
    <x v="2"/>
    <x v="4"/>
    <n v="1838042"/>
  </r>
  <r>
    <x v="116"/>
    <x v="0"/>
    <x v="1"/>
    <x v="4"/>
    <n v="382500"/>
  </r>
  <r>
    <x v="116"/>
    <x v="0"/>
    <x v="2"/>
    <x v="0"/>
    <n v="169284"/>
  </r>
  <r>
    <x v="116"/>
    <x v="0"/>
    <x v="2"/>
    <x v="1"/>
    <n v="100133"/>
  </r>
  <r>
    <x v="116"/>
    <x v="0"/>
    <x v="2"/>
    <x v="2"/>
    <n v="80825"/>
  </r>
  <r>
    <x v="117"/>
    <x v="0"/>
    <x v="0"/>
    <x v="0"/>
    <n v="242648"/>
  </r>
  <r>
    <x v="117"/>
    <x v="0"/>
    <x v="0"/>
    <x v="1"/>
    <n v="33359"/>
  </r>
  <r>
    <x v="117"/>
    <x v="0"/>
    <x v="0"/>
    <x v="2"/>
    <n v="79971"/>
  </r>
  <r>
    <x v="117"/>
    <x v="0"/>
    <x v="0"/>
    <x v="3"/>
    <n v="2500"/>
  </r>
  <r>
    <x v="117"/>
    <x v="0"/>
    <x v="9"/>
    <x v="1"/>
    <n v="29332"/>
  </r>
  <r>
    <x v="117"/>
    <x v="0"/>
    <x v="9"/>
    <x v="2"/>
    <n v="17430"/>
  </r>
  <r>
    <x v="117"/>
    <x v="0"/>
    <x v="1"/>
    <x v="0"/>
    <n v="197482"/>
  </r>
  <r>
    <x v="117"/>
    <x v="0"/>
    <x v="1"/>
    <x v="1"/>
    <n v="112680"/>
  </r>
  <r>
    <x v="117"/>
    <x v="0"/>
    <x v="1"/>
    <x v="2"/>
    <n v="72412"/>
  </r>
  <r>
    <x v="117"/>
    <x v="0"/>
    <x v="1"/>
    <x v="4"/>
    <n v="257388"/>
  </r>
  <r>
    <x v="117"/>
    <x v="0"/>
    <x v="2"/>
    <x v="0"/>
    <n v="741439"/>
  </r>
  <r>
    <x v="117"/>
    <x v="0"/>
    <x v="2"/>
    <x v="1"/>
    <n v="247322"/>
  </r>
  <r>
    <x v="117"/>
    <x v="0"/>
    <x v="2"/>
    <x v="2"/>
    <n v="424868"/>
  </r>
  <r>
    <x v="117"/>
    <x v="0"/>
    <x v="2"/>
    <x v="3"/>
    <n v="79648"/>
  </r>
  <r>
    <x v="117"/>
    <x v="0"/>
    <x v="2"/>
    <x v="4"/>
    <n v="83831"/>
  </r>
  <r>
    <x v="117"/>
    <x v="0"/>
    <x v="2"/>
    <x v="7"/>
    <n v="149239"/>
  </r>
  <r>
    <x v="117"/>
    <x v="0"/>
    <x v="6"/>
    <x v="0"/>
    <n v="62"/>
  </r>
  <r>
    <x v="118"/>
    <x v="0"/>
    <x v="0"/>
    <x v="0"/>
    <n v="14729"/>
  </r>
  <r>
    <x v="118"/>
    <x v="0"/>
    <x v="0"/>
    <x v="2"/>
    <n v="5821"/>
  </r>
  <r>
    <x v="118"/>
    <x v="0"/>
    <x v="1"/>
    <x v="4"/>
    <n v="24199"/>
  </r>
  <r>
    <x v="118"/>
    <x v="0"/>
    <x v="2"/>
    <x v="0"/>
    <n v="9916"/>
  </r>
  <r>
    <x v="118"/>
    <x v="0"/>
    <x v="2"/>
    <x v="1"/>
    <n v="19934"/>
  </r>
  <r>
    <x v="118"/>
    <x v="0"/>
    <x v="2"/>
    <x v="2"/>
    <n v="17711"/>
  </r>
  <r>
    <x v="117"/>
    <x v="1"/>
    <x v="2"/>
    <x v="1"/>
    <n v="182072"/>
  </r>
  <r>
    <x v="117"/>
    <x v="1"/>
    <x v="2"/>
    <x v="2"/>
    <n v="131234"/>
  </r>
  <r>
    <x v="117"/>
    <x v="1"/>
    <x v="2"/>
    <x v="3"/>
    <n v="4148"/>
  </r>
  <r>
    <x v="117"/>
    <x v="1"/>
    <x v="3"/>
    <x v="4"/>
    <n v="4733"/>
  </r>
  <r>
    <x v="116"/>
    <x v="1"/>
    <x v="1"/>
    <x v="4"/>
    <n v="32962"/>
  </r>
  <r>
    <x v="116"/>
    <x v="1"/>
    <x v="2"/>
    <x v="3"/>
    <n v="6469"/>
  </r>
  <r>
    <x v="118"/>
    <x v="1"/>
    <x v="1"/>
    <x v="4"/>
    <n v="9438"/>
  </r>
  <r>
    <x v="117"/>
    <x v="2"/>
    <x v="2"/>
    <x v="3"/>
    <n v="18000"/>
  </r>
  <r>
    <x v="119"/>
    <x v="0"/>
    <x v="8"/>
    <x v="4"/>
    <n v="2720472"/>
  </r>
  <r>
    <x v="120"/>
    <x v="0"/>
    <x v="2"/>
    <x v="3"/>
    <n v="3500"/>
  </r>
  <r>
    <x v="120"/>
    <x v="0"/>
    <x v="2"/>
    <x v="4"/>
    <n v="163278"/>
  </r>
  <r>
    <x v="121"/>
    <x v="0"/>
    <x v="0"/>
    <x v="0"/>
    <n v="171483"/>
  </r>
  <r>
    <x v="121"/>
    <x v="0"/>
    <x v="0"/>
    <x v="1"/>
    <n v="87250"/>
  </r>
  <r>
    <x v="121"/>
    <x v="0"/>
    <x v="0"/>
    <x v="2"/>
    <n v="67351"/>
  </r>
  <r>
    <x v="121"/>
    <x v="0"/>
    <x v="0"/>
    <x v="4"/>
    <n v="4000"/>
  </r>
  <r>
    <x v="121"/>
    <x v="0"/>
    <x v="0"/>
    <x v="5"/>
    <n v="200"/>
  </r>
  <r>
    <x v="121"/>
    <x v="0"/>
    <x v="7"/>
    <x v="1"/>
    <n v="14700"/>
  </r>
  <r>
    <x v="121"/>
    <x v="0"/>
    <x v="7"/>
    <x v="2"/>
    <n v="7559"/>
  </r>
  <r>
    <x v="121"/>
    <x v="0"/>
    <x v="1"/>
    <x v="0"/>
    <n v="445592"/>
  </r>
  <r>
    <x v="121"/>
    <x v="0"/>
    <x v="1"/>
    <x v="1"/>
    <n v="56077"/>
  </r>
  <r>
    <x v="121"/>
    <x v="0"/>
    <x v="1"/>
    <x v="2"/>
    <n v="171530"/>
  </r>
  <r>
    <x v="121"/>
    <x v="0"/>
    <x v="1"/>
    <x v="3"/>
    <n v="6000"/>
  </r>
  <r>
    <x v="121"/>
    <x v="0"/>
    <x v="2"/>
    <x v="0"/>
    <n v="1785617"/>
  </r>
  <r>
    <x v="121"/>
    <x v="0"/>
    <x v="2"/>
    <x v="1"/>
    <n v="2193105"/>
  </r>
  <r>
    <x v="121"/>
    <x v="0"/>
    <x v="2"/>
    <x v="2"/>
    <n v="1807075"/>
  </r>
  <r>
    <x v="121"/>
    <x v="0"/>
    <x v="2"/>
    <x v="3"/>
    <n v="18000"/>
  </r>
  <r>
    <x v="121"/>
    <x v="0"/>
    <x v="2"/>
    <x v="4"/>
    <n v="1658000"/>
  </r>
  <r>
    <x v="121"/>
    <x v="0"/>
    <x v="3"/>
    <x v="0"/>
    <n v="132576"/>
  </r>
  <r>
    <x v="121"/>
    <x v="0"/>
    <x v="3"/>
    <x v="2"/>
    <n v="20009"/>
  </r>
  <r>
    <x v="121"/>
    <x v="0"/>
    <x v="5"/>
    <x v="3"/>
    <n v="1000"/>
  </r>
  <r>
    <x v="121"/>
    <x v="0"/>
    <x v="6"/>
    <x v="0"/>
    <n v="39315"/>
  </r>
  <r>
    <x v="121"/>
    <x v="0"/>
    <x v="6"/>
    <x v="2"/>
    <n v="6102"/>
  </r>
  <r>
    <x v="121"/>
    <x v="1"/>
    <x v="1"/>
    <x v="0"/>
    <n v="526912"/>
  </r>
  <r>
    <x v="121"/>
    <x v="1"/>
    <x v="1"/>
    <x v="2"/>
    <n v="163472"/>
  </r>
  <r>
    <x v="121"/>
    <x v="1"/>
    <x v="2"/>
    <x v="0"/>
    <n v="10159"/>
  </r>
  <r>
    <x v="121"/>
    <x v="1"/>
    <x v="2"/>
    <x v="1"/>
    <n v="5384"/>
  </r>
  <r>
    <x v="121"/>
    <x v="1"/>
    <x v="2"/>
    <x v="2"/>
    <n v="3016"/>
  </r>
  <r>
    <x v="121"/>
    <x v="1"/>
    <x v="3"/>
    <x v="0"/>
    <n v="32858"/>
  </r>
  <r>
    <x v="121"/>
    <x v="1"/>
    <x v="3"/>
    <x v="2"/>
    <n v="5178"/>
  </r>
  <r>
    <x v="122"/>
    <x v="0"/>
    <x v="0"/>
    <x v="0"/>
    <n v="385610"/>
  </r>
  <r>
    <x v="122"/>
    <x v="0"/>
    <x v="0"/>
    <x v="1"/>
    <n v="80143"/>
  </r>
  <r>
    <x v="122"/>
    <x v="0"/>
    <x v="0"/>
    <x v="2"/>
    <n v="119737"/>
  </r>
  <r>
    <x v="122"/>
    <x v="0"/>
    <x v="0"/>
    <x v="4"/>
    <n v="925"/>
  </r>
  <r>
    <x v="122"/>
    <x v="0"/>
    <x v="9"/>
    <x v="4"/>
    <n v="5000"/>
  </r>
  <r>
    <x v="122"/>
    <x v="0"/>
    <x v="9"/>
    <x v="5"/>
    <n v="7000"/>
  </r>
  <r>
    <x v="122"/>
    <x v="0"/>
    <x v="7"/>
    <x v="1"/>
    <n v="41472"/>
  </r>
  <r>
    <x v="122"/>
    <x v="0"/>
    <x v="7"/>
    <x v="2"/>
    <n v="25116"/>
  </r>
  <r>
    <x v="122"/>
    <x v="0"/>
    <x v="1"/>
    <x v="0"/>
    <n v="336660"/>
  </r>
  <r>
    <x v="122"/>
    <x v="0"/>
    <x v="1"/>
    <x v="1"/>
    <n v="226295"/>
  </r>
  <r>
    <x v="122"/>
    <x v="0"/>
    <x v="1"/>
    <x v="2"/>
    <n v="220926"/>
  </r>
  <r>
    <x v="122"/>
    <x v="0"/>
    <x v="1"/>
    <x v="3"/>
    <n v="2000"/>
  </r>
  <r>
    <x v="122"/>
    <x v="0"/>
    <x v="1"/>
    <x v="4"/>
    <n v="128000"/>
  </r>
  <r>
    <x v="122"/>
    <x v="0"/>
    <x v="2"/>
    <x v="0"/>
    <n v="2447747"/>
  </r>
  <r>
    <x v="122"/>
    <x v="0"/>
    <x v="2"/>
    <x v="1"/>
    <n v="1402220"/>
  </r>
  <r>
    <x v="122"/>
    <x v="0"/>
    <x v="2"/>
    <x v="2"/>
    <n v="1594225"/>
  </r>
  <r>
    <x v="122"/>
    <x v="0"/>
    <x v="2"/>
    <x v="3"/>
    <n v="26500"/>
  </r>
  <r>
    <x v="122"/>
    <x v="0"/>
    <x v="2"/>
    <x v="4"/>
    <n v="837000"/>
  </r>
  <r>
    <x v="122"/>
    <x v="0"/>
    <x v="8"/>
    <x v="4"/>
    <n v="1142000"/>
  </r>
  <r>
    <x v="122"/>
    <x v="0"/>
    <x v="3"/>
    <x v="4"/>
    <n v="3000"/>
  </r>
  <r>
    <x v="123"/>
    <x v="0"/>
    <x v="1"/>
    <x v="4"/>
    <n v="169859"/>
  </r>
  <r>
    <x v="123"/>
    <x v="0"/>
    <x v="2"/>
    <x v="0"/>
    <n v="268108"/>
  </r>
  <r>
    <x v="123"/>
    <x v="0"/>
    <x v="2"/>
    <x v="1"/>
    <n v="184338"/>
  </r>
  <r>
    <x v="123"/>
    <x v="0"/>
    <x v="2"/>
    <x v="2"/>
    <n v="191814"/>
  </r>
  <r>
    <x v="122"/>
    <x v="1"/>
    <x v="1"/>
    <x v="0"/>
    <n v="352198"/>
  </r>
  <r>
    <x v="122"/>
    <x v="1"/>
    <x v="1"/>
    <x v="2"/>
    <n v="103727"/>
  </r>
  <r>
    <x v="122"/>
    <x v="1"/>
    <x v="2"/>
    <x v="4"/>
    <n v="45000"/>
  </r>
  <r>
    <x v="123"/>
    <x v="1"/>
    <x v="1"/>
    <x v="4"/>
    <n v="60529"/>
  </r>
  <r>
    <x v="124"/>
    <x v="0"/>
    <x v="0"/>
    <x v="6"/>
    <n v="50"/>
  </r>
  <r>
    <x v="124"/>
    <x v="0"/>
    <x v="0"/>
    <x v="0"/>
    <n v="1902226"/>
  </r>
  <r>
    <x v="124"/>
    <x v="0"/>
    <x v="0"/>
    <x v="1"/>
    <n v="397387"/>
  </r>
  <r>
    <x v="124"/>
    <x v="0"/>
    <x v="0"/>
    <x v="2"/>
    <n v="666473"/>
  </r>
  <r>
    <x v="124"/>
    <x v="0"/>
    <x v="0"/>
    <x v="3"/>
    <n v="2500"/>
  </r>
  <r>
    <x v="124"/>
    <x v="0"/>
    <x v="0"/>
    <x v="4"/>
    <n v="4950"/>
  </r>
  <r>
    <x v="124"/>
    <x v="0"/>
    <x v="0"/>
    <x v="5"/>
    <n v="2000"/>
  </r>
  <r>
    <x v="124"/>
    <x v="0"/>
    <x v="1"/>
    <x v="6"/>
    <n v="1464"/>
  </r>
  <r>
    <x v="124"/>
    <x v="0"/>
    <x v="1"/>
    <x v="0"/>
    <n v="11137559"/>
  </r>
  <r>
    <x v="124"/>
    <x v="0"/>
    <x v="1"/>
    <x v="1"/>
    <n v="1052742"/>
  </r>
  <r>
    <x v="124"/>
    <x v="0"/>
    <x v="1"/>
    <x v="2"/>
    <n v="3944849"/>
  </r>
  <r>
    <x v="124"/>
    <x v="0"/>
    <x v="1"/>
    <x v="3"/>
    <n v="133750"/>
  </r>
  <r>
    <x v="124"/>
    <x v="0"/>
    <x v="1"/>
    <x v="4"/>
    <n v="63225"/>
  </r>
  <r>
    <x v="124"/>
    <x v="0"/>
    <x v="1"/>
    <x v="5"/>
    <n v="11750"/>
  </r>
  <r>
    <x v="124"/>
    <x v="0"/>
    <x v="2"/>
    <x v="6"/>
    <n v="15313"/>
  </r>
  <r>
    <x v="124"/>
    <x v="0"/>
    <x v="2"/>
    <x v="0"/>
    <n v="12957205"/>
  </r>
  <r>
    <x v="124"/>
    <x v="0"/>
    <x v="2"/>
    <x v="1"/>
    <n v="12715108"/>
  </r>
  <r>
    <x v="124"/>
    <x v="0"/>
    <x v="2"/>
    <x v="2"/>
    <n v="11939881"/>
  </r>
  <r>
    <x v="124"/>
    <x v="0"/>
    <x v="2"/>
    <x v="3"/>
    <n v="86220"/>
  </r>
  <r>
    <x v="124"/>
    <x v="0"/>
    <x v="2"/>
    <x v="4"/>
    <n v="6774162"/>
  </r>
  <r>
    <x v="124"/>
    <x v="0"/>
    <x v="2"/>
    <x v="5"/>
    <n v="13600"/>
  </r>
  <r>
    <x v="124"/>
    <x v="0"/>
    <x v="8"/>
    <x v="4"/>
    <n v="60000"/>
  </r>
  <r>
    <x v="124"/>
    <x v="0"/>
    <x v="3"/>
    <x v="0"/>
    <n v="282292"/>
  </r>
  <r>
    <x v="124"/>
    <x v="0"/>
    <x v="3"/>
    <x v="1"/>
    <n v="59036"/>
  </r>
  <r>
    <x v="124"/>
    <x v="0"/>
    <x v="3"/>
    <x v="2"/>
    <n v="72032"/>
  </r>
  <r>
    <x v="124"/>
    <x v="0"/>
    <x v="3"/>
    <x v="3"/>
    <n v="8000"/>
  </r>
  <r>
    <x v="124"/>
    <x v="0"/>
    <x v="3"/>
    <x v="4"/>
    <n v="32050"/>
  </r>
  <r>
    <x v="124"/>
    <x v="0"/>
    <x v="3"/>
    <x v="5"/>
    <n v="4100"/>
  </r>
  <r>
    <x v="124"/>
    <x v="0"/>
    <x v="4"/>
    <x v="3"/>
    <n v="11900"/>
  </r>
  <r>
    <x v="124"/>
    <x v="0"/>
    <x v="5"/>
    <x v="3"/>
    <n v="35000"/>
  </r>
  <r>
    <x v="124"/>
    <x v="0"/>
    <x v="5"/>
    <x v="4"/>
    <n v="45500"/>
  </r>
  <r>
    <x v="124"/>
    <x v="0"/>
    <x v="6"/>
    <x v="0"/>
    <n v="681000"/>
  </r>
  <r>
    <x v="124"/>
    <x v="0"/>
    <x v="6"/>
    <x v="2"/>
    <n v="112380"/>
  </r>
  <r>
    <x v="124"/>
    <x v="1"/>
    <x v="0"/>
    <x v="0"/>
    <n v="58029"/>
  </r>
  <r>
    <x v="124"/>
    <x v="1"/>
    <x v="0"/>
    <x v="2"/>
    <n v="17348"/>
  </r>
  <r>
    <x v="124"/>
    <x v="1"/>
    <x v="2"/>
    <x v="0"/>
    <n v="3704590"/>
  </r>
  <r>
    <x v="124"/>
    <x v="1"/>
    <x v="2"/>
    <x v="1"/>
    <n v="2000"/>
  </r>
  <r>
    <x v="124"/>
    <x v="1"/>
    <x v="2"/>
    <x v="2"/>
    <n v="1198876"/>
  </r>
  <r>
    <x v="124"/>
    <x v="1"/>
    <x v="3"/>
    <x v="0"/>
    <n v="112039"/>
  </r>
  <r>
    <x v="124"/>
    <x v="1"/>
    <x v="3"/>
    <x v="2"/>
    <n v="18517"/>
  </r>
  <r>
    <x v="125"/>
    <x v="0"/>
    <x v="2"/>
    <x v="4"/>
    <n v="1122141"/>
  </r>
  <r>
    <x v="126"/>
    <x v="0"/>
    <x v="2"/>
    <x v="0"/>
    <n v="42724"/>
  </r>
  <r>
    <x v="126"/>
    <x v="0"/>
    <x v="2"/>
    <x v="1"/>
    <n v="22420"/>
  </r>
  <r>
    <x v="126"/>
    <x v="0"/>
    <x v="2"/>
    <x v="2"/>
    <n v="26935"/>
  </r>
  <r>
    <x v="126"/>
    <x v="0"/>
    <x v="2"/>
    <x v="3"/>
    <n v="1000"/>
  </r>
  <r>
    <x v="126"/>
    <x v="1"/>
    <x v="2"/>
    <x v="4"/>
    <n v="10000"/>
  </r>
  <r>
    <x v="126"/>
    <x v="2"/>
    <x v="1"/>
    <x v="4"/>
    <n v="5000"/>
  </r>
  <r>
    <x v="126"/>
    <x v="2"/>
    <x v="8"/>
    <x v="4"/>
    <n v="1377"/>
  </r>
  <r>
    <x v="127"/>
    <x v="0"/>
    <x v="1"/>
    <x v="4"/>
    <n v="14000"/>
  </r>
  <r>
    <x v="127"/>
    <x v="0"/>
    <x v="1"/>
    <x v="5"/>
    <n v="500"/>
  </r>
  <r>
    <x v="127"/>
    <x v="0"/>
    <x v="2"/>
    <x v="0"/>
    <n v="64552"/>
  </r>
  <r>
    <x v="127"/>
    <x v="0"/>
    <x v="2"/>
    <x v="1"/>
    <n v="10530"/>
  </r>
  <r>
    <x v="127"/>
    <x v="0"/>
    <x v="2"/>
    <x v="2"/>
    <n v="24282"/>
  </r>
  <r>
    <x v="127"/>
    <x v="0"/>
    <x v="2"/>
    <x v="3"/>
    <n v="800"/>
  </r>
  <r>
    <x v="127"/>
    <x v="0"/>
    <x v="2"/>
    <x v="4"/>
    <n v="335"/>
  </r>
  <r>
    <x v="128"/>
    <x v="0"/>
    <x v="2"/>
    <x v="0"/>
    <n v="170239"/>
  </r>
  <r>
    <x v="128"/>
    <x v="0"/>
    <x v="2"/>
    <x v="1"/>
    <n v="142748"/>
  </r>
  <r>
    <x v="128"/>
    <x v="0"/>
    <x v="2"/>
    <x v="2"/>
    <n v="140076"/>
  </r>
  <r>
    <x v="128"/>
    <x v="0"/>
    <x v="8"/>
    <x v="4"/>
    <n v="170000"/>
  </r>
  <r>
    <x v="128"/>
    <x v="0"/>
    <x v="6"/>
    <x v="0"/>
    <n v="3783"/>
  </r>
  <r>
    <x v="128"/>
    <x v="0"/>
    <x v="6"/>
    <x v="2"/>
    <n v="587"/>
  </r>
  <r>
    <x v="127"/>
    <x v="1"/>
    <x v="1"/>
    <x v="4"/>
    <n v="5300"/>
  </r>
  <r>
    <x v="128"/>
    <x v="1"/>
    <x v="8"/>
    <x v="4"/>
    <n v="50000"/>
  </r>
  <r>
    <x v="129"/>
    <x v="0"/>
    <x v="1"/>
    <x v="4"/>
    <n v="760222"/>
  </r>
  <r>
    <x v="129"/>
    <x v="0"/>
    <x v="2"/>
    <x v="0"/>
    <n v="277515"/>
  </r>
  <r>
    <x v="129"/>
    <x v="0"/>
    <x v="2"/>
    <x v="1"/>
    <n v="248306"/>
  </r>
  <r>
    <x v="129"/>
    <x v="0"/>
    <x v="2"/>
    <x v="2"/>
    <n v="157747"/>
  </r>
  <r>
    <x v="129"/>
    <x v="0"/>
    <x v="2"/>
    <x v="3"/>
    <n v="10614"/>
  </r>
  <r>
    <x v="129"/>
    <x v="1"/>
    <x v="2"/>
    <x v="1"/>
    <n v="70304"/>
  </r>
  <r>
    <x v="129"/>
    <x v="1"/>
    <x v="2"/>
    <x v="2"/>
    <n v="21091"/>
  </r>
  <r>
    <x v="130"/>
    <x v="0"/>
    <x v="0"/>
    <x v="6"/>
    <n v="1650"/>
  </r>
  <r>
    <x v="130"/>
    <x v="0"/>
    <x v="0"/>
    <x v="0"/>
    <n v="347710"/>
  </r>
  <r>
    <x v="130"/>
    <x v="0"/>
    <x v="0"/>
    <x v="1"/>
    <n v="135330"/>
  </r>
  <r>
    <x v="130"/>
    <x v="0"/>
    <x v="0"/>
    <x v="2"/>
    <n v="136243"/>
  </r>
  <r>
    <x v="130"/>
    <x v="0"/>
    <x v="0"/>
    <x v="3"/>
    <n v="3500"/>
  </r>
  <r>
    <x v="130"/>
    <x v="0"/>
    <x v="0"/>
    <x v="4"/>
    <n v="15710"/>
  </r>
  <r>
    <x v="130"/>
    <x v="0"/>
    <x v="0"/>
    <x v="5"/>
    <n v="3000"/>
  </r>
  <r>
    <x v="130"/>
    <x v="0"/>
    <x v="7"/>
    <x v="1"/>
    <n v="17720"/>
  </r>
  <r>
    <x v="130"/>
    <x v="0"/>
    <x v="7"/>
    <x v="2"/>
    <n v="12068"/>
  </r>
  <r>
    <x v="130"/>
    <x v="0"/>
    <x v="1"/>
    <x v="0"/>
    <n v="1170385"/>
  </r>
  <r>
    <x v="130"/>
    <x v="0"/>
    <x v="1"/>
    <x v="1"/>
    <n v="131696"/>
  </r>
  <r>
    <x v="130"/>
    <x v="0"/>
    <x v="1"/>
    <x v="2"/>
    <n v="482646"/>
  </r>
  <r>
    <x v="130"/>
    <x v="0"/>
    <x v="1"/>
    <x v="3"/>
    <n v="23000"/>
  </r>
  <r>
    <x v="130"/>
    <x v="0"/>
    <x v="1"/>
    <x v="4"/>
    <n v="1725155"/>
  </r>
  <r>
    <x v="130"/>
    <x v="0"/>
    <x v="1"/>
    <x v="5"/>
    <n v="11000"/>
  </r>
  <r>
    <x v="130"/>
    <x v="0"/>
    <x v="2"/>
    <x v="6"/>
    <n v="1700"/>
  </r>
  <r>
    <x v="130"/>
    <x v="0"/>
    <x v="2"/>
    <x v="0"/>
    <n v="2528401"/>
  </r>
  <r>
    <x v="130"/>
    <x v="0"/>
    <x v="2"/>
    <x v="1"/>
    <n v="2546716"/>
  </r>
  <r>
    <x v="130"/>
    <x v="0"/>
    <x v="2"/>
    <x v="2"/>
    <n v="2608219"/>
  </r>
  <r>
    <x v="130"/>
    <x v="0"/>
    <x v="2"/>
    <x v="3"/>
    <n v="20400"/>
  </r>
  <r>
    <x v="130"/>
    <x v="0"/>
    <x v="2"/>
    <x v="4"/>
    <n v="1854000"/>
  </r>
  <r>
    <x v="130"/>
    <x v="0"/>
    <x v="2"/>
    <x v="5"/>
    <n v="1500"/>
  </r>
  <r>
    <x v="130"/>
    <x v="0"/>
    <x v="3"/>
    <x v="0"/>
    <n v="5000"/>
  </r>
  <r>
    <x v="130"/>
    <x v="0"/>
    <x v="3"/>
    <x v="1"/>
    <n v="4000"/>
  </r>
  <r>
    <x v="130"/>
    <x v="0"/>
    <x v="3"/>
    <x v="2"/>
    <n v="1281"/>
  </r>
  <r>
    <x v="130"/>
    <x v="0"/>
    <x v="3"/>
    <x v="3"/>
    <n v="1000"/>
  </r>
  <r>
    <x v="130"/>
    <x v="0"/>
    <x v="3"/>
    <x v="4"/>
    <n v="5800"/>
  </r>
  <r>
    <x v="130"/>
    <x v="0"/>
    <x v="3"/>
    <x v="5"/>
    <n v="1000"/>
  </r>
  <r>
    <x v="130"/>
    <x v="0"/>
    <x v="4"/>
    <x v="3"/>
    <n v="500"/>
  </r>
  <r>
    <x v="130"/>
    <x v="0"/>
    <x v="5"/>
    <x v="3"/>
    <n v="5000"/>
  </r>
  <r>
    <x v="130"/>
    <x v="0"/>
    <x v="5"/>
    <x v="4"/>
    <n v="25000"/>
  </r>
  <r>
    <x v="130"/>
    <x v="0"/>
    <x v="6"/>
    <x v="0"/>
    <n v="68755"/>
  </r>
  <r>
    <x v="130"/>
    <x v="0"/>
    <x v="6"/>
    <x v="2"/>
    <n v="23243"/>
  </r>
  <r>
    <x v="131"/>
    <x v="0"/>
    <x v="11"/>
    <x v="4"/>
    <n v="2500"/>
  </r>
  <r>
    <x v="131"/>
    <x v="0"/>
    <x v="11"/>
    <x v="5"/>
    <n v="500"/>
  </r>
  <r>
    <x v="131"/>
    <x v="0"/>
    <x v="1"/>
    <x v="4"/>
    <n v="5200"/>
  </r>
  <r>
    <x v="131"/>
    <x v="0"/>
    <x v="2"/>
    <x v="0"/>
    <n v="195442"/>
  </r>
  <r>
    <x v="131"/>
    <x v="0"/>
    <x v="2"/>
    <x v="1"/>
    <n v="130717"/>
  </r>
  <r>
    <x v="131"/>
    <x v="0"/>
    <x v="2"/>
    <x v="2"/>
    <n v="155736"/>
  </r>
  <r>
    <x v="131"/>
    <x v="0"/>
    <x v="2"/>
    <x v="3"/>
    <n v="1001"/>
  </r>
  <r>
    <x v="131"/>
    <x v="0"/>
    <x v="2"/>
    <x v="4"/>
    <n v="1389768"/>
  </r>
  <r>
    <x v="131"/>
    <x v="0"/>
    <x v="8"/>
    <x v="4"/>
    <n v="85000"/>
  </r>
  <r>
    <x v="131"/>
    <x v="0"/>
    <x v="3"/>
    <x v="0"/>
    <n v="1685"/>
  </r>
  <r>
    <x v="131"/>
    <x v="0"/>
    <x v="3"/>
    <x v="2"/>
    <n v="299"/>
  </r>
  <r>
    <x v="131"/>
    <x v="0"/>
    <x v="3"/>
    <x v="4"/>
    <n v="500"/>
  </r>
  <r>
    <x v="131"/>
    <x v="0"/>
    <x v="4"/>
    <x v="3"/>
    <n v="200"/>
  </r>
  <r>
    <x v="131"/>
    <x v="0"/>
    <x v="5"/>
    <x v="3"/>
    <n v="1500"/>
  </r>
  <r>
    <x v="131"/>
    <x v="0"/>
    <x v="6"/>
    <x v="0"/>
    <n v="1264"/>
  </r>
  <r>
    <x v="131"/>
    <x v="0"/>
    <x v="6"/>
    <x v="2"/>
    <n v="224"/>
  </r>
  <r>
    <x v="62"/>
    <x v="0"/>
    <x v="0"/>
    <x v="0"/>
    <n v="160477"/>
  </r>
  <r>
    <x v="62"/>
    <x v="0"/>
    <x v="0"/>
    <x v="1"/>
    <n v="135757"/>
  </r>
  <r>
    <x v="62"/>
    <x v="0"/>
    <x v="0"/>
    <x v="2"/>
    <n v="95620"/>
  </r>
  <r>
    <x v="62"/>
    <x v="0"/>
    <x v="0"/>
    <x v="3"/>
    <n v="24000"/>
  </r>
  <r>
    <x v="62"/>
    <x v="0"/>
    <x v="0"/>
    <x v="4"/>
    <n v="31200"/>
  </r>
  <r>
    <x v="62"/>
    <x v="0"/>
    <x v="0"/>
    <x v="5"/>
    <n v="1000"/>
  </r>
  <r>
    <x v="62"/>
    <x v="0"/>
    <x v="7"/>
    <x v="1"/>
    <n v="83000"/>
  </r>
  <r>
    <x v="62"/>
    <x v="0"/>
    <x v="7"/>
    <x v="2"/>
    <n v="400"/>
  </r>
  <r>
    <x v="62"/>
    <x v="0"/>
    <x v="7"/>
    <x v="3"/>
    <n v="2000"/>
  </r>
  <r>
    <x v="62"/>
    <x v="0"/>
    <x v="1"/>
    <x v="0"/>
    <n v="2097756"/>
  </r>
  <r>
    <x v="62"/>
    <x v="0"/>
    <x v="1"/>
    <x v="1"/>
    <n v="128929"/>
  </r>
  <r>
    <x v="62"/>
    <x v="0"/>
    <x v="1"/>
    <x v="2"/>
    <n v="743869"/>
  </r>
  <r>
    <x v="62"/>
    <x v="0"/>
    <x v="1"/>
    <x v="3"/>
    <n v="26500"/>
  </r>
  <r>
    <x v="62"/>
    <x v="0"/>
    <x v="1"/>
    <x v="4"/>
    <n v="5100"/>
  </r>
  <r>
    <x v="62"/>
    <x v="0"/>
    <x v="1"/>
    <x v="5"/>
    <n v="1000"/>
  </r>
  <r>
    <x v="62"/>
    <x v="0"/>
    <x v="2"/>
    <x v="6"/>
    <n v="9000"/>
  </r>
  <r>
    <x v="62"/>
    <x v="0"/>
    <x v="2"/>
    <x v="0"/>
    <n v="4090842"/>
  </r>
  <r>
    <x v="62"/>
    <x v="0"/>
    <x v="2"/>
    <x v="1"/>
    <n v="2492705"/>
  </r>
  <r>
    <x v="62"/>
    <x v="0"/>
    <x v="2"/>
    <x v="2"/>
    <n v="2845379"/>
  </r>
  <r>
    <x v="62"/>
    <x v="0"/>
    <x v="2"/>
    <x v="3"/>
    <n v="63000"/>
  </r>
  <r>
    <x v="62"/>
    <x v="0"/>
    <x v="2"/>
    <x v="4"/>
    <n v="1569500"/>
  </r>
  <r>
    <x v="62"/>
    <x v="0"/>
    <x v="2"/>
    <x v="5"/>
    <n v="1900"/>
  </r>
  <r>
    <x v="62"/>
    <x v="0"/>
    <x v="10"/>
    <x v="1"/>
    <n v="3000"/>
  </r>
  <r>
    <x v="62"/>
    <x v="0"/>
    <x v="10"/>
    <x v="2"/>
    <n v="600"/>
  </r>
  <r>
    <x v="62"/>
    <x v="0"/>
    <x v="8"/>
    <x v="4"/>
    <n v="500000"/>
  </r>
  <r>
    <x v="62"/>
    <x v="0"/>
    <x v="3"/>
    <x v="0"/>
    <n v="114029"/>
  </r>
  <r>
    <x v="62"/>
    <x v="0"/>
    <x v="3"/>
    <x v="1"/>
    <n v="4000"/>
  </r>
  <r>
    <x v="62"/>
    <x v="0"/>
    <x v="3"/>
    <x v="2"/>
    <n v="33014"/>
  </r>
  <r>
    <x v="62"/>
    <x v="0"/>
    <x v="3"/>
    <x v="4"/>
    <n v="28350"/>
  </r>
  <r>
    <x v="62"/>
    <x v="0"/>
    <x v="3"/>
    <x v="5"/>
    <n v="8000"/>
  </r>
  <r>
    <x v="62"/>
    <x v="0"/>
    <x v="5"/>
    <x v="3"/>
    <n v="10000"/>
  </r>
  <r>
    <x v="62"/>
    <x v="0"/>
    <x v="5"/>
    <x v="4"/>
    <n v="6000"/>
  </r>
  <r>
    <x v="62"/>
    <x v="0"/>
    <x v="6"/>
    <x v="0"/>
    <n v="103316"/>
  </r>
  <r>
    <x v="62"/>
    <x v="0"/>
    <x v="6"/>
    <x v="2"/>
    <n v="34637"/>
  </r>
  <r>
    <x v="131"/>
    <x v="1"/>
    <x v="1"/>
    <x v="4"/>
    <n v="137039"/>
  </r>
  <r>
    <x v="130"/>
    <x v="1"/>
    <x v="2"/>
    <x v="0"/>
    <n v="744408"/>
  </r>
  <r>
    <x v="130"/>
    <x v="1"/>
    <x v="2"/>
    <x v="1"/>
    <n v="99896"/>
  </r>
  <r>
    <x v="130"/>
    <x v="1"/>
    <x v="2"/>
    <x v="2"/>
    <n v="312058"/>
  </r>
  <r>
    <x v="62"/>
    <x v="1"/>
    <x v="2"/>
    <x v="1"/>
    <n v="605401"/>
  </r>
  <r>
    <x v="62"/>
    <x v="1"/>
    <x v="2"/>
    <x v="2"/>
    <n v="337136"/>
  </r>
  <r>
    <x v="132"/>
    <x v="0"/>
    <x v="0"/>
    <x v="0"/>
    <n v="86003"/>
  </r>
  <r>
    <x v="132"/>
    <x v="0"/>
    <x v="0"/>
    <x v="2"/>
    <n v="27097"/>
  </r>
  <r>
    <x v="132"/>
    <x v="0"/>
    <x v="0"/>
    <x v="3"/>
    <n v="600"/>
  </r>
  <r>
    <x v="132"/>
    <x v="0"/>
    <x v="0"/>
    <x v="4"/>
    <n v="200"/>
  </r>
  <r>
    <x v="132"/>
    <x v="0"/>
    <x v="1"/>
    <x v="0"/>
    <n v="86737"/>
  </r>
  <r>
    <x v="132"/>
    <x v="0"/>
    <x v="1"/>
    <x v="2"/>
    <n v="45678"/>
  </r>
  <r>
    <x v="132"/>
    <x v="0"/>
    <x v="1"/>
    <x v="3"/>
    <n v="2000"/>
  </r>
  <r>
    <x v="132"/>
    <x v="0"/>
    <x v="1"/>
    <x v="4"/>
    <n v="425000"/>
  </r>
  <r>
    <x v="132"/>
    <x v="0"/>
    <x v="2"/>
    <x v="0"/>
    <n v="91213"/>
  </r>
  <r>
    <x v="132"/>
    <x v="0"/>
    <x v="2"/>
    <x v="1"/>
    <n v="163966"/>
  </r>
  <r>
    <x v="132"/>
    <x v="0"/>
    <x v="2"/>
    <x v="2"/>
    <n v="148523"/>
  </r>
  <r>
    <x v="132"/>
    <x v="0"/>
    <x v="2"/>
    <x v="3"/>
    <n v="4101"/>
  </r>
  <r>
    <x v="132"/>
    <x v="0"/>
    <x v="2"/>
    <x v="4"/>
    <n v="16984"/>
  </r>
  <r>
    <x v="132"/>
    <x v="0"/>
    <x v="2"/>
    <x v="5"/>
    <n v="1000"/>
  </r>
  <r>
    <x v="132"/>
    <x v="0"/>
    <x v="3"/>
    <x v="0"/>
    <n v="1994"/>
  </r>
  <r>
    <x v="132"/>
    <x v="0"/>
    <x v="3"/>
    <x v="1"/>
    <n v="1999"/>
  </r>
  <r>
    <x v="132"/>
    <x v="0"/>
    <x v="3"/>
    <x v="2"/>
    <n v="687"/>
  </r>
  <r>
    <x v="132"/>
    <x v="0"/>
    <x v="3"/>
    <x v="4"/>
    <n v="3250"/>
  </r>
  <r>
    <x v="132"/>
    <x v="0"/>
    <x v="3"/>
    <x v="5"/>
    <n v="300"/>
  </r>
  <r>
    <x v="132"/>
    <x v="0"/>
    <x v="4"/>
    <x v="3"/>
    <n v="500"/>
  </r>
  <r>
    <x v="132"/>
    <x v="0"/>
    <x v="5"/>
    <x v="3"/>
    <n v="600"/>
  </r>
  <r>
    <x v="132"/>
    <x v="1"/>
    <x v="2"/>
    <x v="0"/>
    <n v="96703"/>
  </r>
  <r>
    <x v="132"/>
    <x v="1"/>
    <x v="2"/>
    <x v="1"/>
    <n v="17719"/>
  </r>
  <r>
    <x v="132"/>
    <x v="1"/>
    <x v="2"/>
    <x v="2"/>
    <n v="43334"/>
  </r>
  <r>
    <x v="133"/>
    <x v="0"/>
    <x v="1"/>
    <x v="4"/>
    <n v="441913"/>
  </r>
  <r>
    <x v="133"/>
    <x v="0"/>
    <x v="2"/>
    <x v="0"/>
    <n v="175694"/>
  </r>
  <r>
    <x v="133"/>
    <x v="0"/>
    <x v="2"/>
    <x v="1"/>
    <n v="142236"/>
  </r>
  <r>
    <x v="133"/>
    <x v="0"/>
    <x v="2"/>
    <x v="2"/>
    <n v="95379"/>
  </r>
  <r>
    <x v="133"/>
    <x v="1"/>
    <x v="1"/>
    <x v="4"/>
    <n v="61386"/>
  </r>
  <r>
    <x v="134"/>
    <x v="0"/>
    <x v="0"/>
    <x v="0"/>
    <n v="140310"/>
  </r>
  <r>
    <x v="134"/>
    <x v="0"/>
    <x v="0"/>
    <x v="1"/>
    <n v="82060"/>
  </r>
  <r>
    <x v="134"/>
    <x v="0"/>
    <x v="0"/>
    <x v="2"/>
    <n v="76410"/>
  </r>
  <r>
    <x v="134"/>
    <x v="0"/>
    <x v="7"/>
    <x v="1"/>
    <n v="16084"/>
  </r>
  <r>
    <x v="134"/>
    <x v="0"/>
    <x v="7"/>
    <x v="2"/>
    <n v="8969"/>
  </r>
  <r>
    <x v="134"/>
    <x v="0"/>
    <x v="1"/>
    <x v="0"/>
    <n v="695427"/>
  </r>
  <r>
    <x v="134"/>
    <x v="0"/>
    <x v="1"/>
    <x v="2"/>
    <n v="260788"/>
  </r>
  <r>
    <x v="134"/>
    <x v="0"/>
    <x v="1"/>
    <x v="3"/>
    <n v="5250"/>
  </r>
  <r>
    <x v="134"/>
    <x v="0"/>
    <x v="1"/>
    <x v="4"/>
    <n v="266500"/>
  </r>
  <r>
    <x v="134"/>
    <x v="0"/>
    <x v="2"/>
    <x v="0"/>
    <n v="1787821"/>
  </r>
  <r>
    <x v="134"/>
    <x v="0"/>
    <x v="2"/>
    <x v="1"/>
    <n v="887794"/>
  </r>
  <r>
    <x v="134"/>
    <x v="0"/>
    <x v="2"/>
    <x v="2"/>
    <n v="1147369"/>
  </r>
  <r>
    <x v="134"/>
    <x v="0"/>
    <x v="2"/>
    <x v="3"/>
    <n v="11025"/>
  </r>
  <r>
    <x v="134"/>
    <x v="0"/>
    <x v="8"/>
    <x v="4"/>
    <n v="330750"/>
  </r>
  <r>
    <x v="134"/>
    <x v="1"/>
    <x v="2"/>
    <x v="0"/>
    <n v="134488"/>
  </r>
  <r>
    <x v="134"/>
    <x v="1"/>
    <x v="2"/>
    <x v="1"/>
    <n v="8562"/>
  </r>
  <r>
    <x v="134"/>
    <x v="1"/>
    <x v="2"/>
    <x v="2"/>
    <n v="126974"/>
  </r>
  <r>
    <x v="134"/>
    <x v="2"/>
    <x v="2"/>
    <x v="4"/>
    <n v="17803"/>
  </r>
  <r>
    <x v="135"/>
    <x v="0"/>
    <x v="0"/>
    <x v="0"/>
    <n v="3489"/>
  </r>
  <r>
    <x v="135"/>
    <x v="0"/>
    <x v="0"/>
    <x v="2"/>
    <n v="16412"/>
  </r>
  <r>
    <x v="135"/>
    <x v="0"/>
    <x v="0"/>
    <x v="4"/>
    <n v="30189"/>
  </r>
  <r>
    <x v="135"/>
    <x v="0"/>
    <x v="11"/>
    <x v="3"/>
    <n v="410"/>
  </r>
  <r>
    <x v="135"/>
    <x v="0"/>
    <x v="1"/>
    <x v="4"/>
    <n v="417523"/>
  </r>
  <r>
    <x v="135"/>
    <x v="0"/>
    <x v="2"/>
    <x v="0"/>
    <n v="347473"/>
  </r>
  <r>
    <x v="135"/>
    <x v="0"/>
    <x v="2"/>
    <x v="1"/>
    <n v="194783"/>
  </r>
  <r>
    <x v="135"/>
    <x v="0"/>
    <x v="2"/>
    <x v="2"/>
    <n v="333607"/>
  </r>
  <r>
    <x v="135"/>
    <x v="0"/>
    <x v="2"/>
    <x v="3"/>
    <n v="44315"/>
  </r>
  <r>
    <x v="135"/>
    <x v="0"/>
    <x v="2"/>
    <x v="4"/>
    <n v="13266"/>
  </r>
  <r>
    <x v="135"/>
    <x v="0"/>
    <x v="2"/>
    <x v="5"/>
    <n v="15000"/>
  </r>
  <r>
    <x v="135"/>
    <x v="0"/>
    <x v="2"/>
    <x v="7"/>
    <n v="15000"/>
  </r>
  <r>
    <x v="135"/>
    <x v="0"/>
    <x v="3"/>
    <x v="3"/>
    <n v="2000"/>
  </r>
  <r>
    <x v="135"/>
    <x v="0"/>
    <x v="3"/>
    <x v="4"/>
    <n v="1000"/>
  </r>
  <r>
    <x v="135"/>
    <x v="0"/>
    <x v="3"/>
    <x v="5"/>
    <n v="5000"/>
  </r>
  <r>
    <x v="135"/>
    <x v="1"/>
    <x v="2"/>
    <x v="0"/>
    <n v="36577"/>
  </r>
  <r>
    <x v="135"/>
    <x v="1"/>
    <x v="2"/>
    <x v="1"/>
    <n v="55127"/>
  </r>
  <r>
    <x v="135"/>
    <x v="1"/>
    <x v="2"/>
    <x v="2"/>
    <n v="56194"/>
  </r>
  <r>
    <x v="135"/>
    <x v="1"/>
    <x v="2"/>
    <x v="3"/>
    <n v="1222"/>
  </r>
  <r>
    <x v="136"/>
    <x v="0"/>
    <x v="2"/>
    <x v="4"/>
    <n v="164461"/>
  </r>
  <r>
    <x v="137"/>
    <x v="0"/>
    <x v="0"/>
    <x v="1"/>
    <n v="92333"/>
  </r>
  <r>
    <x v="137"/>
    <x v="0"/>
    <x v="0"/>
    <x v="2"/>
    <n v="30504"/>
  </r>
  <r>
    <x v="137"/>
    <x v="0"/>
    <x v="0"/>
    <x v="3"/>
    <n v="100"/>
  </r>
  <r>
    <x v="137"/>
    <x v="0"/>
    <x v="1"/>
    <x v="0"/>
    <n v="118131"/>
  </r>
  <r>
    <x v="137"/>
    <x v="0"/>
    <x v="1"/>
    <x v="2"/>
    <n v="34310"/>
  </r>
  <r>
    <x v="137"/>
    <x v="0"/>
    <x v="1"/>
    <x v="4"/>
    <n v="35000"/>
  </r>
  <r>
    <x v="137"/>
    <x v="0"/>
    <x v="1"/>
    <x v="5"/>
    <n v="1000"/>
  </r>
  <r>
    <x v="137"/>
    <x v="0"/>
    <x v="2"/>
    <x v="0"/>
    <n v="545758"/>
  </r>
  <r>
    <x v="137"/>
    <x v="0"/>
    <x v="2"/>
    <x v="1"/>
    <n v="390099"/>
  </r>
  <r>
    <x v="137"/>
    <x v="0"/>
    <x v="2"/>
    <x v="2"/>
    <n v="436906"/>
  </r>
  <r>
    <x v="137"/>
    <x v="0"/>
    <x v="2"/>
    <x v="3"/>
    <n v="2100"/>
  </r>
  <r>
    <x v="137"/>
    <x v="0"/>
    <x v="4"/>
    <x v="3"/>
    <n v="25000"/>
  </r>
  <r>
    <x v="137"/>
    <x v="0"/>
    <x v="5"/>
    <x v="3"/>
    <n v="4500"/>
  </r>
  <r>
    <x v="137"/>
    <x v="0"/>
    <x v="6"/>
    <x v="0"/>
    <n v="15485"/>
  </r>
  <r>
    <x v="137"/>
    <x v="0"/>
    <x v="6"/>
    <x v="2"/>
    <n v="5010"/>
  </r>
  <r>
    <x v="138"/>
    <x v="0"/>
    <x v="1"/>
    <x v="4"/>
    <n v="20000"/>
  </r>
  <r>
    <x v="138"/>
    <x v="0"/>
    <x v="2"/>
    <x v="0"/>
    <n v="95374"/>
  </r>
  <r>
    <x v="138"/>
    <x v="0"/>
    <x v="2"/>
    <x v="1"/>
    <n v="27629"/>
  </r>
  <r>
    <x v="138"/>
    <x v="0"/>
    <x v="2"/>
    <x v="2"/>
    <n v="51314"/>
  </r>
  <r>
    <x v="138"/>
    <x v="0"/>
    <x v="2"/>
    <x v="3"/>
    <n v="400"/>
  </r>
  <r>
    <x v="138"/>
    <x v="0"/>
    <x v="2"/>
    <x v="5"/>
    <n v="250"/>
  </r>
  <r>
    <x v="138"/>
    <x v="0"/>
    <x v="5"/>
    <x v="3"/>
    <n v="200"/>
  </r>
  <r>
    <x v="137"/>
    <x v="1"/>
    <x v="1"/>
    <x v="4"/>
    <n v="62070"/>
  </r>
  <r>
    <x v="137"/>
    <x v="1"/>
    <x v="2"/>
    <x v="0"/>
    <n v="28306"/>
  </r>
  <r>
    <x v="137"/>
    <x v="1"/>
    <x v="2"/>
    <x v="1"/>
    <n v="26637"/>
  </r>
  <r>
    <x v="137"/>
    <x v="1"/>
    <x v="2"/>
    <x v="2"/>
    <n v="27420"/>
  </r>
  <r>
    <x v="137"/>
    <x v="1"/>
    <x v="2"/>
    <x v="3"/>
    <n v="2000"/>
  </r>
  <r>
    <x v="138"/>
    <x v="1"/>
    <x v="1"/>
    <x v="4"/>
    <n v="50000"/>
  </r>
  <r>
    <x v="139"/>
    <x v="0"/>
    <x v="8"/>
    <x v="4"/>
    <n v="3211593"/>
  </r>
  <r>
    <x v="140"/>
    <x v="0"/>
    <x v="0"/>
    <x v="0"/>
    <n v="430549"/>
  </r>
  <r>
    <x v="140"/>
    <x v="0"/>
    <x v="0"/>
    <x v="1"/>
    <n v="351597"/>
  </r>
  <r>
    <x v="140"/>
    <x v="0"/>
    <x v="0"/>
    <x v="2"/>
    <n v="217700"/>
  </r>
  <r>
    <x v="140"/>
    <x v="0"/>
    <x v="0"/>
    <x v="3"/>
    <n v="10000"/>
  </r>
  <r>
    <x v="140"/>
    <x v="0"/>
    <x v="0"/>
    <x v="4"/>
    <n v="5000"/>
  </r>
  <r>
    <x v="140"/>
    <x v="0"/>
    <x v="1"/>
    <x v="0"/>
    <n v="1566979"/>
  </r>
  <r>
    <x v="140"/>
    <x v="0"/>
    <x v="1"/>
    <x v="1"/>
    <n v="169480"/>
  </r>
  <r>
    <x v="140"/>
    <x v="0"/>
    <x v="1"/>
    <x v="2"/>
    <n v="572782"/>
  </r>
  <r>
    <x v="140"/>
    <x v="0"/>
    <x v="1"/>
    <x v="3"/>
    <n v="50000"/>
  </r>
  <r>
    <x v="140"/>
    <x v="0"/>
    <x v="1"/>
    <x v="4"/>
    <n v="296600"/>
  </r>
  <r>
    <x v="140"/>
    <x v="0"/>
    <x v="1"/>
    <x v="5"/>
    <n v="3000"/>
  </r>
  <r>
    <x v="140"/>
    <x v="0"/>
    <x v="2"/>
    <x v="6"/>
    <n v="3000"/>
  </r>
  <r>
    <x v="140"/>
    <x v="0"/>
    <x v="2"/>
    <x v="0"/>
    <n v="4948660"/>
  </r>
  <r>
    <x v="140"/>
    <x v="0"/>
    <x v="2"/>
    <x v="1"/>
    <n v="4959377"/>
  </r>
  <r>
    <x v="140"/>
    <x v="0"/>
    <x v="2"/>
    <x v="2"/>
    <n v="4197120"/>
  </r>
  <r>
    <x v="140"/>
    <x v="0"/>
    <x v="2"/>
    <x v="3"/>
    <n v="111000"/>
  </r>
  <r>
    <x v="140"/>
    <x v="0"/>
    <x v="2"/>
    <x v="4"/>
    <n v="4596221"/>
  </r>
  <r>
    <x v="140"/>
    <x v="0"/>
    <x v="2"/>
    <x v="5"/>
    <n v="2000"/>
  </r>
  <r>
    <x v="140"/>
    <x v="0"/>
    <x v="3"/>
    <x v="0"/>
    <n v="134265"/>
  </r>
  <r>
    <x v="140"/>
    <x v="0"/>
    <x v="3"/>
    <x v="2"/>
    <n v="21529"/>
  </r>
  <r>
    <x v="140"/>
    <x v="1"/>
    <x v="1"/>
    <x v="0"/>
    <n v="1063663"/>
  </r>
  <r>
    <x v="140"/>
    <x v="1"/>
    <x v="1"/>
    <x v="2"/>
    <n v="274377"/>
  </r>
  <r>
    <x v="140"/>
    <x v="1"/>
    <x v="2"/>
    <x v="0"/>
    <n v="124716"/>
  </r>
  <r>
    <x v="140"/>
    <x v="1"/>
    <x v="2"/>
    <x v="2"/>
    <n v="36992"/>
  </r>
  <r>
    <x v="140"/>
    <x v="1"/>
    <x v="2"/>
    <x v="4"/>
    <n v="56421"/>
  </r>
  <r>
    <x v="139"/>
    <x v="1"/>
    <x v="3"/>
    <x v="3"/>
    <n v="10000"/>
  </r>
  <r>
    <x v="141"/>
    <x v="0"/>
    <x v="0"/>
    <x v="0"/>
    <n v="771274"/>
  </r>
  <r>
    <x v="141"/>
    <x v="0"/>
    <x v="0"/>
    <x v="1"/>
    <n v="298310"/>
  </r>
  <r>
    <x v="141"/>
    <x v="0"/>
    <x v="0"/>
    <x v="2"/>
    <n v="297829"/>
  </r>
  <r>
    <x v="141"/>
    <x v="0"/>
    <x v="0"/>
    <x v="4"/>
    <n v="42300"/>
  </r>
  <r>
    <x v="141"/>
    <x v="0"/>
    <x v="9"/>
    <x v="0"/>
    <n v="309997"/>
  </r>
  <r>
    <x v="141"/>
    <x v="0"/>
    <x v="9"/>
    <x v="1"/>
    <n v="25501"/>
  </r>
  <r>
    <x v="141"/>
    <x v="0"/>
    <x v="9"/>
    <x v="2"/>
    <n v="90393"/>
  </r>
  <r>
    <x v="141"/>
    <x v="0"/>
    <x v="7"/>
    <x v="1"/>
    <n v="80041"/>
  </r>
  <r>
    <x v="141"/>
    <x v="0"/>
    <x v="7"/>
    <x v="2"/>
    <n v="176921"/>
  </r>
  <r>
    <x v="141"/>
    <x v="0"/>
    <x v="1"/>
    <x v="6"/>
    <n v="100"/>
  </r>
  <r>
    <x v="141"/>
    <x v="0"/>
    <x v="1"/>
    <x v="0"/>
    <n v="4126980"/>
  </r>
  <r>
    <x v="141"/>
    <x v="0"/>
    <x v="1"/>
    <x v="1"/>
    <n v="68529"/>
  </r>
  <r>
    <x v="141"/>
    <x v="0"/>
    <x v="1"/>
    <x v="2"/>
    <n v="1242987"/>
  </r>
  <r>
    <x v="141"/>
    <x v="0"/>
    <x v="1"/>
    <x v="3"/>
    <n v="42000"/>
  </r>
  <r>
    <x v="141"/>
    <x v="0"/>
    <x v="1"/>
    <x v="4"/>
    <n v="1400000"/>
  </r>
  <r>
    <x v="141"/>
    <x v="0"/>
    <x v="2"/>
    <x v="6"/>
    <n v="5600"/>
  </r>
  <r>
    <x v="141"/>
    <x v="0"/>
    <x v="2"/>
    <x v="0"/>
    <n v="9584150"/>
  </r>
  <r>
    <x v="141"/>
    <x v="0"/>
    <x v="2"/>
    <x v="1"/>
    <n v="5349975"/>
  </r>
  <r>
    <x v="141"/>
    <x v="0"/>
    <x v="2"/>
    <x v="2"/>
    <n v="5948369"/>
  </r>
  <r>
    <x v="141"/>
    <x v="0"/>
    <x v="2"/>
    <x v="3"/>
    <n v="10000"/>
  </r>
  <r>
    <x v="141"/>
    <x v="0"/>
    <x v="2"/>
    <x v="4"/>
    <n v="4532500"/>
  </r>
  <r>
    <x v="141"/>
    <x v="0"/>
    <x v="8"/>
    <x v="4"/>
    <n v="67500"/>
  </r>
  <r>
    <x v="141"/>
    <x v="0"/>
    <x v="3"/>
    <x v="0"/>
    <n v="1462"/>
  </r>
  <r>
    <x v="141"/>
    <x v="0"/>
    <x v="3"/>
    <x v="2"/>
    <n v="240"/>
  </r>
  <r>
    <x v="141"/>
    <x v="0"/>
    <x v="6"/>
    <x v="0"/>
    <n v="202935"/>
  </r>
  <r>
    <x v="141"/>
    <x v="0"/>
    <x v="6"/>
    <x v="2"/>
    <n v="33052"/>
  </r>
  <r>
    <x v="141"/>
    <x v="1"/>
    <x v="2"/>
    <x v="1"/>
    <n v="883379"/>
  </r>
  <r>
    <x v="141"/>
    <x v="1"/>
    <x v="2"/>
    <x v="2"/>
    <n v="515618"/>
  </r>
  <r>
    <x v="141"/>
    <x v="1"/>
    <x v="2"/>
    <x v="4"/>
    <n v="1092100"/>
  </r>
  <r>
    <x v="141"/>
    <x v="1"/>
    <x v="8"/>
    <x v="4"/>
    <n v="100000"/>
  </r>
  <r>
    <x v="142"/>
    <x v="0"/>
    <x v="0"/>
    <x v="0"/>
    <n v="166291"/>
  </r>
  <r>
    <x v="142"/>
    <x v="0"/>
    <x v="0"/>
    <x v="1"/>
    <n v="49421"/>
  </r>
  <r>
    <x v="142"/>
    <x v="0"/>
    <x v="0"/>
    <x v="2"/>
    <n v="66086"/>
  </r>
  <r>
    <x v="142"/>
    <x v="0"/>
    <x v="0"/>
    <x v="3"/>
    <n v="2002"/>
  </r>
  <r>
    <x v="142"/>
    <x v="0"/>
    <x v="0"/>
    <x v="4"/>
    <n v="600"/>
  </r>
  <r>
    <x v="142"/>
    <x v="0"/>
    <x v="0"/>
    <x v="5"/>
    <n v="3000"/>
  </r>
  <r>
    <x v="142"/>
    <x v="0"/>
    <x v="0"/>
    <x v="7"/>
    <n v="7000"/>
  </r>
  <r>
    <x v="142"/>
    <x v="0"/>
    <x v="1"/>
    <x v="0"/>
    <n v="478987"/>
  </r>
  <r>
    <x v="142"/>
    <x v="0"/>
    <x v="1"/>
    <x v="1"/>
    <n v="99246"/>
  </r>
  <r>
    <x v="142"/>
    <x v="0"/>
    <x v="1"/>
    <x v="2"/>
    <n v="216655"/>
  </r>
  <r>
    <x v="142"/>
    <x v="0"/>
    <x v="1"/>
    <x v="3"/>
    <n v="7500"/>
  </r>
  <r>
    <x v="142"/>
    <x v="0"/>
    <x v="1"/>
    <x v="4"/>
    <n v="820608"/>
  </r>
  <r>
    <x v="142"/>
    <x v="0"/>
    <x v="1"/>
    <x v="5"/>
    <n v="1500"/>
  </r>
  <r>
    <x v="142"/>
    <x v="0"/>
    <x v="1"/>
    <x v="7"/>
    <n v="4000"/>
  </r>
  <r>
    <x v="142"/>
    <x v="0"/>
    <x v="2"/>
    <x v="6"/>
    <n v="300"/>
  </r>
  <r>
    <x v="142"/>
    <x v="0"/>
    <x v="2"/>
    <x v="0"/>
    <n v="1118291"/>
  </r>
  <r>
    <x v="142"/>
    <x v="0"/>
    <x v="2"/>
    <x v="1"/>
    <n v="356904"/>
  </r>
  <r>
    <x v="142"/>
    <x v="0"/>
    <x v="2"/>
    <x v="2"/>
    <n v="599134"/>
  </r>
  <r>
    <x v="142"/>
    <x v="0"/>
    <x v="2"/>
    <x v="3"/>
    <n v="17483"/>
  </r>
  <r>
    <x v="142"/>
    <x v="0"/>
    <x v="2"/>
    <x v="4"/>
    <n v="11100"/>
  </r>
  <r>
    <x v="142"/>
    <x v="0"/>
    <x v="2"/>
    <x v="5"/>
    <n v="1000"/>
  </r>
  <r>
    <x v="142"/>
    <x v="0"/>
    <x v="2"/>
    <x v="7"/>
    <n v="3000"/>
  </r>
  <r>
    <x v="142"/>
    <x v="0"/>
    <x v="3"/>
    <x v="0"/>
    <n v="1495"/>
  </r>
  <r>
    <x v="142"/>
    <x v="0"/>
    <x v="3"/>
    <x v="1"/>
    <n v="1355"/>
  </r>
  <r>
    <x v="142"/>
    <x v="0"/>
    <x v="3"/>
    <x v="2"/>
    <n v="486"/>
  </r>
  <r>
    <x v="142"/>
    <x v="0"/>
    <x v="3"/>
    <x v="3"/>
    <n v="500"/>
  </r>
  <r>
    <x v="142"/>
    <x v="0"/>
    <x v="3"/>
    <x v="4"/>
    <n v="4000"/>
  </r>
  <r>
    <x v="142"/>
    <x v="0"/>
    <x v="3"/>
    <x v="5"/>
    <n v="1200"/>
  </r>
  <r>
    <x v="142"/>
    <x v="0"/>
    <x v="4"/>
    <x v="7"/>
    <n v="8000"/>
  </r>
  <r>
    <x v="142"/>
    <x v="0"/>
    <x v="5"/>
    <x v="3"/>
    <n v="191100"/>
  </r>
  <r>
    <x v="142"/>
    <x v="0"/>
    <x v="5"/>
    <x v="4"/>
    <n v="9900"/>
  </r>
  <r>
    <x v="141"/>
    <x v="2"/>
    <x v="2"/>
    <x v="1"/>
    <n v="87590"/>
  </r>
  <r>
    <x v="141"/>
    <x v="2"/>
    <x v="2"/>
    <x v="2"/>
    <n v="63248"/>
  </r>
  <r>
    <x v="141"/>
    <x v="2"/>
    <x v="2"/>
    <x v="3"/>
    <n v="2630"/>
  </r>
  <r>
    <x v="142"/>
    <x v="1"/>
    <x v="2"/>
    <x v="1"/>
    <n v="272480"/>
  </r>
  <r>
    <x v="142"/>
    <x v="1"/>
    <x v="2"/>
    <x v="2"/>
    <n v="183340"/>
  </r>
  <r>
    <x v="142"/>
    <x v="1"/>
    <x v="2"/>
    <x v="4"/>
    <n v="1138"/>
  </r>
  <r>
    <x v="143"/>
    <x v="0"/>
    <x v="8"/>
    <x v="4"/>
    <n v="241204"/>
  </r>
  <r>
    <x v="144"/>
    <x v="0"/>
    <x v="0"/>
    <x v="0"/>
    <n v="505935"/>
  </r>
  <r>
    <x v="144"/>
    <x v="0"/>
    <x v="0"/>
    <x v="1"/>
    <n v="221990"/>
  </r>
  <r>
    <x v="144"/>
    <x v="0"/>
    <x v="0"/>
    <x v="2"/>
    <n v="183857"/>
  </r>
  <r>
    <x v="144"/>
    <x v="0"/>
    <x v="0"/>
    <x v="3"/>
    <n v="3500"/>
  </r>
  <r>
    <x v="144"/>
    <x v="0"/>
    <x v="0"/>
    <x v="4"/>
    <n v="13000"/>
  </r>
  <r>
    <x v="144"/>
    <x v="0"/>
    <x v="0"/>
    <x v="5"/>
    <n v="3000"/>
  </r>
  <r>
    <x v="144"/>
    <x v="0"/>
    <x v="1"/>
    <x v="6"/>
    <n v="934"/>
  </r>
  <r>
    <x v="144"/>
    <x v="0"/>
    <x v="1"/>
    <x v="0"/>
    <n v="10169487"/>
  </r>
  <r>
    <x v="144"/>
    <x v="0"/>
    <x v="1"/>
    <x v="1"/>
    <n v="125854"/>
  </r>
  <r>
    <x v="144"/>
    <x v="0"/>
    <x v="1"/>
    <x v="2"/>
    <n v="2990506"/>
  </r>
  <r>
    <x v="144"/>
    <x v="0"/>
    <x v="1"/>
    <x v="3"/>
    <n v="78500"/>
  </r>
  <r>
    <x v="144"/>
    <x v="0"/>
    <x v="1"/>
    <x v="4"/>
    <n v="2000"/>
  </r>
  <r>
    <x v="144"/>
    <x v="0"/>
    <x v="1"/>
    <x v="5"/>
    <n v="5000"/>
  </r>
  <r>
    <x v="144"/>
    <x v="0"/>
    <x v="1"/>
    <x v="7"/>
    <n v="5200"/>
  </r>
  <r>
    <x v="144"/>
    <x v="0"/>
    <x v="2"/>
    <x v="6"/>
    <n v="2582"/>
  </r>
  <r>
    <x v="144"/>
    <x v="0"/>
    <x v="2"/>
    <x v="0"/>
    <n v="14274746"/>
  </r>
  <r>
    <x v="144"/>
    <x v="0"/>
    <x v="2"/>
    <x v="1"/>
    <n v="15210601"/>
  </r>
  <r>
    <x v="144"/>
    <x v="0"/>
    <x v="2"/>
    <x v="2"/>
    <n v="11849879"/>
  </r>
  <r>
    <x v="144"/>
    <x v="0"/>
    <x v="2"/>
    <x v="3"/>
    <n v="69250"/>
  </r>
  <r>
    <x v="144"/>
    <x v="0"/>
    <x v="2"/>
    <x v="4"/>
    <n v="2565046"/>
  </r>
  <r>
    <x v="144"/>
    <x v="0"/>
    <x v="2"/>
    <x v="5"/>
    <n v="18300"/>
  </r>
  <r>
    <x v="144"/>
    <x v="0"/>
    <x v="8"/>
    <x v="4"/>
    <n v="542214"/>
  </r>
  <r>
    <x v="144"/>
    <x v="0"/>
    <x v="3"/>
    <x v="0"/>
    <n v="119109"/>
  </r>
  <r>
    <x v="144"/>
    <x v="0"/>
    <x v="3"/>
    <x v="2"/>
    <n v="35616"/>
  </r>
  <r>
    <x v="144"/>
    <x v="0"/>
    <x v="6"/>
    <x v="0"/>
    <n v="335935"/>
  </r>
  <r>
    <x v="144"/>
    <x v="0"/>
    <x v="6"/>
    <x v="2"/>
    <n v="57397"/>
  </r>
  <r>
    <x v="144"/>
    <x v="1"/>
    <x v="0"/>
    <x v="0"/>
    <n v="120703"/>
  </r>
  <r>
    <x v="144"/>
    <x v="1"/>
    <x v="0"/>
    <x v="2"/>
    <n v="28745"/>
  </r>
  <r>
    <x v="145"/>
    <x v="0"/>
    <x v="0"/>
    <x v="0"/>
    <n v="32500"/>
  </r>
  <r>
    <x v="145"/>
    <x v="0"/>
    <x v="0"/>
    <x v="1"/>
    <n v="19032"/>
  </r>
  <r>
    <x v="145"/>
    <x v="0"/>
    <x v="0"/>
    <x v="2"/>
    <n v="17076"/>
  </r>
  <r>
    <x v="145"/>
    <x v="0"/>
    <x v="0"/>
    <x v="5"/>
    <n v="2000"/>
  </r>
  <r>
    <x v="145"/>
    <x v="0"/>
    <x v="9"/>
    <x v="3"/>
    <n v="200"/>
  </r>
  <r>
    <x v="145"/>
    <x v="0"/>
    <x v="7"/>
    <x v="4"/>
    <n v="400"/>
  </r>
  <r>
    <x v="145"/>
    <x v="0"/>
    <x v="1"/>
    <x v="4"/>
    <n v="125000"/>
  </r>
  <r>
    <x v="145"/>
    <x v="0"/>
    <x v="2"/>
    <x v="6"/>
    <n v="100"/>
  </r>
  <r>
    <x v="145"/>
    <x v="0"/>
    <x v="2"/>
    <x v="0"/>
    <n v="365559"/>
  </r>
  <r>
    <x v="145"/>
    <x v="0"/>
    <x v="2"/>
    <x v="1"/>
    <n v="213657"/>
  </r>
  <r>
    <x v="145"/>
    <x v="0"/>
    <x v="2"/>
    <x v="2"/>
    <n v="294703"/>
  </r>
  <r>
    <x v="145"/>
    <x v="0"/>
    <x v="2"/>
    <x v="3"/>
    <n v="10000"/>
  </r>
  <r>
    <x v="145"/>
    <x v="0"/>
    <x v="2"/>
    <x v="4"/>
    <n v="3400"/>
  </r>
  <r>
    <x v="145"/>
    <x v="0"/>
    <x v="3"/>
    <x v="4"/>
    <n v="5500"/>
  </r>
  <r>
    <x v="145"/>
    <x v="0"/>
    <x v="3"/>
    <x v="5"/>
    <n v="2000"/>
  </r>
  <r>
    <x v="144"/>
    <x v="1"/>
    <x v="1"/>
    <x v="0"/>
    <n v="1628812"/>
  </r>
  <r>
    <x v="144"/>
    <x v="1"/>
    <x v="1"/>
    <x v="2"/>
    <n v="460685"/>
  </r>
  <r>
    <x v="144"/>
    <x v="1"/>
    <x v="2"/>
    <x v="0"/>
    <n v="844486"/>
  </r>
  <r>
    <x v="144"/>
    <x v="1"/>
    <x v="2"/>
    <x v="2"/>
    <n v="235434"/>
  </r>
  <r>
    <x v="144"/>
    <x v="1"/>
    <x v="3"/>
    <x v="0"/>
    <n v="33419"/>
  </r>
  <r>
    <x v="144"/>
    <x v="1"/>
    <x v="3"/>
    <x v="2"/>
    <n v="5605"/>
  </r>
  <r>
    <x v="145"/>
    <x v="1"/>
    <x v="1"/>
    <x v="3"/>
    <n v="10000"/>
  </r>
  <r>
    <x v="145"/>
    <x v="1"/>
    <x v="1"/>
    <x v="4"/>
    <n v="200000"/>
  </r>
  <r>
    <x v="145"/>
    <x v="1"/>
    <x v="2"/>
    <x v="4"/>
    <n v="200"/>
  </r>
  <r>
    <x v="146"/>
    <x v="0"/>
    <x v="0"/>
    <x v="0"/>
    <n v="391668"/>
  </r>
  <r>
    <x v="146"/>
    <x v="0"/>
    <x v="0"/>
    <x v="1"/>
    <n v="211266"/>
  </r>
  <r>
    <x v="146"/>
    <x v="0"/>
    <x v="0"/>
    <x v="2"/>
    <n v="167719"/>
  </r>
  <r>
    <x v="146"/>
    <x v="0"/>
    <x v="0"/>
    <x v="4"/>
    <n v="30000"/>
  </r>
  <r>
    <x v="146"/>
    <x v="0"/>
    <x v="7"/>
    <x v="1"/>
    <n v="608971"/>
  </r>
  <r>
    <x v="146"/>
    <x v="0"/>
    <x v="7"/>
    <x v="2"/>
    <n v="303621"/>
  </r>
  <r>
    <x v="146"/>
    <x v="0"/>
    <x v="1"/>
    <x v="0"/>
    <n v="3027284"/>
  </r>
  <r>
    <x v="146"/>
    <x v="0"/>
    <x v="1"/>
    <x v="1"/>
    <n v="56721"/>
  </r>
  <r>
    <x v="146"/>
    <x v="0"/>
    <x v="1"/>
    <x v="2"/>
    <n v="962670"/>
  </r>
  <r>
    <x v="146"/>
    <x v="0"/>
    <x v="1"/>
    <x v="3"/>
    <n v="11000"/>
  </r>
  <r>
    <x v="146"/>
    <x v="0"/>
    <x v="1"/>
    <x v="4"/>
    <n v="375000"/>
  </r>
  <r>
    <x v="146"/>
    <x v="0"/>
    <x v="2"/>
    <x v="0"/>
    <n v="3912724"/>
  </r>
  <r>
    <x v="146"/>
    <x v="0"/>
    <x v="2"/>
    <x v="1"/>
    <n v="3799386"/>
  </r>
  <r>
    <x v="146"/>
    <x v="0"/>
    <x v="2"/>
    <x v="2"/>
    <n v="3327414"/>
  </r>
  <r>
    <x v="146"/>
    <x v="0"/>
    <x v="2"/>
    <x v="3"/>
    <n v="41000"/>
  </r>
  <r>
    <x v="146"/>
    <x v="0"/>
    <x v="2"/>
    <x v="4"/>
    <n v="550000"/>
  </r>
  <r>
    <x v="146"/>
    <x v="0"/>
    <x v="8"/>
    <x v="4"/>
    <n v="60000"/>
  </r>
  <r>
    <x v="146"/>
    <x v="0"/>
    <x v="3"/>
    <x v="0"/>
    <n v="397063"/>
  </r>
  <r>
    <x v="146"/>
    <x v="0"/>
    <x v="3"/>
    <x v="2"/>
    <n v="85345"/>
  </r>
  <r>
    <x v="146"/>
    <x v="0"/>
    <x v="3"/>
    <x v="4"/>
    <n v="25000"/>
  </r>
  <r>
    <x v="146"/>
    <x v="0"/>
    <x v="5"/>
    <x v="3"/>
    <n v="20000"/>
  </r>
  <r>
    <x v="146"/>
    <x v="0"/>
    <x v="6"/>
    <x v="0"/>
    <n v="103884"/>
  </r>
  <r>
    <x v="146"/>
    <x v="0"/>
    <x v="6"/>
    <x v="2"/>
    <n v="16964"/>
  </r>
  <r>
    <x v="146"/>
    <x v="1"/>
    <x v="2"/>
    <x v="1"/>
    <n v="1084425"/>
  </r>
  <r>
    <x v="146"/>
    <x v="1"/>
    <x v="2"/>
    <x v="2"/>
    <n v="642388"/>
  </r>
  <r>
    <x v="146"/>
    <x v="2"/>
    <x v="2"/>
    <x v="1"/>
    <n v="245697"/>
  </r>
  <r>
    <x v="146"/>
    <x v="2"/>
    <x v="2"/>
    <x v="2"/>
    <n v="147009"/>
  </r>
  <r>
    <x v="147"/>
    <x v="0"/>
    <x v="0"/>
    <x v="0"/>
    <n v="74694"/>
  </r>
  <r>
    <x v="147"/>
    <x v="0"/>
    <x v="0"/>
    <x v="1"/>
    <n v="13649"/>
  </r>
  <r>
    <x v="147"/>
    <x v="0"/>
    <x v="0"/>
    <x v="2"/>
    <n v="33244"/>
  </r>
  <r>
    <x v="147"/>
    <x v="0"/>
    <x v="0"/>
    <x v="3"/>
    <n v="600"/>
  </r>
  <r>
    <x v="147"/>
    <x v="0"/>
    <x v="0"/>
    <x v="4"/>
    <n v="2500"/>
  </r>
  <r>
    <x v="147"/>
    <x v="0"/>
    <x v="0"/>
    <x v="5"/>
    <n v="1500"/>
  </r>
  <r>
    <x v="147"/>
    <x v="0"/>
    <x v="1"/>
    <x v="0"/>
    <n v="66545"/>
  </r>
  <r>
    <x v="147"/>
    <x v="0"/>
    <x v="1"/>
    <x v="1"/>
    <n v="22082"/>
  </r>
  <r>
    <x v="147"/>
    <x v="0"/>
    <x v="1"/>
    <x v="2"/>
    <n v="36985"/>
  </r>
  <r>
    <x v="147"/>
    <x v="0"/>
    <x v="1"/>
    <x v="3"/>
    <n v="2000"/>
  </r>
  <r>
    <x v="147"/>
    <x v="0"/>
    <x v="1"/>
    <x v="4"/>
    <n v="6000"/>
  </r>
  <r>
    <x v="147"/>
    <x v="0"/>
    <x v="2"/>
    <x v="0"/>
    <n v="216915"/>
  </r>
  <r>
    <x v="147"/>
    <x v="0"/>
    <x v="2"/>
    <x v="1"/>
    <n v="182077"/>
  </r>
  <r>
    <x v="147"/>
    <x v="0"/>
    <x v="2"/>
    <x v="2"/>
    <n v="222610"/>
  </r>
  <r>
    <x v="147"/>
    <x v="0"/>
    <x v="2"/>
    <x v="3"/>
    <n v="3000"/>
  </r>
  <r>
    <x v="147"/>
    <x v="0"/>
    <x v="2"/>
    <x v="4"/>
    <n v="110000"/>
  </r>
  <r>
    <x v="147"/>
    <x v="0"/>
    <x v="2"/>
    <x v="5"/>
    <n v="1000"/>
  </r>
  <r>
    <x v="147"/>
    <x v="0"/>
    <x v="3"/>
    <x v="4"/>
    <n v="1000"/>
  </r>
  <r>
    <x v="147"/>
    <x v="0"/>
    <x v="6"/>
    <x v="0"/>
    <n v="6025"/>
  </r>
  <r>
    <x v="147"/>
    <x v="0"/>
    <x v="6"/>
    <x v="2"/>
    <n v="986"/>
  </r>
  <r>
    <x v="147"/>
    <x v="1"/>
    <x v="1"/>
    <x v="1"/>
    <n v="6733"/>
  </r>
  <r>
    <x v="147"/>
    <x v="1"/>
    <x v="1"/>
    <x v="2"/>
    <n v="4731"/>
  </r>
  <r>
    <x v="147"/>
    <x v="1"/>
    <x v="2"/>
    <x v="0"/>
    <n v="29628"/>
  </r>
  <r>
    <x v="147"/>
    <x v="1"/>
    <x v="2"/>
    <x v="1"/>
    <n v="54536"/>
  </r>
  <r>
    <x v="147"/>
    <x v="1"/>
    <x v="2"/>
    <x v="2"/>
    <n v="53133"/>
  </r>
  <r>
    <x v="147"/>
    <x v="1"/>
    <x v="2"/>
    <x v="3"/>
    <n v="3358"/>
  </r>
  <r>
    <x v="147"/>
    <x v="1"/>
    <x v="2"/>
    <x v="4"/>
    <n v="8000"/>
  </r>
  <r>
    <x v="148"/>
    <x v="0"/>
    <x v="0"/>
    <x v="0"/>
    <n v="92766"/>
  </r>
  <r>
    <x v="148"/>
    <x v="0"/>
    <x v="0"/>
    <x v="2"/>
    <n v="31800"/>
  </r>
  <r>
    <x v="148"/>
    <x v="0"/>
    <x v="9"/>
    <x v="1"/>
    <n v="74914"/>
  </r>
  <r>
    <x v="148"/>
    <x v="0"/>
    <x v="9"/>
    <x v="2"/>
    <n v="25680"/>
  </r>
  <r>
    <x v="148"/>
    <x v="0"/>
    <x v="1"/>
    <x v="3"/>
    <n v="7871"/>
  </r>
  <r>
    <x v="148"/>
    <x v="0"/>
    <x v="1"/>
    <x v="4"/>
    <n v="160081"/>
  </r>
  <r>
    <x v="148"/>
    <x v="0"/>
    <x v="2"/>
    <x v="0"/>
    <n v="207069"/>
  </r>
  <r>
    <x v="148"/>
    <x v="0"/>
    <x v="2"/>
    <x v="2"/>
    <n v="70983"/>
  </r>
  <r>
    <x v="149"/>
    <x v="0"/>
    <x v="0"/>
    <x v="4"/>
    <n v="500"/>
  </r>
  <r>
    <x v="149"/>
    <x v="0"/>
    <x v="11"/>
    <x v="0"/>
    <n v="30294"/>
  </r>
  <r>
    <x v="149"/>
    <x v="0"/>
    <x v="11"/>
    <x v="2"/>
    <n v="8790"/>
  </r>
  <r>
    <x v="148"/>
    <x v="1"/>
    <x v="2"/>
    <x v="0"/>
    <n v="30619"/>
  </r>
  <r>
    <x v="148"/>
    <x v="1"/>
    <x v="2"/>
    <x v="2"/>
    <n v="10496"/>
  </r>
  <r>
    <x v="149"/>
    <x v="0"/>
    <x v="1"/>
    <x v="3"/>
    <n v="43000"/>
  </r>
  <r>
    <x v="149"/>
    <x v="0"/>
    <x v="1"/>
    <x v="4"/>
    <n v="143790"/>
  </r>
  <r>
    <x v="149"/>
    <x v="0"/>
    <x v="2"/>
    <x v="0"/>
    <n v="68399"/>
  </r>
  <r>
    <x v="149"/>
    <x v="0"/>
    <x v="2"/>
    <x v="1"/>
    <n v="134983"/>
  </r>
  <r>
    <x v="149"/>
    <x v="0"/>
    <x v="2"/>
    <x v="2"/>
    <n v="132744"/>
  </r>
  <r>
    <x v="149"/>
    <x v="0"/>
    <x v="2"/>
    <x v="3"/>
    <n v="700"/>
  </r>
  <r>
    <x v="149"/>
    <x v="0"/>
    <x v="3"/>
    <x v="4"/>
    <n v="2000"/>
  </r>
  <r>
    <x v="149"/>
    <x v="0"/>
    <x v="5"/>
    <x v="3"/>
    <n v="2500"/>
  </r>
  <r>
    <x v="149"/>
    <x v="0"/>
    <x v="5"/>
    <x v="5"/>
    <n v="1000"/>
  </r>
  <r>
    <x v="149"/>
    <x v="0"/>
    <x v="6"/>
    <x v="0"/>
    <n v="740"/>
  </r>
  <r>
    <x v="149"/>
    <x v="0"/>
    <x v="6"/>
    <x v="2"/>
    <n v="293"/>
  </r>
  <r>
    <x v="149"/>
    <x v="1"/>
    <x v="0"/>
    <x v="0"/>
    <n v="43048"/>
  </r>
  <r>
    <x v="149"/>
    <x v="1"/>
    <x v="0"/>
    <x v="2"/>
    <n v="11612"/>
  </r>
  <r>
    <x v="150"/>
    <x v="0"/>
    <x v="0"/>
    <x v="0"/>
    <n v="107542"/>
  </r>
  <r>
    <x v="150"/>
    <x v="0"/>
    <x v="0"/>
    <x v="1"/>
    <n v="53948"/>
  </r>
  <r>
    <x v="150"/>
    <x v="0"/>
    <x v="0"/>
    <x v="2"/>
    <n v="51337"/>
  </r>
  <r>
    <x v="150"/>
    <x v="0"/>
    <x v="11"/>
    <x v="0"/>
    <n v="176613"/>
  </r>
  <r>
    <x v="150"/>
    <x v="0"/>
    <x v="11"/>
    <x v="1"/>
    <n v="72980"/>
  </r>
  <r>
    <x v="150"/>
    <x v="0"/>
    <x v="11"/>
    <x v="2"/>
    <n v="81549"/>
  </r>
  <r>
    <x v="150"/>
    <x v="0"/>
    <x v="1"/>
    <x v="0"/>
    <n v="108050"/>
  </r>
  <r>
    <x v="150"/>
    <x v="0"/>
    <x v="1"/>
    <x v="2"/>
    <n v="34720"/>
  </r>
  <r>
    <x v="150"/>
    <x v="0"/>
    <x v="1"/>
    <x v="3"/>
    <n v="1400"/>
  </r>
  <r>
    <x v="150"/>
    <x v="0"/>
    <x v="1"/>
    <x v="4"/>
    <n v="1001000"/>
  </r>
  <r>
    <x v="150"/>
    <x v="0"/>
    <x v="2"/>
    <x v="0"/>
    <n v="1281232"/>
  </r>
  <r>
    <x v="150"/>
    <x v="0"/>
    <x v="2"/>
    <x v="1"/>
    <n v="801399"/>
  </r>
  <r>
    <x v="150"/>
    <x v="0"/>
    <x v="2"/>
    <x v="2"/>
    <n v="923221"/>
  </r>
  <r>
    <x v="150"/>
    <x v="0"/>
    <x v="2"/>
    <x v="3"/>
    <n v="14251"/>
  </r>
  <r>
    <x v="150"/>
    <x v="0"/>
    <x v="2"/>
    <x v="4"/>
    <n v="2200"/>
  </r>
  <r>
    <x v="150"/>
    <x v="0"/>
    <x v="8"/>
    <x v="4"/>
    <n v="200000"/>
  </r>
  <r>
    <x v="150"/>
    <x v="0"/>
    <x v="3"/>
    <x v="4"/>
    <n v="5000"/>
  </r>
  <r>
    <x v="150"/>
    <x v="0"/>
    <x v="3"/>
    <x v="5"/>
    <n v="1200"/>
  </r>
  <r>
    <x v="150"/>
    <x v="0"/>
    <x v="6"/>
    <x v="0"/>
    <n v="24219"/>
  </r>
  <r>
    <x v="150"/>
    <x v="0"/>
    <x v="6"/>
    <x v="2"/>
    <n v="7031"/>
  </r>
  <r>
    <x v="150"/>
    <x v="1"/>
    <x v="1"/>
    <x v="0"/>
    <n v="122343"/>
  </r>
  <r>
    <x v="150"/>
    <x v="1"/>
    <x v="1"/>
    <x v="2"/>
    <n v="34648"/>
  </r>
  <r>
    <x v="150"/>
    <x v="1"/>
    <x v="2"/>
    <x v="0"/>
    <n v="202414"/>
  </r>
  <r>
    <x v="150"/>
    <x v="1"/>
    <x v="2"/>
    <x v="2"/>
    <n v="57314"/>
  </r>
  <r>
    <x v="151"/>
    <x v="0"/>
    <x v="0"/>
    <x v="0"/>
    <n v="158810"/>
  </r>
  <r>
    <x v="151"/>
    <x v="0"/>
    <x v="0"/>
    <x v="1"/>
    <n v="36485"/>
  </r>
  <r>
    <x v="151"/>
    <x v="0"/>
    <x v="0"/>
    <x v="2"/>
    <n v="56907"/>
  </r>
  <r>
    <x v="151"/>
    <x v="0"/>
    <x v="0"/>
    <x v="3"/>
    <n v="1000"/>
  </r>
  <r>
    <x v="151"/>
    <x v="0"/>
    <x v="0"/>
    <x v="4"/>
    <n v="1966"/>
  </r>
  <r>
    <x v="151"/>
    <x v="0"/>
    <x v="1"/>
    <x v="0"/>
    <n v="222489"/>
  </r>
  <r>
    <x v="151"/>
    <x v="0"/>
    <x v="1"/>
    <x v="1"/>
    <n v="88324"/>
  </r>
  <r>
    <x v="151"/>
    <x v="0"/>
    <x v="1"/>
    <x v="2"/>
    <n v="115903"/>
  </r>
  <r>
    <x v="151"/>
    <x v="0"/>
    <x v="1"/>
    <x v="3"/>
    <n v="3000"/>
  </r>
  <r>
    <x v="151"/>
    <x v="0"/>
    <x v="1"/>
    <x v="4"/>
    <n v="750"/>
  </r>
  <r>
    <x v="151"/>
    <x v="0"/>
    <x v="1"/>
    <x v="5"/>
    <n v="125"/>
  </r>
  <r>
    <x v="151"/>
    <x v="0"/>
    <x v="2"/>
    <x v="6"/>
    <n v="5000"/>
  </r>
  <r>
    <x v="151"/>
    <x v="0"/>
    <x v="2"/>
    <x v="0"/>
    <n v="559603"/>
  </r>
  <r>
    <x v="151"/>
    <x v="0"/>
    <x v="2"/>
    <x v="1"/>
    <n v="238373"/>
  </r>
  <r>
    <x v="151"/>
    <x v="0"/>
    <x v="2"/>
    <x v="2"/>
    <n v="344868"/>
  </r>
  <r>
    <x v="151"/>
    <x v="0"/>
    <x v="2"/>
    <x v="3"/>
    <n v="73350"/>
  </r>
  <r>
    <x v="151"/>
    <x v="0"/>
    <x v="2"/>
    <x v="4"/>
    <n v="187360"/>
  </r>
  <r>
    <x v="151"/>
    <x v="0"/>
    <x v="8"/>
    <x v="4"/>
    <n v="125000"/>
  </r>
  <r>
    <x v="151"/>
    <x v="0"/>
    <x v="3"/>
    <x v="4"/>
    <n v="5000"/>
  </r>
  <r>
    <x v="151"/>
    <x v="0"/>
    <x v="3"/>
    <x v="5"/>
    <n v="5000"/>
  </r>
  <r>
    <x v="151"/>
    <x v="0"/>
    <x v="6"/>
    <x v="0"/>
    <n v="10810"/>
  </r>
  <r>
    <x v="151"/>
    <x v="0"/>
    <x v="6"/>
    <x v="2"/>
    <n v="1692"/>
  </r>
  <r>
    <x v="151"/>
    <x v="1"/>
    <x v="2"/>
    <x v="1"/>
    <n v="227185"/>
  </r>
  <r>
    <x v="151"/>
    <x v="1"/>
    <x v="2"/>
    <x v="2"/>
    <n v="110694"/>
  </r>
  <r>
    <x v="152"/>
    <x v="0"/>
    <x v="0"/>
    <x v="0"/>
    <n v="813028"/>
  </r>
  <r>
    <x v="152"/>
    <x v="0"/>
    <x v="0"/>
    <x v="1"/>
    <n v="254008"/>
  </r>
  <r>
    <x v="152"/>
    <x v="0"/>
    <x v="0"/>
    <x v="2"/>
    <n v="332314"/>
  </r>
  <r>
    <x v="152"/>
    <x v="0"/>
    <x v="0"/>
    <x v="3"/>
    <n v="11000"/>
  </r>
  <r>
    <x v="152"/>
    <x v="0"/>
    <x v="0"/>
    <x v="4"/>
    <n v="80000"/>
  </r>
  <r>
    <x v="152"/>
    <x v="0"/>
    <x v="0"/>
    <x v="5"/>
    <n v="5000"/>
  </r>
  <r>
    <x v="152"/>
    <x v="0"/>
    <x v="11"/>
    <x v="0"/>
    <n v="2650"/>
  </r>
  <r>
    <x v="152"/>
    <x v="0"/>
    <x v="11"/>
    <x v="1"/>
    <n v="30000"/>
  </r>
  <r>
    <x v="152"/>
    <x v="0"/>
    <x v="11"/>
    <x v="2"/>
    <n v="6130"/>
  </r>
  <r>
    <x v="152"/>
    <x v="0"/>
    <x v="7"/>
    <x v="1"/>
    <n v="350666"/>
  </r>
  <r>
    <x v="152"/>
    <x v="0"/>
    <x v="7"/>
    <x v="2"/>
    <n v="241697"/>
  </r>
  <r>
    <x v="152"/>
    <x v="0"/>
    <x v="7"/>
    <x v="3"/>
    <n v="10000"/>
  </r>
  <r>
    <x v="152"/>
    <x v="0"/>
    <x v="1"/>
    <x v="0"/>
    <n v="5589436"/>
  </r>
  <r>
    <x v="152"/>
    <x v="0"/>
    <x v="1"/>
    <x v="1"/>
    <n v="485998"/>
  </r>
  <r>
    <x v="152"/>
    <x v="0"/>
    <x v="1"/>
    <x v="2"/>
    <n v="1955060"/>
  </r>
  <r>
    <x v="152"/>
    <x v="0"/>
    <x v="1"/>
    <x v="3"/>
    <n v="15050"/>
  </r>
  <r>
    <x v="152"/>
    <x v="0"/>
    <x v="1"/>
    <x v="4"/>
    <n v="115100"/>
  </r>
  <r>
    <x v="152"/>
    <x v="0"/>
    <x v="1"/>
    <x v="5"/>
    <n v="12500"/>
  </r>
  <r>
    <x v="152"/>
    <x v="0"/>
    <x v="2"/>
    <x v="0"/>
    <n v="10100531"/>
  </r>
  <r>
    <x v="152"/>
    <x v="0"/>
    <x v="2"/>
    <x v="1"/>
    <n v="8358731"/>
  </r>
  <r>
    <x v="152"/>
    <x v="0"/>
    <x v="2"/>
    <x v="2"/>
    <n v="9090898"/>
  </r>
  <r>
    <x v="152"/>
    <x v="0"/>
    <x v="2"/>
    <x v="3"/>
    <n v="94730"/>
  </r>
  <r>
    <x v="152"/>
    <x v="0"/>
    <x v="2"/>
    <x v="4"/>
    <n v="289000"/>
  </r>
  <r>
    <x v="152"/>
    <x v="0"/>
    <x v="2"/>
    <x v="5"/>
    <n v="10000"/>
  </r>
  <r>
    <x v="152"/>
    <x v="0"/>
    <x v="3"/>
    <x v="0"/>
    <n v="311228"/>
  </r>
  <r>
    <x v="152"/>
    <x v="0"/>
    <x v="3"/>
    <x v="2"/>
    <n v="55517"/>
  </r>
  <r>
    <x v="152"/>
    <x v="0"/>
    <x v="3"/>
    <x v="3"/>
    <n v="1000"/>
  </r>
  <r>
    <x v="152"/>
    <x v="0"/>
    <x v="3"/>
    <x v="4"/>
    <n v="18000"/>
  </r>
  <r>
    <x v="152"/>
    <x v="0"/>
    <x v="3"/>
    <x v="5"/>
    <n v="1750"/>
  </r>
  <r>
    <x v="152"/>
    <x v="0"/>
    <x v="5"/>
    <x v="3"/>
    <n v="70000"/>
  </r>
  <r>
    <x v="152"/>
    <x v="0"/>
    <x v="6"/>
    <x v="0"/>
    <n v="233417"/>
  </r>
  <r>
    <x v="152"/>
    <x v="0"/>
    <x v="6"/>
    <x v="2"/>
    <n v="41647"/>
  </r>
  <r>
    <x v="153"/>
    <x v="0"/>
    <x v="0"/>
    <x v="0"/>
    <n v="291537"/>
  </r>
  <r>
    <x v="153"/>
    <x v="0"/>
    <x v="0"/>
    <x v="1"/>
    <n v="127972"/>
  </r>
  <r>
    <x v="153"/>
    <x v="0"/>
    <x v="0"/>
    <x v="2"/>
    <n v="127411"/>
  </r>
  <r>
    <x v="153"/>
    <x v="0"/>
    <x v="0"/>
    <x v="3"/>
    <n v="2000"/>
  </r>
  <r>
    <x v="153"/>
    <x v="0"/>
    <x v="0"/>
    <x v="4"/>
    <n v="10200"/>
  </r>
  <r>
    <x v="153"/>
    <x v="0"/>
    <x v="0"/>
    <x v="5"/>
    <n v="300"/>
  </r>
  <r>
    <x v="153"/>
    <x v="0"/>
    <x v="1"/>
    <x v="0"/>
    <n v="510917"/>
  </r>
  <r>
    <x v="153"/>
    <x v="0"/>
    <x v="1"/>
    <x v="1"/>
    <n v="171546"/>
  </r>
  <r>
    <x v="153"/>
    <x v="0"/>
    <x v="1"/>
    <x v="2"/>
    <n v="227583"/>
  </r>
  <r>
    <x v="153"/>
    <x v="0"/>
    <x v="1"/>
    <x v="3"/>
    <n v="25000"/>
  </r>
  <r>
    <x v="153"/>
    <x v="0"/>
    <x v="1"/>
    <x v="4"/>
    <n v="2253000"/>
  </r>
  <r>
    <x v="153"/>
    <x v="0"/>
    <x v="1"/>
    <x v="5"/>
    <n v="8000"/>
  </r>
  <r>
    <x v="153"/>
    <x v="0"/>
    <x v="2"/>
    <x v="6"/>
    <n v="24000"/>
  </r>
  <r>
    <x v="153"/>
    <x v="0"/>
    <x v="2"/>
    <x v="0"/>
    <n v="2114289"/>
  </r>
  <r>
    <x v="153"/>
    <x v="0"/>
    <x v="2"/>
    <x v="1"/>
    <n v="2065245"/>
  </r>
  <r>
    <x v="154"/>
    <x v="0"/>
    <x v="0"/>
    <x v="0"/>
    <n v="45860"/>
  </r>
  <r>
    <x v="154"/>
    <x v="0"/>
    <x v="0"/>
    <x v="1"/>
    <n v="48495"/>
  </r>
  <r>
    <x v="154"/>
    <x v="0"/>
    <x v="0"/>
    <x v="2"/>
    <n v="35979"/>
  </r>
  <r>
    <x v="154"/>
    <x v="0"/>
    <x v="0"/>
    <x v="3"/>
    <n v="1000"/>
  </r>
  <r>
    <x v="154"/>
    <x v="0"/>
    <x v="0"/>
    <x v="4"/>
    <n v="1600"/>
  </r>
  <r>
    <x v="154"/>
    <x v="0"/>
    <x v="7"/>
    <x v="1"/>
    <n v="26822"/>
  </r>
  <r>
    <x v="154"/>
    <x v="0"/>
    <x v="7"/>
    <x v="2"/>
    <n v="20270"/>
  </r>
  <r>
    <x v="154"/>
    <x v="0"/>
    <x v="7"/>
    <x v="3"/>
    <n v="400"/>
  </r>
  <r>
    <x v="154"/>
    <x v="0"/>
    <x v="1"/>
    <x v="3"/>
    <n v="2250"/>
  </r>
  <r>
    <x v="154"/>
    <x v="0"/>
    <x v="1"/>
    <x v="4"/>
    <n v="770000"/>
  </r>
  <r>
    <x v="154"/>
    <x v="0"/>
    <x v="2"/>
    <x v="0"/>
    <n v="600903"/>
  </r>
  <r>
    <x v="154"/>
    <x v="0"/>
    <x v="2"/>
    <x v="1"/>
    <n v="381216"/>
  </r>
  <r>
    <x v="154"/>
    <x v="0"/>
    <x v="2"/>
    <x v="2"/>
    <n v="488938"/>
  </r>
  <r>
    <x v="154"/>
    <x v="0"/>
    <x v="2"/>
    <x v="3"/>
    <n v="4275"/>
  </r>
  <r>
    <x v="154"/>
    <x v="0"/>
    <x v="3"/>
    <x v="4"/>
    <n v="2500"/>
  </r>
  <r>
    <x v="154"/>
    <x v="0"/>
    <x v="5"/>
    <x v="3"/>
    <n v="3200"/>
  </r>
  <r>
    <x v="153"/>
    <x v="0"/>
    <x v="2"/>
    <x v="2"/>
    <n v="1764014"/>
  </r>
  <r>
    <x v="153"/>
    <x v="0"/>
    <x v="2"/>
    <x v="3"/>
    <n v="30000"/>
  </r>
  <r>
    <x v="153"/>
    <x v="0"/>
    <x v="2"/>
    <x v="4"/>
    <n v="771000"/>
  </r>
  <r>
    <x v="153"/>
    <x v="0"/>
    <x v="8"/>
    <x v="4"/>
    <n v="60000"/>
  </r>
  <r>
    <x v="153"/>
    <x v="0"/>
    <x v="3"/>
    <x v="0"/>
    <n v="1945"/>
  </r>
  <r>
    <x v="153"/>
    <x v="0"/>
    <x v="3"/>
    <x v="3"/>
    <n v="3000"/>
  </r>
  <r>
    <x v="153"/>
    <x v="0"/>
    <x v="3"/>
    <x v="4"/>
    <n v="20000"/>
  </r>
  <r>
    <x v="153"/>
    <x v="0"/>
    <x v="3"/>
    <x v="5"/>
    <n v="1000"/>
  </r>
  <r>
    <x v="153"/>
    <x v="0"/>
    <x v="6"/>
    <x v="0"/>
    <n v="52226"/>
  </r>
  <r>
    <x v="153"/>
    <x v="0"/>
    <x v="6"/>
    <x v="2"/>
    <n v="9396"/>
  </r>
  <r>
    <x v="153"/>
    <x v="1"/>
    <x v="1"/>
    <x v="0"/>
    <n v="497864"/>
  </r>
  <r>
    <x v="153"/>
    <x v="1"/>
    <x v="1"/>
    <x v="2"/>
    <n v="159937"/>
  </r>
  <r>
    <x v="153"/>
    <x v="1"/>
    <x v="2"/>
    <x v="4"/>
    <n v="10393"/>
  </r>
  <r>
    <x v="153"/>
    <x v="1"/>
    <x v="3"/>
    <x v="0"/>
    <n v="10708"/>
  </r>
  <r>
    <x v="153"/>
    <x v="1"/>
    <x v="3"/>
    <x v="2"/>
    <n v="1927"/>
  </r>
  <r>
    <x v="154"/>
    <x v="1"/>
    <x v="2"/>
    <x v="0"/>
    <n v="24194"/>
  </r>
  <r>
    <x v="154"/>
    <x v="1"/>
    <x v="2"/>
    <x v="1"/>
    <n v="57183"/>
  </r>
  <r>
    <x v="154"/>
    <x v="1"/>
    <x v="2"/>
    <x v="2"/>
    <n v="47043"/>
  </r>
  <r>
    <x v="155"/>
    <x v="0"/>
    <x v="0"/>
    <x v="0"/>
    <n v="112500"/>
  </r>
  <r>
    <x v="155"/>
    <x v="0"/>
    <x v="0"/>
    <x v="1"/>
    <n v="35626"/>
  </r>
  <r>
    <x v="155"/>
    <x v="0"/>
    <x v="0"/>
    <x v="2"/>
    <n v="54588"/>
  </r>
  <r>
    <x v="155"/>
    <x v="0"/>
    <x v="0"/>
    <x v="3"/>
    <n v="3000"/>
  </r>
  <r>
    <x v="155"/>
    <x v="0"/>
    <x v="1"/>
    <x v="0"/>
    <n v="114788"/>
  </r>
  <r>
    <x v="155"/>
    <x v="0"/>
    <x v="1"/>
    <x v="2"/>
    <n v="35101"/>
  </r>
  <r>
    <x v="155"/>
    <x v="0"/>
    <x v="1"/>
    <x v="3"/>
    <n v="8000"/>
  </r>
  <r>
    <x v="155"/>
    <x v="0"/>
    <x v="1"/>
    <x v="4"/>
    <n v="500"/>
  </r>
  <r>
    <x v="155"/>
    <x v="0"/>
    <x v="2"/>
    <x v="0"/>
    <n v="608056"/>
  </r>
  <r>
    <x v="155"/>
    <x v="0"/>
    <x v="2"/>
    <x v="1"/>
    <n v="504201"/>
  </r>
  <r>
    <x v="155"/>
    <x v="0"/>
    <x v="2"/>
    <x v="2"/>
    <n v="523268"/>
  </r>
  <r>
    <x v="155"/>
    <x v="0"/>
    <x v="2"/>
    <x v="3"/>
    <n v="13200"/>
  </r>
  <r>
    <x v="155"/>
    <x v="0"/>
    <x v="2"/>
    <x v="4"/>
    <n v="265042"/>
  </r>
  <r>
    <x v="155"/>
    <x v="0"/>
    <x v="3"/>
    <x v="0"/>
    <n v="941"/>
  </r>
  <r>
    <x v="155"/>
    <x v="0"/>
    <x v="3"/>
    <x v="2"/>
    <n v="170"/>
  </r>
  <r>
    <x v="155"/>
    <x v="0"/>
    <x v="3"/>
    <x v="4"/>
    <n v="1250"/>
  </r>
  <r>
    <x v="155"/>
    <x v="0"/>
    <x v="3"/>
    <x v="5"/>
    <n v="3000"/>
  </r>
  <r>
    <x v="155"/>
    <x v="0"/>
    <x v="4"/>
    <x v="3"/>
    <n v="1000"/>
  </r>
  <r>
    <x v="155"/>
    <x v="0"/>
    <x v="5"/>
    <x v="3"/>
    <n v="15000"/>
  </r>
  <r>
    <x v="155"/>
    <x v="0"/>
    <x v="6"/>
    <x v="0"/>
    <n v="5303"/>
  </r>
  <r>
    <x v="155"/>
    <x v="0"/>
    <x v="6"/>
    <x v="2"/>
    <n v="1019"/>
  </r>
  <r>
    <x v="155"/>
    <x v="0"/>
    <x v="6"/>
    <x v="4"/>
    <n v="8600"/>
  </r>
  <r>
    <x v="155"/>
    <x v="0"/>
    <x v="6"/>
    <x v="5"/>
    <n v="5000"/>
  </r>
  <r>
    <x v="155"/>
    <x v="1"/>
    <x v="2"/>
    <x v="1"/>
    <n v="3871"/>
  </r>
  <r>
    <x v="155"/>
    <x v="1"/>
    <x v="2"/>
    <x v="2"/>
    <n v="2179"/>
  </r>
  <r>
    <x v="155"/>
    <x v="1"/>
    <x v="2"/>
    <x v="4"/>
    <n v="244068"/>
  </r>
  <r>
    <x v="156"/>
    <x v="0"/>
    <x v="0"/>
    <x v="0"/>
    <n v="6025"/>
  </r>
  <r>
    <x v="156"/>
    <x v="0"/>
    <x v="0"/>
    <x v="2"/>
    <n v="1048"/>
  </r>
  <r>
    <x v="156"/>
    <x v="0"/>
    <x v="7"/>
    <x v="1"/>
    <n v="30232"/>
  </r>
  <r>
    <x v="156"/>
    <x v="0"/>
    <x v="7"/>
    <x v="2"/>
    <n v="20286"/>
  </r>
  <r>
    <x v="156"/>
    <x v="0"/>
    <x v="1"/>
    <x v="1"/>
    <n v="223500"/>
  </r>
  <r>
    <x v="156"/>
    <x v="0"/>
    <x v="1"/>
    <x v="2"/>
    <n v="91854"/>
  </r>
  <r>
    <x v="156"/>
    <x v="0"/>
    <x v="1"/>
    <x v="4"/>
    <n v="1300000"/>
  </r>
  <r>
    <x v="156"/>
    <x v="0"/>
    <x v="2"/>
    <x v="0"/>
    <n v="292663"/>
  </r>
  <r>
    <x v="156"/>
    <x v="0"/>
    <x v="2"/>
    <x v="1"/>
    <n v="283008"/>
  </r>
  <r>
    <x v="156"/>
    <x v="0"/>
    <x v="2"/>
    <x v="2"/>
    <n v="285193"/>
  </r>
  <r>
    <x v="156"/>
    <x v="0"/>
    <x v="2"/>
    <x v="3"/>
    <n v="3000"/>
  </r>
  <r>
    <x v="156"/>
    <x v="0"/>
    <x v="2"/>
    <x v="4"/>
    <n v="315000"/>
  </r>
  <r>
    <x v="156"/>
    <x v="0"/>
    <x v="8"/>
    <x v="4"/>
    <n v="520000"/>
  </r>
  <r>
    <x v="156"/>
    <x v="0"/>
    <x v="3"/>
    <x v="4"/>
    <n v="1000"/>
  </r>
  <r>
    <x v="156"/>
    <x v="0"/>
    <x v="6"/>
    <x v="0"/>
    <n v="4591"/>
  </r>
  <r>
    <x v="156"/>
    <x v="0"/>
    <x v="6"/>
    <x v="2"/>
    <n v="805"/>
  </r>
  <r>
    <x v="156"/>
    <x v="1"/>
    <x v="1"/>
    <x v="4"/>
    <n v="155477"/>
  </r>
  <r>
    <x v="156"/>
    <x v="1"/>
    <x v="2"/>
    <x v="1"/>
    <n v="9379"/>
  </r>
  <r>
    <x v="156"/>
    <x v="1"/>
    <x v="2"/>
    <x v="2"/>
    <n v="7193"/>
  </r>
  <r>
    <x v="157"/>
    <x v="0"/>
    <x v="0"/>
    <x v="0"/>
    <n v="3000"/>
  </r>
  <r>
    <x v="157"/>
    <x v="0"/>
    <x v="0"/>
    <x v="2"/>
    <n v="463"/>
  </r>
  <r>
    <x v="157"/>
    <x v="0"/>
    <x v="1"/>
    <x v="4"/>
    <n v="68220"/>
  </r>
  <r>
    <x v="157"/>
    <x v="0"/>
    <x v="2"/>
    <x v="1"/>
    <n v="54245"/>
  </r>
  <r>
    <x v="157"/>
    <x v="0"/>
    <x v="2"/>
    <x v="2"/>
    <n v="24297"/>
  </r>
  <r>
    <x v="157"/>
    <x v="0"/>
    <x v="2"/>
    <x v="3"/>
    <n v="27000"/>
  </r>
  <r>
    <x v="157"/>
    <x v="0"/>
    <x v="2"/>
    <x v="4"/>
    <n v="4000"/>
  </r>
  <r>
    <x v="157"/>
    <x v="1"/>
    <x v="1"/>
    <x v="4"/>
    <n v="11000"/>
  </r>
  <r>
    <x v="158"/>
    <x v="0"/>
    <x v="0"/>
    <x v="6"/>
    <n v="3500"/>
  </r>
  <r>
    <x v="158"/>
    <x v="0"/>
    <x v="0"/>
    <x v="0"/>
    <n v="148337"/>
  </r>
  <r>
    <x v="158"/>
    <x v="0"/>
    <x v="0"/>
    <x v="1"/>
    <n v="116186"/>
  </r>
  <r>
    <x v="158"/>
    <x v="0"/>
    <x v="0"/>
    <x v="2"/>
    <n v="91165"/>
  </r>
  <r>
    <x v="158"/>
    <x v="0"/>
    <x v="0"/>
    <x v="3"/>
    <n v="15327"/>
  </r>
  <r>
    <x v="158"/>
    <x v="0"/>
    <x v="0"/>
    <x v="4"/>
    <n v="73043"/>
  </r>
  <r>
    <x v="158"/>
    <x v="0"/>
    <x v="0"/>
    <x v="5"/>
    <n v="3280"/>
  </r>
  <r>
    <x v="158"/>
    <x v="0"/>
    <x v="7"/>
    <x v="1"/>
    <n v="146967"/>
  </r>
  <r>
    <x v="158"/>
    <x v="0"/>
    <x v="7"/>
    <x v="2"/>
    <n v="112119"/>
  </r>
  <r>
    <x v="158"/>
    <x v="0"/>
    <x v="7"/>
    <x v="3"/>
    <n v="3500"/>
  </r>
  <r>
    <x v="158"/>
    <x v="0"/>
    <x v="1"/>
    <x v="6"/>
    <n v="1900"/>
  </r>
  <r>
    <x v="158"/>
    <x v="0"/>
    <x v="1"/>
    <x v="0"/>
    <n v="1506556"/>
  </r>
  <r>
    <x v="158"/>
    <x v="0"/>
    <x v="1"/>
    <x v="1"/>
    <n v="55670"/>
  </r>
  <r>
    <x v="158"/>
    <x v="0"/>
    <x v="1"/>
    <x v="2"/>
    <n v="513055"/>
  </r>
  <r>
    <x v="158"/>
    <x v="0"/>
    <x v="1"/>
    <x v="3"/>
    <n v="20163"/>
  </r>
  <r>
    <x v="158"/>
    <x v="0"/>
    <x v="1"/>
    <x v="4"/>
    <n v="496996"/>
  </r>
  <r>
    <x v="158"/>
    <x v="0"/>
    <x v="1"/>
    <x v="5"/>
    <n v="22600"/>
  </r>
  <r>
    <x v="158"/>
    <x v="0"/>
    <x v="2"/>
    <x v="6"/>
    <n v="9005"/>
  </r>
  <r>
    <x v="158"/>
    <x v="0"/>
    <x v="2"/>
    <x v="0"/>
    <n v="2212749"/>
  </r>
  <r>
    <x v="158"/>
    <x v="0"/>
    <x v="2"/>
    <x v="1"/>
    <n v="629439"/>
  </r>
  <r>
    <x v="158"/>
    <x v="0"/>
    <x v="2"/>
    <x v="2"/>
    <n v="1107993"/>
  </r>
  <r>
    <x v="158"/>
    <x v="0"/>
    <x v="2"/>
    <x v="3"/>
    <n v="51618"/>
  </r>
  <r>
    <x v="158"/>
    <x v="0"/>
    <x v="2"/>
    <x v="4"/>
    <n v="98810"/>
  </r>
  <r>
    <x v="158"/>
    <x v="0"/>
    <x v="2"/>
    <x v="5"/>
    <n v="200"/>
  </r>
  <r>
    <x v="158"/>
    <x v="0"/>
    <x v="10"/>
    <x v="1"/>
    <n v="5340"/>
  </r>
  <r>
    <x v="158"/>
    <x v="0"/>
    <x v="10"/>
    <x v="2"/>
    <n v="850"/>
  </r>
  <r>
    <x v="158"/>
    <x v="0"/>
    <x v="10"/>
    <x v="4"/>
    <n v="3700"/>
  </r>
  <r>
    <x v="158"/>
    <x v="0"/>
    <x v="3"/>
    <x v="6"/>
    <n v="800"/>
  </r>
  <r>
    <x v="158"/>
    <x v="0"/>
    <x v="3"/>
    <x v="3"/>
    <n v="1850"/>
  </r>
  <r>
    <x v="158"/>
    <x v="0"/>
    <x v="3"/>
    <x v="4"/>
    <n v="54694"/>
  </r>
  <r>
    <x v="158"/>
    <x v="0"/>
    <x v="3"/>
    <x v="5"/>
    <n v="9525"/>
  </r>
  <r>
    <x v="158"/>
    <x v="0"/>
    <x v="5"/>
    <x v="3"/>
    <n v="400"/>
  </r>
  <r>
    <x v="158"/>
    <x v="0"/>
    <x v="5"/>
    <x v="4"/>
    <n v="382"/>
  </r>
  <r>
    <x v="158"/>
    <x v="0"/>
    <x v="6"/>
    <x v="0"/>
    <n v="63774"/>
  </r>
  <r>
    <x v="158"/>
    <x v="0"/>
    <x v="6"/>
    <x v="2"/>
    <n v="10099"/>
  </r>
  <r>
    <x v="158"/>
    <x v="1"/>
    <x v="0"/>
    <x v="4"/>
    <n v="16645"/>
  </r>
  <r>
    <x v="158"/>
    <x v="1"/>
    <x v="1"/>
    <x v="1"/>
    <n v="17645"/>
  </r>
  <r>
    <x v="158"/>
    <x v="1"/>
    <x v="1"/>
    <x v="2"/>
    <n v="10668"/>
  </r>
  <r>
    <x v="158"/>
    <x v="1"/>
    <x v="2"/>
    <x v="1"/>
    <n v="648147"/>
  </r>
  <r>
    <x v="158"/>
    <x v="1"/>
    <x v="2"/>
    <x v="2"/>
    <n v="415488"/>
  </r>
  <r>
    <x v="159"/>
    <x v="0"/>
    <x v="0"/>
    <x v="0"/>
    <n v="30823"/>
  </r>
  <r>
    <x v="159"/>
    <x v="0"/>
    <x v="0"/>
    <x v="2"/>
    <n v="9421"/>
  </r>
  <r>
    <x v="159"/>
    <x v="0"/>
    <x v="1"/>
    <x v="0"/>
    <n v="23158"/>
  </r>
  <r>
    <x v="159"/>
    <x v="0"/>
    <x v="1"/>
    <x v="2"/>
    <n v="3652"/>
  </r>
  <r>
    <x v="159"/>
    <x v="0"/>
    <x v="1"/>
    <x v="3"/>
    <n v="1250"/>
  </r>
  <r>
    <x v="159"/>
    <x v="0"/>
    <x v="1"/>
    <x v="4"/>
    <n v="125000"/>
  </r>
  <r>
    <x v="159"/>
    <x v="0"/>
    <x v="2"/>
    <x v="0"/>
    <n v="158378"/>
  </r>
  <r>
    <x v="159"/>
    <x v="0"/>
    <x v="2"/>
    <x v="1"/>
    <n v="213663"/>
  </r>
  <r>
    <x v="159"/>
    <x v="0"/>
    <x v="2"/>
    <x v="2"/>
    <n v="189953"/>
  </r>
  <r>
    <x v="159"/>
    <x v="0"/>
    <x v="2"/>
    <x v="3"/>
    <n v="10000"/>
  </r>
  <r>
    <x v="159"/>
    <x v="0"/>
    <x v="2"/>
    <x v="4"/>
    <n v="3150"/>
  </r>
  <r>
    <x v="159"/>
    <x v="0"/>
    <x v="2"/>
    <x v="5"/>
    <n v="1000"/>
  </r>
  <r>
    <x v="159"/>
    <x v="0"/>
    <x v="2"/>
    <x v="7"/>
    <n v="1000"/>
  </r>
  <r>
    <x v="159"/>
    <x v="0"/>
    <x v="6"/>
    <x v="2"/>
    <n v="1004"/>
  </r>
  <r>
    <x v="159"/>
    <x v="1"/>
    <x v="2"/>
    <x v="0"/>
    <n v="49964"/>
  </r>
  <r>
    <x v="159"/>
    <x v="1"/>
    <x v="2"/>
    <x v="2"/>
    <n v="21756"/>
  </r>
  <r>
    <x v="160"/>
    <x v="0"/>
    <x v="0"/>
    <x v="0"/>
    <n v="435635"/>
  </r>
  <r>
    <x v="160"/>
    <x v="0"/>
    <x v="0"/>
    <x v="1"/>
    <n v="138882"/>
  </r>
  <r>
    <x v="160"/>
    <x v="0"/>
    <x v="0"/>
    <x v="2"/>
    <n v="162789"/>
  </r>
  <r>
    <x v="160"/>
    <x v="0"/>
    <x v="0"/>
    <x v="4"/>
    <n v="2000"/>
  </r>
  <r>
    <x v="160"/>
    <x v="0"/>
    <x v="0"/>
    <x v="5"/>
    <n v="4500"/>
  </r>
  <r>
    <x v="160"/>
    <x v="0"/>
    <x v="7"/>
    <x v="1"/>
    <n v="325471"/>
  </r>
  <r>
    <x v="160"/>
    <x v="0"/>
    <x v="7"/>
    <x v="2"/>
    <n v="204960"/>
  </r>
  <r>
    <x v="160"/>
    <x v="0"/>
    <x v="1"/>
    <x v="0"/>
    <n v="10137752"/>
  </r>
  <r>
    <x v="160"/>
    <x v="0"/>
    <x v="1"/>
    <x v="1"/>
    <n v="468692"/>
  </r>
  <r>
    <x v="160"/>
    <x v="0"/>
    <x v="1"/>
    <x v="2"/>
    <n v="3251084"/>
  </r>
  <r>
    <x v="160"/>
    <x v="0"/>
    <x v="1"/>
    <x v="3"/>
    <n v="50650"/>
  </r>
  <r>
    <x v="160"/>
    <x v="0"/>
    <x v="1"/>
    <x v="4"/>
    <n v="733650"/>
  </r>
  <r>
    <x v="160"/>
    <x v="0"/>
    <x v="1"/>
    <x v="5"/>
    <n v="7500"/>
  </r>
  <r>
    <x v="160"/>
    <x v="0"/>
    <x v="2"/>
    <x v="6"/>
    <n v="10700"/>
  </r>
  <r>
    <x v="160"/>
    <x v="0"/>
    <x v="2"/>
    <x v="0"/>
    <n v="13585007"/>
  </r>
  <r>
    <x v="160"/>
    <x v="0"/>
    <x v="2"/>
    <x v="1"/>
    <n v="11305442"/>
  </r>
  <r>
    <x v="160"/>
    <x v="0"/>
    <x v="2"/>
    <x v="2"/>
    <n v="11167178"/>
  </r>
  <r>
    <x v="160"/>
    <x v="0"/>
    <x v="2"/>
    <x v="3"/>
    <n v="61450"/>
  </r>
  <r>
    <x v="160"/>
    <x v="0"/>
    <x v="2"/>
    <x v="4"/>
    <n v="2945300"/>
  </r>
  <r>
    <x v="160"/>
    <x v="0"/>
    <x v="2"/>
    <x v="5"/>
    <n v="14000"/>
  </r>
  <r>
    <x v="160"/>
    <x v="0"/>
    <x v="3"/>
    <x v="0"/>
    <n v="519395"/>
  </r>
  <r>
    <x v="160"/>
    <x v="0"/>
    <x v="3"/>
    <x v="2"/>
    <n v="84846"/>
  </r>
  <r>
    <x v="160"/>
    <x v="0"/>
    <x v="3"/>
    <x v="4"/>
    <n v="17500"/>
  </r>
  <r>
    <x v="160"/>
    <x v="0"/>
    <x v="4"/>
    <x v="3"/>
    <n v="10000"/>
  </r>
  <r>
    <x v="160"/>
    <x v="0"/>
    <x v="5"/>
    <x v="3"/>
    <n v="103160"/>
  </r>
  <r>
    <x v="160"/>
    <x v="0"/>
    <x v="5"/>
    <x v="4"/>
    <n v="75000"/>
  </r>
  <r>
    <x v="160"/>
    <x v="0"/>
    <x v="6"/>
    <x v="0"/>
    <n v="385020"/>
  </r>
  <r>
    <x v="160"/>
    <x v="0"/>
    <x v="6"/>
    <x v="2"/>
    <n v="62919"/>
  </r>
  <r>
    <x v="160"/>
    <x v="1"/>
    <x v="1"/>
    <x v="1"/>
    <n v="45921"/>
  </r>
  <r>
    <x v="160"/>
    <x v="1"/>
    <x v="1"/>
    <x v="2"/>
    <n v="23078"/>
  </r>
  <r>
    <x v="160"/>
    <x v="1"/>
    <x v="2"/>
    <x v="0"/>
    <n v="1529689"/>
  </r>
  <r>
    <x v="160"/>
    <x v="1"/>
    <x v="2"/>
    <x v="1"/>
    <n v="265126"/>
  </r>
  <r>
    <x v="160"/>
    <x v="1"/>
    <x v="2"/>
    <x v="2"/>
    <n v="619478"/>
  </r>
  <r>
    <x v="160"/>
    <x v="1"/>
    <x v="2"/>
    <x v="3"/>
    <n v="2500"/>
  </r>
  <r>
    <x v="160"/>
    <x v="1"/>
    <x v="2"/>
    <x v="4"/>
    <n v="740950"/>
  </r>
  <r>
    <x v="160"/>
    <x v="1"/>
    <x v="3"/>
    <x v="3"/>
    <n v="2500"/>
  </r>
  <r>
    <x v="160"/>
    <x v="1"/>
    <x v="3"/>
    <x v="4"/>
    <n v="2500"/>
  </r>
  <r>
    <x v="160"/>
    <x v="1"/>
    <x v="3"/>
    <x v="5"/>
    <n v="2500"/>
  </r>
  <r>
    <x v="161"/>
    <x v="0"/>
    <x v="2"/>
    <x v="4"/>
    <n v="628911"/>
  </r>
  <r>
    <x v="162"/>
    <x v="0"/>
    <x v="0"/>
    <x v="0"/>
    <n v="418188"/>
  </r>
  <r>
    <x v="162"/>
    <x v="0"/>
    <x v="0"/>
    <x v="1"/>
    <n v="60175"/>
  </r>
  <r>
    <x v="162"/>
    <x v="0"/>
    <x v="0"/>
    <x v="2"/>
    <n v="130661"/>
  </r>
  <r>
    <x v="162"/>
    <x v="0"/>
    <x v="0"/>
    <x v="3"/>
    <n v="1000"/>
  </r>
  <r>
    <x v="162"/>
    <x v="0"/>
    <x v="0"/>
    <x v="4"/>
    <n v="3000"/>
  </r>
  <r>
    <x v="162"/>
    <x v="0"/>
    <x v="11"/>
    <x v="1"/>
    <n v="31140"/>
  </r>
  <r>
    <x v="162"/>
    <x v="0"/>
    <x v="11"/>
    <x v="2"/>
    <n v="18855"/>
  </r>
  <r>
    <x v="162"/>
    <x v="0"/>
    <x v="9"/>
    <x v="0"/>
    <n v="9975"/>
  </r>
  <r>
    <x v="162"/>
    <x v="0"/>
    <x v="9"/>
    <x v="2"/>
    <n v="3212"/>
  </r>
  <r>
    <x v="162"/>
    <x v="0"/>
    <x v="7"/>
    <x v="5"/>
    <n v="250"/>
  </r>
  <r>
    <x v="162"/>
    <x v="0"/>
    <x v="1"/>
    <x v="0"/>
    <n v="3689709"/>
  </r>
  <r>
    <x v="162"/>
    <x v="0"/>
    <x v="1"/>
    <x v="1"/>
    <n v="136636"/>
  </r>
  <r>
    <x v="162"/>
    <x v="0"/>
    <x v="1"/>
    <x v="2"/>
    <n v="1343863"/>
  </r>
  <r>
    <x v="162"/>
    <x v="0"/>
    <x v="1"/>
    <x v="3"/>
    <n v="32500"/>
  </r>
  <r>
    <x v="162"/>
    <x v="0"/>
    <x v="1"/>
    <x v="4"/>
    <n v="1122200"/>
  </r>
  <r>
    <x v="162"/>
    <x v="0"/>
    <x v="1"/>
    <x v="5"/>
    <n v="2100"/>
  </r>
  <r>
    <x v="162"/>
    <x v="0"/>
    <x v="2"/>
    <x v="0"/>
    <n v="7645762"/>
  </r>
  <r>
    <x v="162"/>
    <x v="0"/>
    <x v="2"/>
    <x v="1"/>
    <n v="7817436"/>
  </r>
  <r>
    <x v="162"/>
    <x v="0"/>
    <x v="2"/>
    <x v="2"/>
    <n v="7860985"/>
  </r>
  <r>
    <x v="162"/>
    <x v="0"/>
    <x v="2"/>
    <x v="3"/>
    <n v="121000"/>
  </r>
  <r>
    <x v="162"/>
    <x v="0"/>
    <x v="2"/>
    <x v="4"/>
    <n v="2358655"/>
  </r>
  <r>
    <x v="162"/>
    <x v="0"/>
    <x v="2"/>
    <x v="5"/>
    <n v="6800"/>
  </r>
  <r>
    <x v="162"/>
    <x v="0"/>
    <x v="3"/>
    <x v="0"/>
    <n v="237405"/>
  </r>
  <r>
    <x v="162"/>
    <x v="0"/>
    <x v="3"/>
    <x v="2"/>
    <n v="35707"/>
  </r>
  <r>
    <x v="162"/>
    <x v="0"/>
    <x v="6"/>
    <x v="0"/>
    <n v="256476"/>
  </r>
  <r>
    <x v="162"/>
    <x v="0"/>
    <x v="6"/>
    <x v="2"/>
    <n v="38904"/>
  </r>
  <r>
    <x v="160"/>
    <x v="2"/>
    <x v="0"/>
    <x v="4"/>
    <n v="100000"/>
  </r>
  <r>
    <x v="162"/>
    <x v="1"/>
    <x v="0"/>
    <x v="0"/>
    <n v="96477"/>
  </r>
  <r>
    <x v="162"/>
    <x v="1"/>
    <x v="0"/>
    <x v="2"/>
    <n v="27245"/>
  </r>
  <r>
    <x v="162"/>
    <x v="1"/>
    <x v="9"/>
    <x v="0"/>
    <n v="9975"/>
  </r>
  <r>
    <x v="162"/>
    <x v="1"/>
    <x v="9"/>
    <x v="2"/>
    <n v="3212"/>
  </r>
  <r>
    <x v="162"/>
    <x v="1"/>
    <x v="2"/>
    <x v="0"/>
    <n v="988247"/>
  </r>
  <r>
    <x v="162"/>
    <x v="1"/>
    <x v="2"/>
    <x v="1"/>
    <n v="189562"/>
  </r>
  <r>
    <x v="162"/>
    <x v="1"/>
    <x v="2"/>
    <x v="2"/>
    <n v="449540"/>
  </r>
  <r>
    <x v="162"/>
    <x v="1"/>
    <x v="2"/>
    <x v="3"/>
    <n v="25750"/>
  </r>
  <r>
    <x v="162"/>
    <x v="1"/>
    <x v="2"/>
    <x v="4"/>
    <n v="329500"/>
  </r>
  <r>
    <x v="162"/>
    <x v="1"/>
    <x v="2"/>
    <x v="5"/>
    <n v="750"/>
  </r>
  <r>
    <x v="162"/>
    <x v="1"/>
    <x v="3"/>
    <x v="4"/>
    <n v="1000"/>
  </r>
  <r>
    <x v="163"/>
    <x v="0"/>
    <x v="0"/>
    <x v="0"/>
    <n v="160063"/>
  </r>
  <r>
    <x v="163"/>
    <x v="0"/>
    <x v="0"/>
    <x v="1"/>
    <n v="73837"/>
  </r>
  <r>
    <x v="163"/>
    <x v="0"/>
    <x v="0"/>
    <x v="2"/>
    <n v="75880"/>
  </r>
  <r>
    <x v="163"/>
    <x v="0"/>
    <x v="0"/>
    <x v="3"/>
    <n v="1000"/>
  </r>
  <r>
    <x v="163"/>
    <x v="0"/>
    <x v="0"/>
    <x v="4"/>
    <n v="12852"/>
  </r>
  <r>
    <x v="163"/>
    <x v="0"/>
    <x v="0"/>
    <x v="5"/>
    <n v="250"/>
  </r>
  <r>
    <x v="163"/>
    <x v="0"/>
    <x v="1"/>
    <x v="0"/>
    <n v="1340387"/>
  </r>
  <r>
    <x v="163"/>
    <x v="0"/>
    <x v="1"/>
    <x v="1"/>
    <n v="143501"/>
  </r>
  <r>
    <x v="163"/>
    <x v="0"/>
    <x v="1"/>
    <x v="2"/>
    <n v="490617"/>
  </r>
  <r>
    <x v="163"/>
    <x v="0"/>
    <x v="1"/>
    <x v="3"/>
    <n v="5000"/>
  </r>
  <r>
    <x v="163"/>
    <x v="0"/>
    <x v="1"/>
    <x v="4"/>
    <n v="485900"/>
  </r>
  <r>
    <x v="163"/>
    <x v="0"/>
    <x v="1"/>
    <x v="5"/>
    <n v="4000"/>
  </r>
  <r>
    <x v="163"/>
    <x v="0"/>
    <x v="2"/>
    <x v="0"/>
    <n v="1808941"/>
  </r>
  <r>
    <x v="163"/>
    <x v="0"/>
    <x v="2"/>
    <x v="1"/>
    <n v="2531211"/>
  </r>
  <r>
    <x v="163"/>
    <x v="0"/>
    <x v="2"/>
    <x v="2"/>
    <n v="2288645"/>
  </r>
  <r>
    <x v="163"/>
    <x v="0"/>
    <x v="2"/>
    <x v="3"/>
    <n v="10000"/>
  </r>
  <r>
    <x v="163"/>
    <x v="0"/>
    <x v="2"/>
    <x v="4"/>
    <n v="489850"/>
  </r>
  <r>
    <x v="163"/>
    <x v="0"/>
    <x v="2"/>
    <x v="5"/>
    <n v="9500"/>
  </r>
  <r>
    <x v="163"/>
    <x v="0"/>
    <x v="6"/>
    <x v="0"/>
    <n v="48325"/>
  </r>
  <r>
    <x v="163"/>
    <x v="0"/>
    <x v="6"/>
    <x v="2"/>
    <n v="8016"/>
  </r>
  <r>
    <x v="163"/>
    <x v="1"/>
    <x v="2"/>
    <x v="0"/>
    <n v="536463"/>
  </r>
  <r>
    <x v="163"/>
    <x v="1"/>
    <x v="2"/>
    <x v="2"/>
    <n v="181685"/>
  </r>
  <r>
    <x v="164"/>
    <x v="0"/>
    <x v="2"/>
    <x v="4"/>
    <n v="43214"/>
  </r>
  <r>
    <x v="165"/>
    <x v="0"/>
    <x v="0"/>
    <x v="0"/>
    <n v="141870"/>
  </r>
  <r>
    <x v="165"/>
    <x v="0"/>
    <x v="0"/>
    <x v="1"/>
    <n v="125267"/>
  </r>
  <r>
    <x v="165"/>
    <x v="0"/>
    <x v="0"/>
    <x v="2"/>
    <n v="96114"/>
  </r>
  <r>
    <x v="165"/>
    <x v="0"/>
    <x v="9"/>
    <x v="0"/>
    <n v="109225"/>
  </r>
  <r>
    <x v="165"/>
    <x v="0"/>
    <x v="9"/>
    <x v="2"/>
    <n v="33481"/>
  </r>
  <r>
    <x v="165"/>
    <x v="0"/>
    <x v="1"/>
    <x v="0"/>
    <n v="356631"/>
  </r>
  <r>
    <x v="165"/>
    <x v="0"/>
    <x v="1"/>
    <x v="2"/>
    <n v="121357"/>
  </r>
  <r>
    <x v="165"/>
    <x v="0"/>
    <x v="2"/>
    <x v="0"/>
    <n v="3532561"/>
  </r>
  <r>
    <x v="165"/>
    <x v="0"/>
    <x v="2"/>
    <x v="1"/>
    <n v="1185986"/>
  </r>
  <r>
    <x v="165"/>
    <x v="0"/>
    <x v="2"/>
    <x v="2"/>
    <n v="1955929"/>
  </r>
  <r>
    <x v="165"/>
    <x v="0"/>
    <x v="2"/>
    <x v="3"/>
    <n v="918621"/>
  </r>
  <r>
    <x v="165"/>
    <x v="0"/>
    <x v="2"/>
    <x v="4"/>
    <n v="4646721"/>
  </r>
  <r>
    <x v="165"/>
    <x v="0"/>
    <x v="3"/>
    <x v="0"/>
    <n v="32401"/>
  </r>
  <r>
    <x v="165"/>
    <x v="0"/>
    <x v="3"/>
    <x v="2"/>
    <n v="5232"/>
  </r>
  <r>
    <x v="165"/>
    <x v="0"/>
    <x v="6"/>
    <x v="0"/>
    <n v="26062"/>
  </r>
  <r>
    <x v="165"/>
    <x v="0"/>
    <x v="6"/>
    <x v="2"/>
    <n v="4286"/>
  </r>
  <r>
    <x v="166"/>
    <x v="0"/>
    <x v="0"/>
    <x v="0"/>
    <n v="26569"/>
  </r>
  <r>
    <x v="166"/>
    <x v="0"/>
    <x v="0"/>
    <x v="2"/>
    <n v="6564"/>
  </r>
  <r>
    <x v="164"/>
    <x v="1"/>
    <x v="3"/>
    <x v="0"/>
    <n v="540"/>
  </r>
  <r>
    <x v="164"/>
    <x v="1"/>
    <x v="3"/>
    <x v="2"/>
    <n v="98"/>
  </r>
  <r>
    <x v="164"/>
    <x v="1"/>
    <x v="3"/>
    <x v="4"/>
    <n v="2602"/>
  </r>
  <r>
    <x v="164"/>
    <x v="1"/>
    <x v="3"/>
    <x v="5"/>
    <n v="1334"/>
  </r>
  <r>
    <x v="166"/>
    <x v="0"/>
    <x v="1"/>
    <x v="4"/>
    <n v="299319"/>
  </r>
  <r>
    <x v="166"/>
    <x v="0"/>
    <x v="2"/>
    <x v="0"/>
    <n v="60854"/>
  </r>
  <r>
    <x v="166"/>
    <x v="0"/>
    <x v="2"/>
    <x v="1"/>
    <n v="159908"/>
  </r>
  <r>
    <x v="166"/>
    <x v="0"/>
    <x v="2"/>
    <x v="2"/>
    <n v="130894"/>
  </r>
  <r>
    <x v="166"/>
    <x v="0"/>
    <x v="2"/>
    <x v="3"/>
    <n v="1500"/>
  </r>
  <r>
    <x v="166"/>
    <x v="0"/>
    <x v="2"/>
    <x v="5"/>
    <n v="1000"/>
  </r>
  <r>
    <x v="166"/>
    <x v="0"/>
    <x v="3"/>
    <x v="4"/>
    <n v="2000"/>
  </r>
  <r>
    <x v="166"/>
    <x v="0"/>
    <x v="4"/>
    <x v="3"/>
    <n v="2889"/>
  </r>
  <r>
    <x v="166"/>
    <x v="0"/>
    <x v="5"/>
    <x v="3"/>
    <n v="12388"/>
  </r>
  <r>
    <x v="166"/>
    <x v="0"/>
    <x v="6"/>
    <x v="0"/>
    <n v="778"/>
  </r>
  <r>
    <x v="166"/>
    <x v="0"/>
    <x v="6"/>
    <x v="2"/>
    <n v="157"/>
  </r>
  <r>
    <x v="166"/>
    <x v="1"/>
    <x v="1"/>
    <x v="4"/>
    <n v="18140"/>
  </r>
  <r>
    <x v="166"/>
    <x v="1"/>
    <x v="2"/>
    <x v="1"/>
    <n v="20940"/>
  </r>
  <r>
    <x v="166"/>
    <x v="1"/>
    <x v="2"/>
    <x v="2"/>
    <n v="14381"/>
  </r>
  <r>
    <x v="166"/>
    <x v="1"/>
    <x v="3"/>
    <x v="4"/>
    <n v="4693"/>
  </r>
  <r>
    <x v="165"/>
    <x v="1"/>
    <x v="2"/>
    <x v="0"/>
    <n v="693205"/>
  </r>
  <r>
    <x v="165"/>
    <x v="1"/>
    <x v="2"/>
    <x v="1"/>
    <n v="13468"/>
  </r>
  <r>
    <x v="165"/>
    <x v="1"/>
    <x v="2"/>
    <x v="2"/>
    <n v="265526"/>
  </r>
  <r>
    <x v="166"/>
    <x v="2"/>
    <x v="1"/>
    <x v="4"/>
    <n v="13150"/>
  </r>
  <r>
    <x v="166"/>
    <x v="2"/>
    <x v="8"/>
    <x v="4"/>
    <n v="6200"/>
  </r>
  <r>
    <x v="167"/>
    <x v="0"/>
    <x v="0"/>
    <x v="0"/>
    <n v="93202"/>
  </r>
  <r>
    <x v="167"/>
    <x v="0"/>
    <x v="0"/>
    <x v="1"/>
    <n v="28928"/>
  </r>
  <r>
    <x v="167"/>
    <x v="0"/>
    <x v="0"/>
    <x v="2"/>
    <n v="29078"/>
  </r>
  <r>
    <x v="167"/>
    <x v="0"/>
    <x v="0"/>
    <x v="3"/>
    <n v="300"/>
  </r>
  <r>
    <x v="167"/>
    <x v="0"/>
    <x v="0"/>
    <x v="4"/>
    <n v="250"/>
  </r>
  <r>
    <x v="167"/>
    <x v="0"/>
    <x v="1"/>
    <x v="0"/>
    <n v="466026"/>
  </r>
  <r>
    <x v="167"/>
    <x v="0"/>
    <x v="1"/>
    <x v="2"/>
    <n v="153022"/>
  </r>
  <r>
    <x v="167"/>
    <x v="0"/>
    <x v="1"/>
    <x v="3"/>
    <n v="5200"/>
  </r>
  <r>
    <x v="167"/>
    <x v="0"/>
    <x v="1"/>
    <x v="4"/>
    <n v="165538"/>
  </r>
  <r>
    <x v="167"/>
    <x v="0"/>
    <x v="2"/>
    <x v="0"/>
    <n v="522260"/>
  </r>
  <r>
    <x v="167"/>
    <x v="0"/>
    <x v="2"/>
    <x v="1"/>
    <n v="789182"/>
  </r>
  <r>
    <x v="167"/>
    <x v="0"/>
    <x v="2"/>
    <x v="2"/>
    <n v="653602"/>
  </r>
  <r>
    <x v="167"/>
    <x v="0"/>
    <x v="2"/>
    <x v="3"/>
    <n v="13500"/>
  </r>
  <r>
    <x v="167"/>
    <x v="0"/>
    <x v="2"/>
    <x v="4"/>
    <n v="125000"/>
  </r>
  <r>
    <x v="167"/>
    <x v="0"/>
    <x v="2"/>
    <x v="5"/>
    <n v="1000"/>
  </r>
  <r>
    <x v="167"/>
    <x v="0"/>
    <x v="3"/>
    <x v="0"/>
    <n v="15837"/>
  </r>
  <r>
    <x v="167"/>
    <x v="0"/>
    <x v="3"/>
    <x v="2"/>
    <n v="2585"/>
  </r>
  <r>
    <x v="167"/>
    <x v="0"/>
    <x v="3"/>
    <x v="4"/>
    <n v="1500"/>
  </r>
  <r>
    <x v="167"/>
    <x v="0"/>
    <x v="6"/>
    <x v="0"/>
    <n v="15837"/>
  </r>
  <r>
    <x v="167"/>
    <x v="0"/>
    <x v="6"/>
    <x v="2"/>
    <n v="4867"/>
  </r>
  <r>
    <x v="167"/>
    <x v="1"/>
    <x v="2"/>
    <x v="0"/>
    <n v="224688"/>
  </r>
  <r>
    <x v="167"/>
    <x v="1"/>
    <x v="2"/>
    <x v="2"/>
    <n v="89078"/>
  </r>
  <r>
    <x v="167"/>
    <x v="1"/>
    <x v="3"/>
    <x v="0"/>
    <n v="7490"/>
  </r>
  <r>
    <x v="167"/>
    <x v="1"/>
    <x v="3"/>
    <x v="2"/>
    <n v="2423"/>
  </r>
  <r>
    <x v="168"/>
    <x v="0"/>
    <x v="0"/>
    <x v="0"/>
    <n v="31973"/>
  </r>
  <r>
    <x v="168"/>
    <x v="0"/>
    <x v="0"/>
    <x v="2"/>
    <n v="8194"/>
  </r>
  <r>
    <x v="168"/>
    <x v="0"/>
    <x v="1"/>
    <x v="4"/>
    <n v="30000"/>
  </r>
  <r>
    <x v="168"/>
    <x v="0"/>
    <x v="2"/>
    <x v="0"/>
    <n v="408255"/>
  </r>
  <r>
    <x v="168"/>
    <x v="0"/>
    <x v="2"/>
    <x v="1"/>
    <n v="443617"/>
  </r>
  <r>
    <x v="168"/>
    <x v="0"/>
    <x v="2"/>
    <x v="2"/>
    <n v="478115"/>
  </r>
  <r>
    <x v="168"/>
    <x v="0"/>
    <x v="2"/>
    <x v="3"/>
    <n v="4750"/>
  </r>
  <r>
    <x v="168"/>
    <x v="0"/>
    <x v="2"/>
    <x v="4"/>
    <n v="917000"/>
  </r>
  <r>
    <x v="168"/>
    <x v="0"/>
    <x v="5"/>
    <x v="3"/>
    <n v="15000"/>
  </r>
  <r>
    <x v="168"/>
    <x v="0"/>
    <x v="6"/>
    <x v="0"/>
    <n v="6791"/>
  </r>
  <r>
    <x v="168"/>
    <x v="0"/>
    <x v="6"/>
    <x v="2"/>
    <n v="2581"/>
  </r>
  <r>
    <x v="168"/>
    <x v="1"/>
    <x v="2"/>
    <x v="1"/>
    <n v="4733"/>
  </r>
  <r>
    <x v="168"/>
    <x v="1"/>
    <x v="2"/>
    <x v="2"/>
    <n v="3926"/>
  </r>
  <r>
    <x v="168"/>
    <x v="1"/>
    <x v="2"/>
    <x v="4"/>
    <n v="201169"/>
  </r>
  <r>
    <x v="169"/>
    <x v="0"/>
    <x v="0"/>
    <x v="0"/>
    <n v="17500"/>
  </r>
  <r>
    <x v="169"/>
    <x v="0"/>
    <x v="0"/>
    <x v="1"/>
    <n v="38936"/>
  </r>
  <r>
    <x v="169"/>
    <x v="0"/>
    <x v="0"/>
    <x v="2"/>
    <n v="21894"/>
  </r>
  <r>
    <x v="169"/>
    <x v="0"/>
    <x v="1"/>
    <x v="0"/>
    <n v="276439"/>
  </r>
  <r>
    <x v="169"/>
    <x v="0"/>
    <x v="1"/>
    <x v="1"/>
    <n v="15927"/>
  </r>
  <r>
    <x v="169"/>
    <x v="0"/>
    <x v="1"/>
    <x v="2"/>
    <n v="102572"/>
  </r>
  <r>
    <x v="169"/>
    <x v="0"/>
    <x v="1"/>
    <x v="4"/>
    <n v="104481"/>
  </r>
  <r>
    <x v="169"/>
    <x v="0"/>
    <x v="2"/>
    <x v="0"/>
    <n v="844072"/>
  </r>
  <r>
    <x v="169"/>
    <x v="0"/>
    <x v="2"/>
    <x v="1"/>
    <n v="485732"/>
  </r>
  <r>
    <x v="169"/>
    <x v="0"/>
    <x v="2"/>
    <x v="2"/>
    <n v="624561"/>
  </r>
  <r>
    <x v="169"/>
    <x v="0"/>
    <x v="2"/>
    <x v="3"/>
    <n v="37093"/>
  </r>
  <r>
    <x v="169"/>
    <x v="0"/>
    <x v="2"/>
    <x v="4"/>
    <n v="25848"/>
  </r>
  <r>
    <x v="169"/>
    <x v="0"/>
    <x v="2"/>
    <x v="5"/>
    <n v="3803"/>
  </r>
  <r>
    <x v="169"/>
    <x v="0"/>
    <x v="6"/>
    <x v="0"/>
    <n v="18118"/>
  </r>
  <r>
    <x v="169"/>
    <x v="1"/>
    <x v="1"/>
    <x v="1"/>
    <n v="15333"/>
  </r>
  <r>
    <x v="169"/>
    <x v="1"/>
    <x v="1"/>
    <x v="2"/>
    <n v="10090"/>
  </r>
  <r>
    <x v="169"/>
    <x v="1"/>
    <x v="2"/>
    <x v="0"/>
    <n v="78280"/>
  </r>
  <r>
    <x v="169"/>
    <x v="1"/>
    <x v="2"/>
    <x v="1"/>
    <n v="105239"/>
  </r>
  <r>
    <x v="169"/>
    <x v="1"/>
    <x v="2"/>
    <x v="2"/>
    <n v="102548"/>
  </r>
  <r>
    <x v="169"/>
    <x v="1"/>
    <x v="2"/>
    <x v="3"/>
    <n v="1214"/>
  </r>
  <r>
    <x v="169"/>
    <x v="1"/>
    <x v="2"/>
    <x v="4"/>
    <n v="500"/>
  </r>
  <r>
    <x v="169"/>
    <x v="1"/>
    <x v="2"/>
    <x v="5"/>
    <n v="10155"/>
  </r>
  <r>
    <x v="169"/>
    <x v="1"/>
    <x v="3"/>
    <x v="1"/>
    <n v="4025"/>
  </r>
  <r>
    <x v="169"/>
    <x v="1"/>
    <x v="3"/>
    <x v="3"/>
    <n v="500"/>
  </r>
  <r>
    <x v="169"/>
    <x v="1"/>
    <x v="3"/>
    <x v="4"/>
    <n v="500"/>
  </r>
  <r>
    <x v="169"/>
    <x v="1"/>
    <x v="3"/>
    <x v="5"/>
    <n v="500"/>
  </r>
  <r>
    <x v="170"/>
    <x v="0"/>
    <x v="1"/>
    <x v="4"/>
    <n v="50000"/>
  </r>
  <r>
    <x v="170"/>
    <x v="0"/>
    <x v="2"/>
    <x v="0"/>
    <n v="82861"/>
  </r>
  <r>
    <x v="170"/>
    <x v="0"/>
    <x v="2"/>
    <x v="1"/>
    <n v="122994"/>
  </r>
  <r>
    <x v="170"/>
    <x v="0"/>
    <x v="2"/>
    <x v="2"/>
    <n v="97239"/>
  </r>
  <r>
    <x v="170"/>
    <x v="0"/>
    <x v="2"/>
    <x v="3"/>
    <n v="2250"/>
  </r>
  <r>
    <x v="170"/>
    <x v="0"/>
    <x v="3"/>
    <x v="4"/>
    <n v="1500"/>
  </r>
  <r>
    <x v="170"/>
    <x v="1"/>
    <x v="1"/>
    <x v="4"/>
    <n v="47926"/>
  </r>
  <r>
    <x v="171"/>
    <x v="0"/>
    <x v="0"/>
    <x v="0"/>
    <n v="22929"/>
  </r>
  <r>
    <x v="171"/>
    <x v="0"/>
    <x v="0"/>
    <x v="2"/>
    <n v="8456"/>
  </r>
  <r>
    <x v="171"/>
    <x v="0"/>
    <x v="1"/>
    <x v="0"/>
    <n v="48835"/>
  </r>
  <r>
    <x v="171"/>
    <x v="0"/>
    <x v="1"/>
    <x v="2"/>
    <n v="18992"/>
  </r>
  <r>
    <x v="171"/>
    <x v="0"/>
    <x v="2"/>
    <x v="0"/>
    <n v="123674"/>
  </r>
  <r>
    <x v="171"/>
    <x v="0"/>
    <x v="2"/>
    <x v="1"/>
    <n v="138243"/>
  </r>
  <r>
    <x v="171"/>
    <x v="0"/>
    <x v="2"/>
    <x v="2"/>
    <n v="169969"/>
  </r>
  <r>
    <x v="171"/>
    <x v="0"/>
    <x v="2"/>
    <x v="3"/>
    <n v="57025"/>
  </r>
  <r>
    <x v="171"/>
    <x v="0"/>
    <x v="2"/>
    <x v="4"/>
    <n v="5381"/>
  </r>
  <r>
    <x v="171"/>
    <x v="0"/>
    <x v="2"/>
    <x v="5"/>
    <n v="1140"/>
  </r>
  <r>
    <x v="171"/>
    <x v="0"/>
    <x v="5"/>
    <x v="3"/>
    <n v="20000"/>
  </r>
  <r>
    <x v="171"/>
    <x v="1"/>
    <x v="1"/>
    <x v="4"/>
    <n v="54744"/>
  </r>
  <r>
    <x v="172"/>
    <x v="0"/>
    <x v="1"/>
    <x v="4"/>
    <n v="125000"/>
  </r>
  <r>
    <x v="172"/>
    <x v="0"/>
    <x v="2"/>
    <x v="0"/>
    <n v="156573"/>
  </r>
  <r>
    <x v="172"/>
    <x v="0"/>
    <x v="2"/>
    <x v="1"/>
    <n v="59112"/>
  </r>
  <r>
    <x v="172"/>
    <x v="0"/>
    <x v="2"/>
    <x v="2"/>
    <n v="96498"/>
  </r>
  <r>
    <x v="172"/>
    <x v="0"/>
    <x v="2"/>
    <x v="3"/>
    <n v="17500"/>
  </r>
  <r>
    <x v="172"/>
    <x v="0"/>
    <x v="2"/>
    <x v="4"/>
    <n v="35000"/>
  </r>
  <r>
    <x v="172"/>
    <x v="0"/>
    <x v="3"/>
    <x v="0"/>
    <n v="2752"/>
  </r>
  <r>
    <x v="172"/>
    <x v="0"/>
    <x v="3"/>
    <x v="2"/>
    <n v="385"/>
  </r>
  <r>
    <x v="172"/>
    <x v="0"/>
    <x v="3"/>
    <x v="5"/>
    <n v="1000"/>
  </r>
  <r>
    <x v="172"/>
    <x v="0"/>
    <x v="6"/>
    <x v="0"/>
    <n v="901"/>
  </r>
  <r>
    <x v="172"/>
    <x v="0"/>
    <x v="6"/>
    <x v="2"/>
    <n v="211"/>
  </r>
  <r>
    <x v="173"/>
    <x v="0"/>
    <x v="0"/>
    <x v="0"/>
    <n v="7380"/>
  </r>
  <r>
    <x v="173"/>
    <x v="0"/>
    <x v="0"/>
    <x v="2"/>
    <n v="3434"/>
  </r>
  <r>
    <x v="173"/>
    <x v="0"/>
    <x v="1"/>
    <x v="4"/>
    <n v="7000"/>
  </r>
  <r>
    <x v="173"/>
    <x v="0"/>
    <x v="2"/>
    <x v="0"/>
    <n v="63444"/>
  </r>
  <r>
    <x v="173"/>
    <x v="0"/>
    <x v="2"/>
    <x v="1"/>
    <n v="13130"/>
  </r>
  <r>
    <x v="173"/>
    <x v="0"/>
    <x v="2"/>
    <x v="2"/>
    <n v="35296"/>
  </r>
  <r>
    <x v="173"/>
    <x v="1"/>
    <x v="1"/>
    <x v="4"/>
    <n v="13025"/>
  </r>
  <r>
    <x v="172"/>
    <x v="1"/>
    <x v="1"/>
    <x v="4"/>
    <n v="55000"/>
  </r>
  <r>
    <x v="152"/>
    <x v="1"/>
    <x v="0"/>
    <x v="1"/>
    <n v="48838"/>
  </r>
  <r>
    <x v="152"/>
    <x v="1"/>
    <x v="0"/>
    <x v="2"/>
    <n v="24226"/>
  </r>
  <r>
    <x v="152"/>
    <x v="1"/>
    <x v="0"/>
    <x v="3"/>
    <n v="3000"/>
  </r>
  <r>
    <x v="152"/>
    <x v="1"/>
    <x v="0"/>
    <x v="4"/>
    <n v="3000"/>
  </r>
  <r>
    <x v="152"/>
    <x v="1"/>
    <x v="1"/>
    <x v="0"/>
    <n v="2000"/>
  </r>
  <r>
    <x v="152"/>
    <x v="1"/>
    <x v="1"/>
    <x v="1"/>
    <n v="81009"/>
  </r>
  <r>
    <x v="152"/>
    <x v="1"/>
    <x v="1"/>
    <x v="2"/>
    <n v="61554"/>
  </r>
  <r>
    <x v="174"/>
    <x v="0"/>
    <x v="0"/>
    <x v="0"/>
    <n v="142223"/>
  </r>
  <r>
    <x v="174"/>
    <x v="0"/>
    <x v="0"/>
    <x v="1"/>
    <n v="27812"/>
  </r>
  <r>
    <x v="174"/>
    <x v="0"/>
    <x v="0"/>
    <x v="2"/>
    <n v="49532"/>
  </r>
  <r>
    <x v="174"/>
    <x v="0"/>
    <x v="0"/>
    <x v="3"/>
    <n v="350"/>
  </r>
  <r>
    <x v="174"/>
    <x v="0"/>
    <x v="0"/>
    <x v="4"/>
    <n v="1200"/>
  </r>
  <r>
    <x v="174"/>
    <x v="0"/>
    <x v="1"/>
    <x v="0"/>
    <n v="190804"/>
  </r>
  <r>
    <x v="174"/>
    <x v="0"/>
    <x v="1"/>
    <x v="1"/>
    <n v="44689"/>
  </r>
  <r>
    <x v="174"/>
    <x v="0"/>
    <x v="1"/>
    <x v="2"/>
    <n v="101264"/>
  </r>
  <r>
    <x v="174"/>
    <x v="0"/>
    <x v="1"/>
    <x v="3"/>
    <n v="5500"/>
  </r>
  <r>
    <x v="174"/>
    <x v="0"/>
    <x v="1"/>
    <x v="4"/>
    <n v="122250"/>
  </r>
  <r>
    <x v="174"/>
    <x v="0"/>
    <x v="1"/>
    <x v="5"/>
    <n v="1000"/>
  </r>
  <r>
    <x v="174"/>
    <x v="0"/>
    <x v="2"/>
    <x v="0"/>
    <n v="983450"/>
  </r>
  <r>
    <x v="174"/>
    <x v="0"/>
    <x v="2"/>
    <x v="1"/>
    <n v="289183"/>
  </r>
  <r>
    <x v="174"/>
    <x v="0"/>
    <x v="2"/>
    <x v="2"/>
    <n v="537913"/>
  </r>
  <r>
    <x v="174"/>
    <x v="0"/>
    <x v="2"/>
    <x v="3"/>
    <n v="9100"/>
  </r>
  <r>
    <x v="174"/>
    <x v="0"/>
    <x v="2"/>
    <x v="4"/>
    <n v="80250"/>
  </r>
  <r>
    <x v="174"/>
    <x v="0"/>
    <x v="2"/>
    <x v="5"/>
    <n v="3500"/>
  </r>
  <r>
    <x v="174"/>
    <x v="0"/>
    <x v="10"/>
    <x v="0"/>
    <n v="1085"/>
  </r>
  <r>
    <x v="174"/>
    <x v="0"/>
    <x v="10"/>
    <x v="2"/>
    <n v="171"/>
  </r>
  <r>
    <x v="174"/>
    <x v="0"/>
    <x v="3"/>
    <x v="3"/>
    <n v="1500"/>
  </r>
  <r>
    <x v="174"/>
    <x v="0"/>
    <x v="3"/>
    <x v="4"/>
    <n v="1000"/>
  </r>
  <r>
    <x v="174"/>
    <x v="1"/>
    <x v="1"/>
    <x v="0"/>
    <n v="156809"/>
  </r>
  <r>
    <x v="174"/>
    <x v="1"/>
    <x v="1"/>
    <x v="2"/>
    <n v="56992"/>
  </r>
  <r>
    <x v="174"/>
    <x v="1"/>
    <x v="2"/>
    <x v="0"/>
    <n v="93688"/>
  </r>
  <r>
    <x v="174"/>
    <x v="1"/>
    <x v="2"/>
    <x v="2"/>
    <n v="30887"/>
  </r>
  <r>
    <x v="175"/>
    <x v="0"/>
    <x v="0"/>
    <x v="0"/>
    <n v="691718"/>
  </r>
  <r>
    <x v="175"/>
    <x v="0"/>
    <x v="0"/>
    <x v="1"/>
    <n v="298643"/>
  </r>
  <r>
    <x v="175"/>
    <x v="0"/>
    <x v="0"/>
    <x v="2"/>
    <n v="336959"/>
  </r>
  <r>
    <x v="175"/>
    <x v="0"/>
    <x v="0"/>
    <x v="3"/>
    <n v="34854"/>
  </r>
  <r>
    <x v="175"/>
    <x v="0"/>
    <x v="0"/>
    <x v="4"/>
    <n v="8000"/>
  </r>
  <r>
    <x v="175"/>
    <x v="0"/>
    <x v="0"/>
    <x v="5"/>
    <n v="4000"/>
  </r>
  <r>
    <x v="175"/>
    <x v="0"/>
    <x v="7"/>
    <x v="1"/>
    <n v="1173485"/>
  </r>
  <r>
    <x v="175"/>
    <x v="0"/>
    <x v="7"/>
    <x v="2"/>
    <n v="729687"/>
  </r>
  <r>
    <x v="175"/>
    <x v="0"/>
    <x v="1"/>
    <x v="0"/>
    <n v="3485906"/>
  </r>
  <r>
    <x v="175"/>
    <x v="0"/>
    <x v="1"/>
    <x v="1"/>
    <n v="551127"/>
  </r>
  <r>
    <x v="175"/>
    <x v="0"/>
    <x v="1"/>
    <x v="2"/>
    <n v="1452930"/>
  </r>
  <r>
    <x v="175"/>
    <x v="0"/>
    <x v="1"/>
    <x v="3"/>
    <n v="72800"/>
  </r>
  <r>
    <x v="175"/>
    <x v="0"/>
    <x v="1"/>
    <x v="4"/>
    <n v="619851"/>
  </r>
  <r>
    <x v="175"/>
    <x v="0"/>
    <x v="1"/>
    <x v="5"/>
    <n v="19400"/>
  </r>
  <r>
    <x v="175"/>
    <x v="0"/>
    <x v="2"/>
    <x v="0"/>
    <n v="12668658"/>
  </r>
  <r>
    <x v="175"/>
    <x v="0"/>
    <x v="2"/>
    <x v="1"/>
    <n v="6784349"/>
  </r>
  <r>
    <x v="175"/>
    <x v="0"/>
    <x v="2"/>
    <x v="2"/>
    <n v="8902351"/>
  </r>
  <r>
    <x v="175"/>
    <x v="0"/>
    <x v="2"/>
    <x v="3"/>
    <n v="1335634"/>
  </r>
  <r>
    <x v="175"/>
    <x v="0"/>
    <x v="2"/>
    <x v="4"/>
    <n v="310461"/>
  </r>
  <r>
    <x v="175"/>
    <x v="0"/>
    <x v="2"/>
    <x v="5"/>
    <n v="17000"/>
  </r>
  <r>
    <x v="175"/>
    <x v="0"/>
    <x v="3"/>
    <x v="0"/>
    <n v="53628"/>
  </r>
  <r>
    <x v="175"/>
    <x v="0"/>
    <x v="3"/>
    <x v="1"/>
    <n v="26814"/>
  </r>
  <r>
    <x v="175"/>
    <x v="0"/>
    <x v="3"/>
    <x v="4"/>
    <n v="10000"/>
  </r>
  <r>
    <x v="175"/>
    <x v="0"/>
    <x v="3"/>
    <x v="5"/>
    <n v="5000"/>
  </r>
  <r>
    <x v="175"/>
    <x v="1"/>
    <x v="2"/>
    <x v="0"/>
    <n v="1599241"/>
  </r>
  <r>
    <x v="175"/>
    <x v="1"/>
    <x v="2"/>
    <x v="1"/>
    <n v="1499185"/>
  </r>
  <r>
    <x v="175"/>
    <x v="1"/>
    <x v="2"/>
    <x v="2"/>
    <n v="1524939"/>
  </r>
  <r>
    <x v="176"/>
    <x v="0"/>
    <x v="0"/>
    <x v="6"/>
    <n v="3000"/>
  </r>
  <r>
    <x v="176"/>
    <x v="0"/>
    <x v="0"/>
    <x v="0"/>
    <n v="1849748"/>
  </r>
  <r>
    <x v="176"/>
    <x v="0"/>
    <x v="0"/>
    <x v="1"/>
    <n v="672400"/>
  </r>
  <r>
    <x v="176"/>
    <x v="0"/>
    <x v="0"/>
    <x v="2"/>
    <n v="660949"/>
  </r>
  <r>
    <x v="176"/>
    <x v="0"/>
    <x v="0"/>
    <x v="3"/>
    <n v="7750"/>
  </r>
  <r>
    <x v="176"/>
    <x v="0"/>
    <x v="0"/>
    <x v="4"/>
    <n v="275097"/>
  </r>
  <r>
    <x v="176"/>
    <x v="0"/>
    <x v="0"/>
    <x v="5"/>
    <n v="57000"/>
  </r>
  <r>
    <x v="176"/>
    <x v="0"/>
    <x v="11"/>
    <x v="0"/>
    <n v="10230"/>
  </r>
  <r>
    <x v="176"/>
    <x v="0"/>
    <x v="11"/>
    <x v="2"/>
    <n v="1638"/>
  </r>
  <r>
    <x v="176"/>
    <x v="0"/>
    <x v="9"/>
    <x v="4"/>
    <n v="10000"/>
  </r>
  <r>
    <x v="176"/>
    <x v="0"/>
    <x v="1"/>
    <x v="0"/>
    <n v="11570672"/>
  </r>
  <r>
    <x v="176"/>
    <x v="0"/>
    <x v="1"/>
    <x v="1"/>
    <n v="1804581"/>
  </r>
  <r>
    <x v="176"/>
    <x v="0"/>
    <x v="1"/>
    <x v="2"/>
    <n v="4118305"/>
  </r>
  <r>
    <x v="176"/>
    <x v="0"/>
    <x v="1"/>
    <x v="3"/>
    <n v="77294"/>
  </r>
  <r>
    <x v="176"/>
    <x v="0"/>
    <x v="1"/>
    <x v="4"/>
    <n v="643801"/>
  </r>
  <r>
    <x v="176"/>
    <x v="0"/>
    <x v="1"/>
    <x v="5"/>
    <n v="10000"/>
  </r>
  <r>
    <x v="176"/>
    <x v="0"/>
    <x v="2"/>
    <x v="6"/>
    <n v="145000"/>
  </r>
  <r>
    <x v="176"/>
    <x v="0"/>
    <x v="2"/>
    <x v="0"/>
    <n v="16956757"/>
  </r>
  <r>
    <x v="176"/>
    <x v="0"/>
    <x v="2"/>
    <x v="1"/>
    <n v="23160074"/>
  </r>
  <r>
    <x v="176"/>
    <x v="0"/>
    <x v="2"/>
    <x v="2"/>
    <n v="15668431"/>
  </r>
  <r>
    <x v="176"/>
    <x v="0"/>
    <x v="2"/>
    <x v="3"/>
    <n v="66617"/>
  </r>
  <r>
    <x v="176"/>
    <x v="0"/>
    <x v="2"/>
    <x v="4"/>
    <n v="5953000"/>
  </r>
  <r>
    <x v="176"/>
    <x v="0"/>
    <x v="2"/>
    <x v="5"/>
    <n v="7000"/>
  </r>
  <r>
    <x v="176"/>
    <x v="0"/>
    <x v="8"/>
    <x v="4"/>
    <n v="240000"/>
  </r>
  <r>
    <x v="176"/>
    <x v="0"/>
    <x v="3"/>
    <x v="0"/>
    <n v="124070"/>
  </r>
  <r>
    <x v="176"/>
    <x v="0"/>
    <x v="3"/>
    <x v="1"/>
    <n v="42648"/>
  </r>
  <r>
    <x v="176"/>
    <x v="0"/>
    <x v="3"/>
    <x v="2"/>
    <n v="25829"/>
  </r>
  <r>
    <x v="176"/>
    <x v="0"/>
    <x v="3"/>
    <x v="3"/>
    <n v="8000"/>
  </r>
  <r>
    <x v="176"/>
    <x v="0"/>
    <x v="3"/>
    <x v="4"/>
    <n v="13479"/>
  </r>
  <r>
    <x v="176"/>
    <x v="0"/>
    <x v="5"/>
    <x v="3"/>
    <n v="18150"/>
  </r>
  <r>
    <x v="176"/>
    <x v="0"/>
    <x v="5"/>
    <x v="4"/>
    <n v="62024"/>
  </r>
  <r>
    <x v="176"/>
    <x v="0"/>
    <x v="6"/>
    <x v="0"/>
    <n v="422845"/>
  </r>
  <r>
    <x v="176"/>
    <x v="0"/>
    <x v="6"/>
    <x v="2"/>
    <n v="67503"/>
  </r>
  <r>
    <x v="176"/>
    <x v="1"/>
    <x v="1"/>
    <x v="0"/>
    <n v="890672"/>
  </r>
  <r>
    <x v="176"/>
    <x v="1"/>
    <x v="1"/>
    <x v="2"/>
    <n v="252502"/>
  </r>
  <r>
    <x v="176"/>
    <x v="1"/>
    <x v="2"/>
    <x v="0"/>
    <n v="1608663"/>
  </r>
  <r>
    <x v="176"/>
    <x v="1"/>
    <x v="2"/>
    <x v="1"/>
    <n v="968958"/>
  </r>
  <r>
    <x v="176"/>
    <x v="1"/>
    <x v="2"/>
    <x v="2"/>
    <n v="942863"/>
  </r>
  <r>
    <x v="176"/>
    <x v="1"/>
    <x v="2"/>
    <x v="3"/>
    <n v="69275"/>
  </r>
  <r>
    <x v="176"/>
    <x v="1"/>
    <x v="2"/>
    <x v="4"/>
    <n v="800000"/>
  </r>
  <r>
    <x v="176"/>
    <x v="1"/>
    <x v="8"/>
    <x v="4"/>
    <n v="200000"/>
  </r>
  <r>
    <x v="176"/>
    <x v="1"/>
    <x v="3"/>
    <x v="0"/>
    <n v="38565"/>
  </r>
  <r>
    <x v="176"/>
    <x v="1"/>
    <x v="3"/>
    <x v="2"/>
    <n v="6065"/>
  </r>
  <r>
    <x v="152"/>
    <x v="1"/>
    <x v="1"/>
    <x v="3"/>
    <n v="50000"/>
  </r>
  <r>
    <x v="152"/>
    <x v="1"/>
    <x v="1"/>
    <x v="4"/>
    <n v="40200"/>
  </r>
  <r>
    <x v="152"/>
    <x v="1"/>
    <x v="2"/>
    <x v="6"/>
    <n v="2500"/>
  </r>
  <r>
    <x v="152"/>
    <x v="1"/>
    <x v="2"/>
    <x v="0"/>
    <n v="1251866"/>
  </r>
  <r>
    <x v="152"/>
    <x v="1"/>
    <x v="2"/>
    <x v="1"/>
    <n v="274819"/>
  </r>
  <r>
    <x v="152"/>
    <x v="1"/>
    <x v="2"/>
    <x v="2"/>
    <n v="573236"/>
  </r>
  <r>
    <x v="152"/>
    <x v="1"/>
    <x v="2"/>
    <x v="3"/>
    <n v="25000"/>
  </r>
  <r>
    <x v="152"/>
    <x v="1"/>
    <x v="2"/>
    <x v="4"/>
    <n v="1325500"/>
  </r>
  <r>
    <x v="152"/>
    <x v="1"/>
    <x v="2"/>
    <x v="5"/>
    <n v="1500"/>
  </r>
  <r>
    <x v="152"/>
    <x v="1"/>
    <x v="3"/>
    <x v="0"/>
    <n v="43057"/>
  </r>
  <r>
    <x v="152"/>
    <x v="1"/>
    <x v="3"/>
    <x v="2"/>
    <n v="7673"/>
  </r>
  <r>
    <x v="152"/>
    <x v="1"/>
    <x v="3"/>
    <x v="4"/>
    <n v="22200"/>
  </r>
  <r>
    <x v="152"/>
    <x v="1"/>
    <x v="3"/>
    <x v="5"/>
    <n v="10946"/>
  </r>
  <r>
    <x v="152"/>
    <x v="1"/>
    <x v="4"/>
    <x v="3"/>
    <n v="5000"/>
  </r>
  <r>
    <x v="152"/>
    <x v="1"/>
    <x v="5"/>
    <x v="3"/>
    <n v="15000"/>
  </r>
  <r>
    <x v="152"/>
    <x v="1"/>
    <x v="5"/>
    <x v="4"/>
    <n v="5000"/>
  </r>
  <r>
    <x v="177"/>
    <x v="0"/>
    <x v="0"/>
    <x v="0"/>
    <n v="168136"/>
  </r>
  <r>
    <x v="177"/>
    <x v="0"/>
    <x v="0"/>
    <x v="1"/>
    <n v="121301"/>
  </r>
  <r>
    <x v="177"/>
    <x v="0"/>
    <x v="0"/>
    <x v="2"/>
    <n v="121048"/>
  </r>
  <r>
    <x v="177"/>
    <x v="0"/>
    <x v="0"/>
    <x v="3"/>
    <n v="515"/>
  </r>
  <r>
    <x v="177"/>
    <x v="0"/>
    <x v="0"/>
    <x v="4"/>
    <n v="20600"/>
  </r>
  <r>
    <x v="177"/>
    <x v="0"/>
    <x v="0"/>
    <x v="5"/>
    <n v="1030"/>
  </r>
  <r>
    <x v="177"/>
    <x v="0"/>
    <x v="1"/>
    <x v="0"/>
    <n v="358935"/>
  </r>
  <r>
    <x v="177"/>
    <x v="0"/>
    <x v="1"/>
    <x v="1"/>
    <n v="68558"/>
  </r>
  <r>
    <x v="177"/>
    <x v="0"/>
    <x v="1"/>
    <x v="2"/>
    <n v="174487"/>
  </r>
  <r>
    <x v="177"/>
    <x v="0"/>
    <x v="1"/>
    <x v="4"/>
    <n v="566500"/>
  </r>
  <r>
    <x v="177"/>
    <x v="0"/>
    <x v="2"/>
    <x v="0"/>
    <n v="1305110"/>
  </r>
  <r>
    <x v="177"/>
    <x v="0"/>
    <x v="2"/>
    <x v="1"/>
    <n v="740914"/>
  </r>
  <r>
    <x v="177"/>
    <x v="0"/>
    <x v="2"/>
    <x v="2"/>
    <n v="910986"/>
  </r>
  <r>
    <x v="177"/>
    <x v="0"/>
    <x v="2"/>
    <x v="3"/>
    <n v="18540"/>
  </r>
  <r>
    <x v="177"/>
    <x v="0"/>
    <x v="2"/>
    <x v="4"/>
    <n v="275010"/>
  </r>
  <r>
    <x v="177"/>
    <x v="0"/>
    <x v="2"/>
    <x v="5"/>
    <n v="2000"/>
  </r>
  <r>
    <x v="177"/>
    <x v="0"/>
    <x v="3"/>
    <x v="4"/>
    <n v="1030"/>
  </r>
  <r>
    <x v="177"/>
    <x v="1"/>
    <x v="2"/>
    <x v="0"/>
    <n v="111906"/>
  </r>
  <r>
    <x v="177"/>
    <x v="1"/>
    <x v="2"/>
    <x v="1"/>
    <n v="262485"/>
  </r>
  <r>
    <x v="177"/>
    <x v="1"/>
    <x v="2"/>
    <x v="2"/>
    <n v="243399"/>
  </r>
  <r>
    <x v="177"/>
    <x v="1"/>
    <x v="2"/>
    <x v="3"/>
    <n v="15000"/>
  </r>
  <r>
    <x v="177"/>
    <x v="1"/>
    <x v="2"/>
    <x v="4"/>
    <n v="15000"/>
  </r>
  <r>
    <x v="177"/>
    <x v="1"/>
    <x v="2"/>
    <x v="5"/>
    <n v="12360"/>
  </r>
  <r>
    <x v="178"/>
    <x v="0"/>
    <x v="0"/>
    <x v="0"/>
    <n v="106515"/>
  </r>
  <r>
    <x v="178"/>
    <x v="0"/>
    <x v="0"/>
    <x v="2"/>
    <n v="28478"/>
  </r>
  <r>
    <x v="178"/>
    <x v="0"/>
    <x v="1"/>
    <x v="0"/>
    <n v="126488"/>
  </r>
  <r>
    <x v="178"/>
    <x v="0"/>
    <x v="1"/>
    <x v="1"/>
    <n v="14651"/>
  </r>
  <r>
    <x v="178"/>
    <x v="0"/>
    <x v="1"/>
    <x v="2"/>
    <n v="40430"/>
  </r>
  <r>
    <x v="178"/>
    <x v="0"/>
    <x v="1"/>
    <x v="3"/>
    <n v="4000"/>
  </r>
  <r>
    <x v="178"/>
    <x v="0"/>
    <x v="1"/>
    <x v="4"/>
    <n v="300000"/>
  </r>
  <r>
    <x v="178"/>
    <x v="0"/>
    <x v="2"/>
    <x v="0"/>
    <n v="594158"/>
  </r>
  <r>
    <x v="178"/>
    <x v="0"/>
    <x v="2"/>
    <x v="1"/>
    <n v="659077"/>
  </r>
  <r>
    <x v="178"/>
    <x v="0"/>
    <x v="2"/>
    <x v="2"/>
    <n v="508284"/>
  </r>
  <r>
    <x v="178"/>
    <x v="0"/>
    <x v="2"/>
    <x v="3"/>
    <n v="10000"/>
  </r>
  <r>
    <x v="178"/>
    <x v="0"/>
    <x v="2"/>
    <x v="4"/>
    <n v="8000"/>
  </r>
  <r>
    <x v="178"/>
    <x v="0"/>
    <x v="3"/>
    <x v="0"/>
    <n v="9017"/>
  </r>
  <r>
    <x v="178"/>
    <x v="0"/>
    <x v="3"/>
    <x v="2"/>
    <n v="2935"/>
  </r>
  <r>
    <x v="178"/>
    <x v="0"/>
    <x v="3"/>
    <x v="4"/>
    <n v="3000"/>
  </r>
  <r>
    <x v="178"/>
    <x v="0"/>
    <x v="3"/>
    <x v="5"/>
    <n v="1000"/>
  </r>
  <r>
    <x v="178"/>
    <x v="1"/>
    <x v="2"/>
    <x v="0"/>
    <n v="119830"/>
  </r>
  <r>
    <x v="178"/>
    <x v="1"/>
    <x v="2"/>
    <x v="2"/>
    <n v="37389"/>
  </r>
  <r>
    <x v="178"/>
    <x v="1"/>
    <x v="3"/>
    <x v="0"/>
    <n v="1925"/>
  </r>
  <r>
    <x v="178"/>
    <x v="1"/>
    <x v="3"/>
    <x v="2"/>
    <n v="598"/>
  </r>
  <r>
    <x v="179"/>
    <x v="0"/>
    <x v="0"/>
    <x v="0"/>
    <n v="137297"/>
  </r>
  <r>
    <x v="179"/>
    <x v="0"/>
    <x v="0"/>
    <x v="1"/>
    <n v="42464"/>
  </r>
  <r>
    <x v="179"/>
    <x v="0"/>
    <x v="0"/>
    <x v="2"/>
    <n v="49662"/>
  </r>
  <r>
    <x v="179"/>
    <x v="0"/>
    <x v="1"/>
    <x v="0"/>
    <n v="920392"/>
  </r>
  <r>
    <x v="179"/>
    <x v="0"/>
    <x v="1"/>
    <x v="1"/>
    <n v="74780"/>
  </r>
  <r>
    <x v="179"/>
    <x v="0"/>
    <x v="1"/>
    <x v="2"/>
    <n v="335482"/>
  </r>
  <r>
    <x v="179"/>
    <x v="0"/>
    <x v="1"/>
    <x v="4"/>
    <n v="200000"/>
  </r>
  <r>
    <x v="179"/>
    <x v="0"/>
    <x v="2"/>
    <x v="6"/>
    <n v="6000"/>
  </r>
  <r>
    <x v="179"/>
    <x v="0"/>
    <x v="2"/>
    <x v="0"/>
    <n v="1288048"/>
  </r>
  <r>
    <x v="179"/>
    <x v="0"/>
    <x v="2"/>
    <x v="1"/>
    <n v="1130815"/>
  </r>
  <r>
    <x v="179"/>
    <x v="0"/>
    <x v="2"/>
    <x v="2"/>
    <n v="1136266"/>
  </r>
  <r>
    <x v="179"/>
    <x v="0"/>
    <x v="2"/>
    <x v="3"/>
    <n v="30000"/>
  </r>
  <r>
    <x v="179"/>
    <x v="0"/>
    <x v="2"/>
    <x v="4"/>
    <n v="117236"/>
  </r>
  <r>
    <x v="179"/>
    <x v="0"/>
    <x v="2"/>
    <x v="5"/>
    <n v="4000"/>
  </r>
  <r>
    <x v="179"/>
    <x v="0"/>
    <x v="3"/>
    <x v="0"/>
    <n v="35950"/>
  </r>
  <r>
    <x v="179"/>
    <x v="0"/>
    <x v="3"/>
    <x v="2"/>
    <n v="5746"/>
  </r>
  <r>
    <x v="179"/>
    <x v="0"/>
    <x v="3"/>
    <x v="4"/>
    <n v="1500"/>
  </r>
  <r>
    <x v="179"/>
    <x v="0"/>
    <x v="3"/>
    <x v="5"/>
    <n v="500"/>
  </r>
  <r>
    <x v="179"/>
    <x v="0"/>
    <x v="5"/>
    <x v="3"/>
    <n v="1499"/>
  </r>
  <r>
    <x v="179"/>
    <x v="0"/>
    <x v="6"/>
    <x v="0"/>
    <n v="35379"/>
  </r>
  <r>
    <x v="179"/>
    <x v="0"/>
    <x v="6"/>
    <x v="2"/>
    <n v="12084"/>
  </r>
  <r>
    <x v="179"/>
    <x v="1"/>
    <x v="2"/>
    <x v="0"/>
    <n v="224744"/>
  </r>
  <r>
    <x v="179"/>
    <x v="1"/>
    <x v="2"/>
    <x v="1"/>
    <n v="61856"/>
  </r>
  <r>
    <x v="179"/>
    <x v="1"/>
    <x v="2"/>
    <x v="2"/>
    <n v="123669"/>
  </r>
  <r>
    <x v="179"/>
    <x v="1"/>
    <x v="2"/>
    <x v="3"/>
    <n v="2629"/>
  </r>
  <r>
    <x v="179"/>
    <x v="1"/>
    <x v="3"/>
    <x v="0"/>
    <n v="3620"/>
  </r>
  <r>
    <x v="179"/>
    <x v="1"/>
    <x v="3"/>
    <x v="2"/>
    <n v="583"/>
  </r>
  <r>
    <x v="180"/>
    <x v="0"/>
    <x v="0"/>
    <x v="0"/>
    <n v="453696"/>
  </r>
  <r>
    <x v="180"/>
    <x v="0"/>
    <x v="0"/>
    <x v="1"/>
    <n v="187745"/>
  </r>
  <r>
    <x v="180"/>
    <x v="0"/>
    <x v="0"/>
    <x v="2"/>
    <n v="178516"/>
  </r>
  <r>
    <x v="181"/>
    <x v="0"/>
    <x v="0"/>
    <x v="0"/>
    <n v="9000"/>
  </r>
  <r>
    <x v="181"/>
    <x v="0"/>
    <x v="0"/>
    <x v="2"/>
    <n v="1923"/>
  </r>
  <r>
    <x v="180"/>
    <x v="0"/>
    <x v="1"/>
    <x v="0"/>
    <n v="2916551"/>
  </r>
  <r>
    <x v="180"/>
    <x v="0"/>
    <x v="1"/>
    <x v="1"/>
    <n v="163611"/>
  </r>
  <r>
    <x v="180"/>
    <x v="0"/>
    <x v="1"/>
    <x v="2"/>
    <n v="965931"/>
  </r>
  <r>
    <x v="180"/>
    <x v="0"/>
    <x v="1"/>
    <x v="4"/>
    <n v="1000742"/>
  </r>
  <r>
    <x v="180"/>
    <x v="0"/>
    <x v="2"/>
    <x v="0"/>
    <n v="7129897"/>
  </r>
  <r>
    <x v="180"/>
    <x v="0"/>
    <x v="2"/>
    <x v="1"/>
    <n v="4558089"/>
  </r>
  <r>
    <x v="180"/>
    <x v="0"/>
    <x v="2"/>
    <x v="2"/>
    <n v="4528987"/>
  </r>
  <r>
    <x v="180"/>
    <x v="0"/>
    <x v="3"/>
    <x v="0"/>
    <n v="428648"/>
  </r>
  <r>
    <x v="180"/>
    <x v="0"/>
    <x v="3"/>
    <x v="2"/>
    <n v="82910"/>
  </r>
  <r>
    <x v="180"/>
    <x v="0"/>
    <x v="6"/>
    <x v="0"/>
    <n v="157867"/>
  </r>
  <r>
    <x v="180"/>
    <x v="0"/>
    <x v="6"/>
    <x v="2"/>
    <n v="48504"/>
  </r>
  <r>
    <x v="181"/>
    <x v="0"/>
    <x v="1"/>
    <x v="0"/>
    <n v="89365"/>
  </r>
  <r>
    <x v="181"/>
    <x v="0"/>
    <x v="1"/>
    <x v="2"/>
    <n v="28244"/>
  </r>
  <r>
    <x v="181"/>
    <x v="0"/>
    <x v="1"/>
    <x v="3"/>
    <n v="700"/>
  </r>
  <r>
    <x v="181"/>
    <x v="0"/>
    <x v="1"/>
    <x v="4"/>
    <n v="21300"/>
  </r>
  <r>
    <x v="181"/>
    <x v="0"/>
    <x v="2"/>
    <x v="0"/>
    <n v="95589"/>
  </r>
  <r>
    <x v="181"/>
    <x v="0"/>
    <x v="2"/>
    <x v="1"/>
    <n v="164379"/>
  </r>
  <r>
    <x v="181"/>
    <x v="0"/>
    <x v="2"/>
    <x v="2"/>
    <n v="141142"/>
  </r>
  <r>
    <x v="181"/>
    <x v="0"/>
    <x v="2"/>
    <x v="3"/>
    <n v="6800"/>
  </r>
  <r>
    <x v="181"/>
    <x v="0"/>
    <x v="2"/>
    <x v="4"/>
    <n v="4000"/>
  </r>
  <r>
    <x v="181"/>
    <x v="0"/>
    <x v="2"/>
    <x v="5"/>
    <n v="700"/>
  </r>
  <r>
    <x v="181"/>
    <x v="0"/>
    <x v="3"/>
    <x v="1"/>
    <n v="1880"/>
  </r>
  <r>
    <x v="181"/>
    <x v="0"/>
    <x v="3"/>
    <x v="2"/>
    <n v="302"/>
  </r>
  <r>
    <x v="181"/>
    <x v="0"/>
    <x v="3"/>
    <x v="4"/>
    <n v="7700"/>
  </r>
  <r>
    <x v="181"/>
    <x v="0"/>
    <x v="4"/>
    <x v="4"/>
    <n v="3500"/>
  </r>
  <r>
    <x v="180"/>
    <x v="1"/>
    <x v="2"/>
    <x v="1"/>
    <n v="653293"/>
  </r>
  <r>
    <x v="180"/>
    <x v="1"/>
    <x v="2"/>
    <x v="2"/>
    <n v="378472"/>
  </r>
  <r>
    <x v="181"/>
    <x v="1"/>
    <x v="1"/>
    <x v="4"/>
    <n v="50255"/>
  </r>
  <r>
    <x v="182"/>
    <x v="1"/>
    <x v="1"/>
    <x v="0"/>
    <n v="62834"/>
  </r>
  <r>
    <x v="182"/>
    <x v="1"/>
    <x v="1"/>
    <x v="2"/>
    <n v="24840"/>
  </r>
  <r>
    <x v="182"/>
    <x v="1"/>
    <x v="1"/>
    <x v="4"/>
    <n v="40814"/>
  </r>
  <r>
    <x v="152"/>
    <x v="2"/>
    <x v="2"/>
    <x v="0"/>
    <n v="13000"/>
  </r>
  <r>
    <x v="152"/>
    <x v="2"/>
    <x v="2"/>
    <x v="1"/>
    <n v="500"/>
  </r>
  <r>
    <x v="152"/>
    <x v="2"/>
    <x v="2"/>
    <x v="2"/>
    <n v="2714"/>
  </r>
  <r>
    <x v="180"/>
    <x v="2"/>
    <x v="1"/>
    <x v="4"/>
    <n v="237389"/>
  </r>
  <r>
    <x v="183"/>
    <x v="0"/>
    <x v="0"/>
    <x v="0"/>
    <n v="50000"/>
  </r>
  <r>
    <x v="183"/>
    <x v="0"/>
    <x v="0"/>
    <x v="2"/>
    <n v="11117"/>
  </r>
  <r>
    <x v="183"/>
    <x v="0"/>
    <x v="1"/>
    <x v="4"/>
    <n v="15000"/>
  </r>
  <r>
    <x v="183"/>
    <x v="0"/>
    <x v="2"/>
    <x v="0"/>
    <n v="90730"/>
  </r>
  <r>
    <x v="183"/>
    <x v="0"/>
    <x v="2"/>
    <x v="1"/>
    <n v="38241"/>
  </r>
  <r>
    <x v="183"/>
    <x v="0"/>
    <x v="2"/>
    <x v="2"/>
    <n v="53757"/>
  </r>
  <r>
    <x v="183"/>
    <x v="0"/>
    <x v="2"/>
    <x v="3"/>
    <n v="3000"/>
  </r>
  <r>
    <x v="183"/>
    <x v="0"/>
    <x v="2"/>
    <x v="4"/>
    <n v="20000"/>
  </r>
  <r>
    <x v="183"/>
    <x v="0"/>
    <x v="4"/>
    <x v="3"/>
    <n v="2000"/>
  </r>
  <r>
    <x v="183"/>
    <x v="1"/>
    <x v="1"/>
    <x v="4"/>
    <n v="30000"/>
  </r>
  <r>
    <x v="184"/>
    <x v="0"/>
    <x v="0"/>
    <x v="0"/>
    <n v="7800"/>
  </r>
  <r>
    <x v="184"/>
    <x v="0"/>
    <x v="0"/>
    <x v="2"/>
    <n v="2790"/>
  </r>
  <r>
    <x v="184"/>
    <x v="0"/>
    <x v="0"/>
    <x v="4"/>
    <n v="825"/>
  </r>
  <r>
    <x v="184"/>
    <x v="0"/>
    <x v="1"/>
    <x v="4"/>
    <n v="15000"/>
  </r>
  <r>
    <x v="184"/>
    <x v="0"/>
    <x v="2"/>
    <x v="0"/>
    <n v="63913"/>
  </r>
  <r>
    <x v="184"/>
    <x v="0"/>
    <x v="2"/>
    <x v="1"/>
    <n v="7403"/>
  </r>
  <r>
    <x v="184"/>
    <x v="0"/>
    <x v="2"/>
    <x v="2"/>
    <n v="27335"/>
  </r>
  <r>
    <x v="184"/>
    <x v="0"/>
    <x v="2"/>
    <x v="3"/>
    <n v="1000"/>
  </r>
  <r>
    <x v="184"/>
    <x v="0"/>
    <x v="5"/>
    <x v="3"/>
    <n v="3000"/>
  </r>
  <r>
    <x v="184"/>
    <x v="1"/>
    <x v="2"/>
    <x v="1"/>
    <n v="27763"/>
  </r>
  <r>
    <x v="184"/>
    <x v="1"/>
    <x v="2"/>
    <x v="2"/>
    <n v="16113"/>
  </r>
  <r>
    <x v="185"/>
    <x v="0"/>
    <x v="0"/>
    <x v="0"/>
    <n v="188132"/>
  </r>
  <r>
    <x v="185"/>
    <x v="0"/>
    <x v="0"/>
    <x v="1"/>
    <n v="95124"/>
  </r>
  <r>
    <x v="185"/>
    <x v="0"/>
    <x v="0"/>
    <x v="2"/>
    <n v="86155"/>
  </r>
  <r>
    <x v="185"/>
    <x v="0"/>
    <x v="0"/>
    <x v="3"/>
    <n v="200"/>
  </r>
  <r>
    <x v="185"/>
    <x v="0"/>
    <x v="0"/>
    <x v="4"/>
    <n v="500"/>
  </r>
  <r>
    <x v="185"/>
    <x v="0"/>
    <x v="0"/>
    <x v="5"/>
    <n v="600"/>
  </r>
  <r>
    <x v="185"/>
    <x v="0"/>
    <x v="7"/>
    <x v="1"/>
    <n v="92118"/>
  </r>
  <r>
    <x v="185"/>
    <x v="0"/>
    <x v="7"/>
    <x v="2"/>
    <n v="51777"/>
  </r>
  <r>
    <x v="185"/>
    <x v="0"/>
    <x v="1"/>
    <x v="0"/>
    <n v="848009"/>
  </r>
  <r>
    <x v="185"/>
    <x v="0"/>
    <x v="1"/>
    <x v="2"/>
    <n v="281042"/>
  </r>
  <r>
    <x v="185"/>
    <x v="0"/>
    <x v="1"/>
    <x v="3"/>
    <n v="1000"/>
  </r>
  <r>
    <x v="185"/>
    <x v="0"/>
    <x v="1"/>
    <x v="4"/>
    <n v="99500"/>
  </r>
  <r>
    <x v="185"/>
    <x v="0"/>
    <x v="2"/>
    <x v="6"/>
    <n v="1700"/>
  </r>
  <r>
    <x v="185"/>
    <x v="0"/>
    <x v="2"/>
    <x v="0"/>
    <n v="1229382"/>
  </r>
  <r>
    <x v="185"/>
    <x v="0"/>
    <x v="2"/>
    <x v="1"/>
    <n v="1029378"/>
  </r>
  <r>
    <x v="185"/>
    <x v="0"/>
    <x v="2"/>
    <x v="2"/>
    <n v="1089728"/>
  </r>
  <r>
    <x v="185"/>
    <x v="0"/>
    <x v="2"/>
    <x v="3"/>
    <n v="4500"/>
  </r>
  <r>
    <x v="185"/>
    <x v="0"/>
    <x v="2"/>
    <x v="4"/>
    <n v="49633"/>
  </r>
  <r>
    <x v="185"/>
    <x v="0"/>
    <x v="2"/>
    <x v="5"/>
    <n v="500"/>
  </r>
  <r>
    <x v="185"/>
    <x v="0"/>
    <x v="3"/>
    <x v="0"/>
    <n v="46250"/>
  </r>
  <r>
    <x v="185"/>
    <x v="0"/>
    <x v="3"/>
    <x v="1"/>
    <n v="5001"/>
  </r>
  <r>
    <x v="185"/>
    <x v="0"/>
    <x v="3"/>
    <x v="2"/>
    <n v="7976"/>
  </r>
  <r>
    <x v="185"/>
    <x v="0"/>
    <x v="3"/>
    <x v="3"/>
    <n v="200"/>
  </r>
  <r>
    <x v="185"/>
    <x v="0"/>
    <x v="5"/>
    <x v="3"/>
    <n v="3000"/>
  </r>
  <r>
    <x v="185"/>
    <x v="0"/>
    <x v="5"/>
    <x v="4"/>
    <n v="2650"/>
  </r>
  <r>
    <x v="185"/>
    <x v="0"/>
    <x v="6"/>
    <x v="0"/>
    <n v="33564"/>
  </r>
  <r>
    <x v="185"/>
    <x v="0"/>
    <x v="6"/>
    <x v="2"/>
    <n v="5279"/>
  </r>
  <r>
    <x v="185"/>
    <x v="1"/>
    <x v="2"/>
    <x v="0"/>
    <n v="357298"/>
  </r>
  <r>
    <x v="185"/>
    <x v="1"/>
    <x v="2"/>
    <x v="2"/>
    <n v="135452"/>
  </r>
  <r>
    <x v="185"/>
    <x v="1"/>
    <x v="2"/>
    <x v="3"/>
    <n v="6794"/>
  </r>
  <r>
    <x v="185"/>
    <x v="1"/>
    <x v="2"/>
    <x v="4"/>
    <n v="9975"/>
  </r>
  <r>
    <x v="185"/>
    <x v="1"/>
    <x v="3"/>
    <x v="0"/>
    <n v="13221"/>
  </r>
  <r>
    <x v="185"/>
    <x v="1"/>
    <x v="3"/>
    <x v="2"/>
    <n v="2069"/>
  </r>
  <r>
    <x v="186"/>
    <x v="0"/>
    <x v="0"/>
    <x v="0"/>
    <n v="29489"/>
  </r>
  <r>
    <x v="186"/>
    <x v="0"/>
    <x v="0"/>
    <x v="2"/>
    <n v="8386"/>
  </r>
  <r>
    <x v="186"/>
    <x v="0"/>
    <x v="11"/>
    <x v="1"/>
    <n v="9898"/>
  </r>
  <r>
    <x v="186"/>
    <x v="0"/>
    <x v="11"/>
    <x v="2"/>
    <n v="7136"/>
  </r>
  <r>
    <x v="186"/>
    <x v="0"/>
    <x v="1"/>
    <x v="4"/>
    <n v="60000"/>
  </r>
  <r>
    <x v="186"/>
    <x v="0"/>
    <x v="2"/>
    <x v="0"/>
    <n v="95519"/>
  </r>
  <r>
    <x v="186"/>
    <x v="0"/>
    <x v="2"/>
    <x v="1"/>
    <n v="2444"/>
  </r>
  <r>
    <x v="186"/>
    <x v="0"/>
    <x v="2"/>
    <x v="2"/>
    <n v="33401"/>
  </r>
  <r>
    <x v="186"/>
    <x v="0"/>
    <x v="2"/>
    <x v="3"/>
    <n v="20000"/>
  </r>
  <r>
    <x v="186"/>
    <x v="0"/>
    <x v="2"/>
    <x v="4"/>
    <n v="15000"/>
  </r>
  <r>
    <x v="186"/>
    <x v="0"/>
    <x v="4"/>
    <x v="3"/>
    <n v="5000"/>
  </r>
  <r>
    <x v="186"/>
    <x v="1"/>
    <x v="1"/>
    <x v="4"/>
    <n v="30000"/>
  </r>
  <r>
    <x v="186"/>
    <x v="1"/>
    <x v="2"/>
    <x v="3"/>
    <n v="15000"/>
  </r>
  <r>
    <x v="187"/>
    <x v="0"/>
    <x v="0"/>
    <x v="6"/>
    <n v="400"/>
  </r>
  <r>
    <x v="187"/>
    <x v="0"/>
    <x v="0"/>
    <x v="0"/>
    <n v="150857"/>
  </r>
  <r>
    <x v="187"/>
    <x v="0"/>
    <x v="0"/>
    <x v="1"/>
    <n v="67068"/>
  </r>
  <r>
    <x v="187"/>
    <x v="0"/>
    <x v="0"/>
    <x v="2"/>
    <n v="58978"/>
  </r>
  <r>
    <x v="187"/>
    <x v="0"/>
    <x v="0"/>
    <x v="3"/>
    <n v="2696"/>
  </r>
  <r>
    <x v="187"/>
    <x v="0"/>
    <x v="0"/>
    <x v="4"/>
    <n v="17445"/>
  </r>
  <r>
    <x v="187"/>
    <x v="0"/>
    <x v="0"/>
    <x v="5"/>
    <n v="3000"/>
  </r>
  <r>
    <x v="187"/>
    <x v="0"/>
    <x v="9"/>
    <x v="4"/>
    <n v="25000"/>
  </r>
  <r>
    <x v="187"/>
    <x v="0"/>
    <x v="1"/>
    <x v="0"/>
    <n v="193011"/>
  </r>
  <r>
    <x v="187"/>
    <x v="0"/>
    <x v="1"/>
    <x v="1"/>
    <n v="49593"/>
  </r>
  <r>
    <x v="187"/>
    <x v="0"/>
    <x v="1"/>
    <x v="2"/>
    <n v="83622"/>
  </r>
  <r>
    <x v="187"/>
    <x v="0"/>
    <x v="1"/>
    <x v="3"/>
    <n v="8000"/>
  </r>
  <r>
    <x v="187"/>
    <x v="0"/>
    <x v="1"/>
    <x v="4"/>
    <n v="520320"/>
  </r>
  <r>
    <x v="187"/>
    <x v="0"/>
    <x v="2"/>
    <x v="6"/>
    <n v="1900"/>
  </r>
  <r>
    <x v="187"/>
    <x v="0"/>
    <x v="2"/>
    <x v="0"/>
    <n v="533489"/>
  </r>
  <r>
    <x v="187"/>
    <x v="0"/>
    <x v="2"/>
    <x v="1"/>
    <n v="372404"/>
  </r>
  <r>
    <x v="187"/>
    <x v="0"/>
    <x v="2"/>
    <x v="2"/>
    <n v="377633"/>
  </r>
  <r>
    <x v="187"/>
    <x v="0"/>
    <x v="2"/>
    <x v="3"/>
    <n v="14550"/>
  </r>
  <r>
    <x v="187"/>
    <x v="0"/>
    <x v="2"/>
    <x v="4"/>
    <n v="9360988"/>
  </r>
  <r>
    <x v="187"/>
    <x v="0"/>
    <x v="2"/>
    <x v="5"/>
    <n v="750"/>
  </r>
  <r>
    <x v="187"/>
    <x v="0"/>
    <x v="3"/>
    <x v="6"/>
    <n v="1600"/>
  </r>
  <r>
    <x v="187"/>
    <x v="0"/>
    <x v="3"/>
    <x v="0"/>
    <n v="3675"/>
  </r>
  <r>
    <x v="187"/>
    <x v="0"/>
    <x v="3"/>
    <x v="1"/>
    <n v="3175"/>
  </r>
  <r>
    <x v="187"/>
    <x v="0"/>
    <x v="3"/>
    <x v="2"/>
    <n v="1140"/>
  </r>
  <r>
    <x v="187"/>
    <x v="0"/>
    <x v="3"/>
    <x v="3"/>
    <n v="1600"/>
  </r>
  <r>
    <x v="187"/>
    <x v="0"/>
    <x v="3"/>
    <x v="4"/>
    <n v="8495"/>
  </r>
  <r>
    <x v="187"/>
    <x v="0"/>
    <x v="3"/>
    <x v="5"/>
    <n v="5425"/>
  </r>
  <r>
    <x v="187"/>
    <x v="0"/>
    <x v="4"/>
    <x v="3"/>
    <n v="5000"/>
  </r>
  <r>
    <x v="187"/>
    <x v="0"/>
    <x v="5"/>
    <x v="3"/>
    <n v="8000"/>
  </r>
  <r>
    <x v="187"/>
    <x v="0"/>
    <x v="5"/>
    <x v="4"/>
    <n v="10100"/>
  </r>
  <r>
    <x v="187"/>
    <x v="0"/>
    <x v="6"/>
    <x v="0"/>
    <n v="16625"/>
  </r>
  <r>
    <x v="187"/>
    <x v="0"/>
    <x v="6"/>
    <x v="2"/>
    <n v="5521"/>
  </r>
  <r>
    <x v="187"/>
    <x v="1"/>
    <x v="2"/>
    <x v="0"/>
    <n v="255897"/>
  </r>
  <r>
    <x v="187"/>
    <x v="1"/>
    <x v="2"/>
    <x v="1"/>
    <n v="255306"/>
  </r>
  <r>
    <x v="187"/>
    <x v="1"/>
    <x v="2"/>
    <x v="2"/>
    <n v="220072"/>
  </r>
  <r>
    <x v="188"/>
    <x v="0"/>
    <x v="1"/>
    <x v="0"/>
    <n v="22341"/>
  </r>
  <r>
    <x v="188"/>
    <x v="0"/>
    <x v="1"/>
    <x v="4"/>
    <n v="200589"/>
  </r>
  <r>
    <x v="188"/>
    <x v="0"/>
    <x v="2"/>
    <x v="0"/>
    <n v="303180"/>
  </r>
  <r>
    <x v="188"/>
    <x v="0"/>
    <x v="2"/>
    <x v="1"/>
    <n v="183709"/>
  </r>
  <r>
    <x v="188"/>
    <x v="0"/>
    <x v="2"/>
    <x v="2"/>
    <n v="235991"/>
  </r>
  <r>
    <x v="188"/>
    <x v="0"/>
    <x v="2"/>
    <x v="4"/>
    <n v="310500"/>
  </r>
  <r>
    <x v="189"/>
    <x v="0"/>
    <x v="1"/>
    <x v="4"/>
    <n v="3000"/>
  </r>
  <r>
    <x v="189"/>
    <x v="0"/>
    <x v="2"/>
    <x v="0"/>
    <n v="48974"/>
  </r>
  <r>
    <x v="189"/>
    <x v="0"/>
    <x v="2"/>
    <x v="2"/>
    <n v="23019"/>
  </r>
  <r>
    <x v="189"/>
    <x v="0"/>
    <x v="2"/>
    <x v="3"/>
    <n v="10000"/>
  </r>
  <r>
    <x v="189"/>
    <x v="0"/>
    <x v="5"/>
    <x v="3"/>
    <n v="5000"/>
  </r>
  <r>
    <x v="188"/>
    <x v="0"/>
    <x v="6"/>
    <x v="0"/>
    <n v="4179"/>
  </r>
  <r>
    <x v="188"/>
    <x v="0"/>
    <x v="6"/>
    <x v="2"/>
    <n v="737"/>
  </r>
  <r>
    <x v="188"/>
    <x v="1"/>
    <x v="1"/>
    <x v="4"/>
    <n v="70844"/>
  </r>
  <r>
    <x v="189"/>
    <x v="1"/>
    <x v="1"/>
    <x v="4"/>
    <n v="13000"/>
  </r>
  <r>
    <x v="190"/>
    <x v="0"/>
    <x v="1"/>
    <x v="0"/>
    <n v="1777437"/>
  </r>
  <r>
    <x v="190"/>
    <x v="0"/>
    <x v="1"/>
    <x v="1"/>
    <n v="113321"/>
  </r>
  <r>
    <x v="190"/>
    <x v="0"/>
    <x v="1"/>
    <x v="2"/>
    <n v="622284"/>
  </r>
  <r>
    <x v="190"/>
    <x v="0"/>
    <x v="1"/>
    <x v="3"/>
    <n v="27600"/>
  </r>
  <r>
    <x v="190"/>
    <x v="0"/>
    <x v="1"/>
    <x v="4"/>
    <n v="76100"/>
  </r>
  <r>
    <x v="190"/>
    <x v="0"/>
    <x v="1"/>
    <x v="5"/>
    <n v="1500"/>
  </r>
  <r>
    <x v="190"/>
    <x v="0"/>
    <x v="2"/>
    <x v="0"/>
    <n v="2570702"/>
  </r>
  <r>
    <x v="190"/>
    <x v="0"/>
    <x v="2"/>
    <x v="1"/>
    <n v="1966963"/>
  </r>
  <r>
    <x v="190"/>
    <x v="0"/>
    <x v="2"/>
    <x v="2"/>
    <n v="1876666"/>
  </r>
  <r>
    <x v="190"/>
    <x v="0"/>
    <x v="2"/>
    <x v="3"/>
    <n v="24815"/>
  </r>
  <r>
    <x v="190"/>
    <x v="0"/>
    <x v="2"/>
    <x v="4"/>
    <n v="111700"/>
  </r>
  <r>
    <x v="190"/>
    <x v="0"/>
    <x v="2"/>
    <x v="5"/>
    <n v="200"/>
  </r>
  <r>
    <x v="190"/>
    <x v="0"/>
    <x v="8"/>
    <x v="4"/>
    <n v="525000"/>
  </r>
  <r>
    <x v="190"/>
    <x v="0"/>
    <x v="3"/>
    <x v="0"/>
    <n v="125636"/>
  </r>
  <r>
    <x v="190"/>
    <x v="0"/>
    <x v="3"/>
    <x v="2"/>
    <n v="21759"/>
  </r>
  <r>
    <x v="190"/>
    <x v="0"/>
    <x v="3"/>
    <x v="4"/>
    <n v="10000"/>
  </r>
  <r>
    <x v="190"/>
    <x v="0"/>
    <x v="3"/>
    <x v="5"/>
    <n v="850"/>
  </r>
  <r>
    <x v="190"/>
    <x v="0"/>
    <x v="4"/>
    <x v="3"/>
    <n v="5500"/>
  </r>
  <r>
    <x v="190"/>
    <x v="0"/>
    <x v="5"/>
    <x v="3"/>
    <n v="6000"/>
  </r>
  <r>
    <x v="190"/>
    <x v="0"/>
    <x v="5"/>
    <x v="4"/>
    <n v="3200"/>
  </r>
  <r>
    <x v="190"/>
    <x v="0"/>
    <x v="6"/>
    <x v="0"/>
    <n v="46435"/>
  </r>
  <r>
    <x v="190"/>
    <x v="0"/>
    <x v="6"/>
    <x v="2"/>
    <n v="7589"/>
  </r>
  <r>
    <x v="188"/>
    <x v="2"/>
    <x v="1"/>
    <x v="4"/>
    <n v="8433"/>
  </r>
  <r>
    <x v="190"/>
    <x v="1"/>
    <x v="2"/>
    <x v="0"/>
    <n v="537566"/>
  </r>
  <r>
    <x v="190"/>
    <x v="1"/>
    <x v="2"/>
    <x v="2"/>
    <n v="175444"/>
  </r>
  <r>
    <x v="191"/>
    <x v="0"/>
    <x v="0"/>
    <x v="0"/>
    <n v="1210951"/>
  </r>
  <r>
    <x v="191"/>
    <x v="0"/>
    <x v="0"/>
    <x v="1"/>
    <n v="674090"/>
  </r>
  <r>
    <x v="191"/>
    <x v="0"/>
    <x v="0"/>
    <x v="2"/>
    <n v="519518"/>
  </r>
  <r>
    <x v="191"/>
    <x v="0"/>
    <x v="9"/>
    <x v="6"/>
    <n v="100"/>
  </r>
  <r>
    <x v="191"/>
    <x v="0"/>
    <x v="9"/>
    <x v="0"/>
    <n v="457505"/>
  </r>
  <r>
    <x v="191"/>
    <x v="0"/>
    <x v="9"/>
    <x v="1"/>
    <n v="269132"/>
  </r>
  <r>
    <x v="191"/>
    <x v="0"/>
    <x v="9"/>
    <x v="2"/>
    <n v="273775"/>
  </r>
  <r>
    <x v="191"/>
    <x v="0"/>
    <x v="9"/>
    <x v="3"/>
    <n v="2500"/>
  </r>
  <r>
    <x v="191"/>
    <x v="0"/>
    <x v="9"/>
    <x v="4"/>
    <n v="3500"/>
  </r>
  <r>
    <x v="191"/>
    <x v="0"/>
    <x v="9"/>
    <x v="5"/>
    <n v="4200"/>
  </r>
  <r>
    <x v="191"/>
    <x v="0"/>
    <x v="1"/>
    <x v="6"/>
    <n v="100"/>
  </r>
  <r>
    <x v="191"/>
    <x v="0"/>
    <x v="1"/>
    <x v="0"/>
    <n v="8068302"/>
  </r>
  <r>
    <x v="191"/>
    <x v="0"/>
    <x v="1"/>
    <x v="1"/>
    <n v="571516"/>
  </r>
  <r>
    <x v="191"/>
    <x v="0"/>
    <x v="1"/>
    <x v="2"/>
    <n v="2792995"/>
  </r>
  <r>
    <x v="191"/>
    <x v="0"/>
    <x v="1"/>
    <x v="3"/>
    <n v="119300"/>
  </r>
  <r>
    <x v="191"/>
    <x v="0"/>
    <x v="1"/>
    <x v="4"/>
    <n v="7500"/>
  </r>
  <r>
    <x v="191"/>
    <x v="0"/>
    <x v="1"/>
    <x v="5"/>
    <n v="4700"/>
  </r>
  <r>
    <x v="191"/>
    <x v="0"/>
    <x v="2"/>
    <x v="6"/>
    <n v="137150"/>
  </r>
  <r>
    <x v="191"/>
    <x v="0"/>
    <x v="2"/>
    <x v="0"/>
    <n v="14207870"/>
  </r>
  <r>
    <x v="191"/>
    <x v="0"/>
    <x v="2"/>
    <x v="1"/>
    <n v="17851047"/>
  </r>
  <r>
    <x v="191"/>
    <x v="0"/>
    <x v="2"/>
    <x v="2"/>
    <n v="13895376"/>
  </r>
  <r>
    <x v="191"/>
    <x v="0"/>
    <x v="2"/>
    <x v="3"/>
    <n v="292400"/>
  </r>
  <r>
    <x v="191"/>
    <x v="0"/>
    <x v="2"/>
    <x v="4"/>
    <n v="3746628"/>
  </r>
  <r>
    <x v="191"/>
    <x v="0"/>
    <x v="2"/>
    <x v="5"/>
    <n v="25750"/>
  </r>
  <r>
    <x v="191"/>
    <x v="0"/>
    <x v="2"/>
    <x v="7"/>
    <n v="10000"/>
  </r>
  <r>
    <x v="191"/>
    <x v="0"/>
    <x v="12"/>
    <x v="1"/>
    <n v="14286"/>
  </r>
  <r>
    <x v="191"/>
    <x v="0"/>
    <x v="12"/>
    <x v="2"/>
    <n v="18417"/>
  </r>
  <r>
    <x v="191"/>
    <x v="1"/>
    <x v="1"/>
    <x v="0"/>
    <n v="1214185"/>
  </r>
  <r>
    <x v="191"/>
    <x v="1"/>
    <x v="1"/>
    <x v="2"/>
    <n v="351827"/>
  </r>
  <r>
    <x v="191"/>
    <x v="1"/>
    <x v="2"/>
    <x v="0"/>
    <n v="2817149"/>
  </r>
  <r>
    <x v="191"/>
    <x v="1"/>
    <x v="2"/>
    <x v="2"/>
    <n v="861833"/>
  </r>
  <r>
    <x v="192"/>
    <x v="0"/>
    <x v="2"/>
    <x v="0"/>
    <n v="158423"/>
  </r>
  <r>
    <x v="192"/>
    <x v="0"/>
    <x v="2"/>
    <x v="1"/>
    <n v="287195"/>
  </r>
  <r>
    <x v="192"/>
    <x v="0"/>
    <x v="2"/>
    <x v="2"/>
    <n v="215159"/>
  </r>
  <r>
    <x v="192"/>
    <x v="0"/>
    <x v="2"/>
    <x v="3"/>
    <n v="6500"/>
  </r>
  <r>
    <x v="192"/>
    <x v="0"/>
    <x v="2"/>
    <x v="4"/>
    <n v="210600"/>
  </r>
  <r>
    <x v="192"/>
    <x v="0"/>
    <x v="8"/>
    <x v="4"/>
    <n v="165000"/>
  </r>
  <r>
    <x v="192"/>
    <x v="0"/>
    <x v="4"/>
    <x v="3"/>
    <n v="4000"/>
  </r>
  <r>
    <x v="192"/>
    <x v="0"/>
    <x v="5"/>
    <x v="3"/>
    <n v="2500"/>
  </r>
  <r>
    <x v="192"/>
    <x v="1"/>
    <x v="1"/>
    <x v="4"/>
    <n v="68107"/>
  </r>
  <r>
    <x v="193"/>
    <x v="0"/>
    <x v="1"/>
    <x v="0"/>
    <n v="69385"/>
  </r>
  <r>
    <x v="193"/>
    <x v="0"/>
    <x v="1"/>
    <x v="2"/>
    <n v="27356"/>
  </r>
  <r>
    <x v="193"/>
    <x v="0"/>
    <x v="1"/>
    <x v="4"/>
    <n v="30000"/>
  </r>
  <r>
    <x v="193"/>
    <x v="0"/>
    <x v="2"/>
    <x v="0"/>
    <n v="151410"/>
  </r>
  <r>
    <x v="193"/>
    <x v="0"/>
    <x v="2"/>
    <x v="1"/>
    <n v="165671"/>
  </r>
  <r>
    <x v="193"/>
    <x v="0"/>
    <x v="2"/>
    <x v="2"/>
    <n v="178486"/>
  </r>
  <r>
    <x v="193"/>
    <x v="0"/>
    <x v="2"/>
    <x v="3"/>
    <n v="6500"/>
  </r>
  <r>
    <x v="193"/>
    <x v="0"/>
    <x v="2"/>
    <x v="4"/>
    <n v="1350"/>
  </r>
  <r>
    <x v="193"/>
    <x v="0"/>
    <x v="5"/>
    <x v="3"/>
    <n v="1500"/>
  </r>
  <r>
    <x v="193"/>
    <x v="1"/>
    <x v="1"/>
    <x v="4"/>
    <n v="54057"/>
  </r>
  <r>
    <x v="193"/>
    <x v="1"/>
    <x v="2"/>
    <x v="3"/>
    <n v="1500"/>
  </r>
  <r>
    <x v="193"/>
    <x v="1"/>
    <x v="3"/>
    <x v="4"/>
    <n v="250"/>
  </r>
  <r>
    <x v="193"/>
    <x v="1"/>
    <x v="3"/>
    <x v="5"/>
    <n v="250"/>
  </r>
  <r>
    <x v="194"/>
    <x v="0"/>
    <x v="0"/>
    <x v="3"/>
    <n v="24300"/>
  </r>
  <r>
    <x v="194"/>
    <x v="0"/>
    <x v="0"/>
    <x v="4"/>
    <n v="16000"/>
  </r>
  <r>
    <x v="194"/>
    <x v="0"/>
    <x v="9"/>
    <x v="0"/>
    <n v="11070"/>
  </r>
  <r>
    <x v="194"/>
    <x v="0"/>
    <x v="9"/>
    <x v="2"/>
    <n v="7306"/>
  </r>
  <r>
    <x v="194"/>
    <x v="0"/>
    <x v="9"/>
    <x v="3"/>
    <n v="1700"/>
  </r>
  <r>
    <x v="194"/>
    <x v="0"/>
    <x v="1"/>
    <x v="0"/>
    <n v="5371662"/>
  </r>
  <r>
    <x v="194"/>
    <x v="0"/>
    <x v="1"/>
    <x v="1"/>
    <n v="276671"/>
  </r>
  <r>
    <x v="194"/>
    <x v="0"/>
    <x v="1"/>
    <x v="2"/>
    <n v="1924900"/>
  </r>
  <r>
    <x v="194"/>
    <x v="0"/>
    <x v="1"/>
    <x v="3"/>
    <n v="19750"/>
  </r>
  <r>
    <x v="194"/>
    <x v="0"/>
    <x v="1"/>
    <x v="4"/>
    <n v="1000"/>
  </r>
  <r>
    <x v="195"/>
    <x v="0"/>
    <x v="1"/>
    <x v="4"/>
    <n v="134236"/>
  </r>
  <r>
    <x v="195"/>
    <x v="0"/>
    <x v="2"/>
    <x v="1"/>
    <n v="2810"/>
  </r>
  <r>
    <x v="195"/>
    <x v="0"/>
    <x v="2"/>
    <x v="2"/>
    <n v="2029"/>
  </r>
  <r>
    <x v="195"/>
    <x v="0"/>
    <x v="2"/>
    <x v="4"/>
    <n v="192000"/>
  </r>
  <r>
    <x v="194"/>
    <x v="0"/>
    <x v="1"/>
    <x v="5"/>
    <n v="4750"/>
  </r>
  <r>
    <x v="194"/>
    <x v="0"/>
    <x v="2"/>
    <x v="6"/>
    <n v="230"/>
  </r>
  <r>
    <x v="194"/>
    <x v="0"/>
    <x v="2"/>
    <x v="0"/>
    <n v="9069199"/>
  </r>
  <r>
    <x v="194"/>
    <x v="0"/>
    <x v="2"/>
    <x v="1"/>
    <n v="4422742"/>
  </r>
  <r>
    <x v="194"/>
    <x v="0"/>
    <x v="2"/>
    <x v="2"/>
    <n v="6393890"/>
  </r>
  <r>
    <x v="194"/>
    <x v="0"/>
    <x v="2"/>
    <x v="3"/>
    <n v="83965"/>
  </r>
  <r>
    <x v="194"/>
    <x v="0"/>
    <x v="2"/>
    <x v="4"/>
    <n v="1810000"/>
  </r>
  <r>
    <x v="194"/>
    <x v="0"/>
    <x v="2"/>
    <x v="5"/>
    <n v="7000"/>
  </r>
  <r>
    <x v="194"/>
    <x v="0"/>
    <x v="3"/>
    <x v="0"/>
    <n v="310"/>
  </r>
  <r>
    <x v="194"/>
    <x v="0"/>
    <x v="3"/>
    <x v="1"/>
    <n v="45723"/>
  </r>
  <r>
    <x v="194"/>
    <x v="0"/>
    <x v="3"/>
    <x v="2"/>
    <n v="23859"/>
  </r>
  <r>
    <x v="194"/>
    <x v="0"/>
    <x v="3"/>
    <x v="3"/>
    <n v="5000"/>
  </r>
  <r>
    <x v="194"/>
    <x v="0"/>
    <x v="4"/>
    <x v="3"/>
    <n v="15000"/>
  </r>
  <r>
    <x v="194"/>
    <x v="0"/>
    <x v="5"/>
    <x v="3"/>
    <n v="65250"/>
  </r>
  <r>
    <x v="194"/>
    <x v="0"/>
    <x v="6"/>
    <x v="0"/>
    <n v="218671"/>
  </r>
  <r>
    <x v="194"/>
    <x v="0"/>
    <x v="6"/>
    <x v="2"/>
    <n v="33664"/>
  </r>
  <r>
    <x v="195"/>
    <x v="1"/>
    <x v="2"/>
    <x v="4"/>
    <n v="10564"/>
  </r>
  <r>
    <x v="194"/>
    <x v="1"/>
    <x v="0"/>
    <x v="0"/>
    <n v="347816"/>
  </r>
  <r>
    <x v="194"/>
    <x v="1"/>
    <x v="0"/>
    <x v="1"/>
    <n v="204649"/>
  </r>
  <r>
    <x v="194"/>
    <x v="1"/>
    <x v="0"/>
    <x v="2"/>
    <n v="215184"/>
  </r>
  <r>
    <x v="194"/>
    <x v="1"/>
    <x v="2"/>
    <x v="0"/>
    <n v="870330"/>
  </r>
  <r>
    <x v="194"/>
    <x v="1"/>
    <x v="2"/>
    <x v="2"/>
    <n v="254156"/>
  </r>
  <r>
    <x v="194"/>
    <x v="1"/>
    <x v="3"/>
    <x v="0"/>
    <n v="13327"/>
  </r>
  <r>
    <x v="194"/>
    <x v="1"/>
    <x v="3"/>
    <x v="2"/>
    <n v="1681"/>
  </r>
  <r>
    <x v="194"/>
    <x v="1"/>
    <x v="4"/>
    <x v="1"/>
    <n v="93853"/>
  </r>
  <r>
    <x v="194"/>
    <x v="1"/>
    <x v="4"/>
    <x v="2"/>
    <n v="48113"/>
  </r>
  <r>
    <x v="195"/>
    <x v="2"/>
    <x v="2"/>
    <x v="1"/>
    <n v="3371"/>
  </r>
  <r>
    <x v="195"/>
    <x v="2"/>
    <x v="2"/>
    <x v="2"/>
    <n v="2434"/>
  </r>
  <r>
    <x v="196"/>
    <x v="0"/>
    <x v="0"/>
    <x v="0"/>
    <n v="143512"/>
  </r>
  <r>
    <x v="196"/>
    <x v="0"/>
    <x v="0"/>
    <x v="2"/>
    <n v="39046"/>
  </r>
  <r>
    <x v="196"/>
    <x v="0"/>
    <x v="0"/>
    <x v="4"/>
    <n v="3000"/>
  </r>
  <r>
    <x v="196"/>
    <x v="0"/>
    <x v="11"/>
    <x v="1"/>
    <n v="46895"/>
  </r>
  <r>
    <x v="196"/>
    <x v="0"/>
    <x v="11"/>
    <x v="2"/>
    <n v="23416"/>
  </r>
  <r>
    <x v="196"/>
    <x v="0"/>
    <x v="1"/>
    <x v="0"/>
    <n v="218094"/>
  </r>
  <r>
    <x v="196"/>
    <x v="0"/>
    <x v="1"/>
    <x v="2"/>
    <n v="66738"/>
  </r>
  <r>
    <x v="196"/>
    <x v="0"/>
    <x v="1"/>
    <x v="4"/>
    <n v="316164"/>
  </r>
  <r>
    <x v="196"/>
    <x v="0"/>
    <x v="1"/>
    <x v="5"/>
    <n v="11000"/>
  </r>
  <r>
    <x v="196"/>
    <x v="0"/>
    <x v="2"/>
    <x v="0"/>
    <n v="817280"/>
  </r>
  <r>
    <x v="196"/>
    <x v="0"/>
    <x v="2"/>
    <x v="1"/>
    <n v="346312"/>
  </r>
  <r>
    <x v="196"/>
    <x v="0"/>
    <x v="2"/>
    <x v="2"/>
    <n v="485915"/>
  </r>
  <r>
    <x v="196"/>
    <x v="0"/>
    <x v="2"/>
    <x v="3"/>
    <n v="240857"/>
  </r>
  <r>
    <x v="196"/>
    <x v="0"/>
    <x v="3"/>
    <x v="4"/>
    <n v="15000"/>
  </r>
  <r>
    <x v="196"/>
    <x v="0"/>
    <x v="5"/>
    <x v="3"/>
    <n v="15000"/>
  </r>
  <r>
    <x v="196"/>
    <x v="0"/>
    <x v="6"/>
    <x v="0"/>
    <n v="14370"/>
  </r>
  <r>
    <x v="196"/>
    <x v="0"/>
    <x v="6"/>
    <x v="2"/>
    <n v="2522"/>
  </r>
  <r>
    <x v="196"/>
    <x v="1"/>
    <x v="2"/>
    <x v="1"/>
    <n v="185806"/>
  </r>
  <r>
    <x v="196"/>
    <x v="1"/>
    <x v="2"/>
    <x v="2"/>
    <n v="132846"/>
  </r>
  <r>
    <x v="197"/>
    <x v="0"/>
    <x v="0"/>
    <x v="0"/>
    <n v="287400"/>
  </r>
  <r>
    <x v="197"/>
    <x v="0"/>
    <x v="0"/>
    <x v="1"/>
    <n v="82743"/>
  </r>
  <r>
    <x v="197"/>
    <x v="0"/>
    <x v="0"/>
    <x v="2"/>
    <n v="123520"/>
  </r>
  <r>
    <x v="197"/>
    <x v="0"/>
    <x v="7"/>
    <x v="1"/>
    <n v="68144"/>
  </r>
  <r>
    <x v="197"/>
    <x v="0"/>
    <x v="7"/>
    <x v="2"/>
    <n v="72933"/>
  </r>
  <r>
    <x v="197"/>
    <x v="0"/>
    <x v="1"/>
    <x v="1"/>
    <n v="210"/>
  </r>
  <r>
    <x v="197"/>
    <x v="0"/>
    <x v="1"/>
    <x v="2"/>
    <n v="28"/>
  </r>
  <r>
    <x v="197"/>
    <x v="0"/>
    <x v="1"/>
    <x v="4"/>
    <n v="1418848"/>
  </r>
  <r>
    <x v="197"/>
    <x v="0"/>
    <x v="2"/>
    <x v="0"/>
    <n v="1451301"/>
  </r>
  <r>
    <x v="197"/>
    <x v="0"/>
    <x v="2"/>
    <x v="1"/>
    <n v="1238842"/>
  </r>
  <r>
    <x v="197"/>
    <x v="0"/>
    <x v="2"/>
    <x v="2"/>
    <n v="1270852"/>
  </r>
  <r>
    <x v="197"/>
    <x v="1"/>
    <x v="1"/>
    <x v="0"/>
    <n v="279244"/>
  </r>
  <r>
    <x v="197"/>
    <x v="1"/>
    <x v="1"/>
    <x v="1"/>
    <n v="124036"/>
  </r>
  <r>
    <x v="197"/>
    <x v="1"/>
    <x v="1"/>
    <x v="2"/>
    <n v="170090"/>
  </r>
  <r>
    <x v="197"/>
    <x v="1"/>
    <x v="1"/>
    <x v="4"/>
    <n v="69386"/>
  </r>
  <r>
    <x v="197"/>
    <x v="1"/>
    <x v="2"/>
    <x v="1"/>
    <n v="11160"/>
  </r>
  <r>
    <x v="197"/>
    <x v="1"/>
    <x v="2"/>
    <x v="2"/>
    <n v="6286"/>
  </r>
  <r>
    <x v="198"/>
    <x v="0"/>
    <x v="0"/>
    <x v="0"/>
    <n v="648833"/>
  </r>
  <r>
    <x v="198"/>
    <x v="0"/>
    <x v="0"/>
    <x v="1"/>
    <n v="117701"/>
  </r>
  <r>
    <x v="198"/>
    <x v="0"/>
    <x v="0"/>
    <x v="2"/>
    <n v="196668"/>
  </r>
  <r>
    <x v="198"/>
    <x v="0"/>
    <x v="0"/>
    <x v="3"/>
    <n v="4000"/>
  </r>
  <r>
    <x v="198"/>
    <x v="0"/>
    <x v="0"/>
    <x v="4"/>
    <n v="18000"/>
  </r>
  <r>
    <x v="198"/>
    <x v="0"/>
    <x v="0"/>
    <x v="5"/>
    <n v="2000"/>
  </r>
  <r>
    <x v="198"/>
    <x v="0"/>
    <x v="9"/>
    <x v="0"/>
    <n v="119859"/>
  </r>
  <r>
    <x v="198"/>
    <x v="0"/>
    <x v="9"/>
    <x v="2"/>
    <n v="35146"/>
  </r>
  <r>
    <x v="198"/>
    <x v="0"/>
    <x v="9"/>
    <x v="3"/>
    <n v="40000"/>
  </r>
  <r>
    <x v="198"/>
    <x v="0"/>
    <x v="9"/>
    <x v="4"/>
    <n v="7000"/>
  </r>
  <r>
    <x v="198"/>
    <x v="0"/>
    <x v="9"/>
    <x v="5"/>
    <n v="1500"/>
  </r>
  <r>
    <x v="198"/>
    <x v="0"/>
    <x v="7"/>
    <x v="1"/>
    <n v="35211"/>
  </r>
  <r>
    <x v="198"/>
    <x v="0"/>
    <x v="7"/>
    <x v="2"/>
    <n v="21458"/>
  </r>
  <r>
    <x v="198"/>
    <x v="0"/>
    <x v="1"/>
    <x v="0"/>
    <n v="5403819"/>
  </r>
  <r>
    <x v="198"/>
    <x v="0"/>
    <x v="1"/>
    <x v="1"/>
    <n v="150134"/>
  </r>
  <r>
    <x v="198"/>
    <x v="0"/>
    <x v="1"/>
    <x v="2"/>
    <n v="1734530"/>
  </r>
  <r>
    <x v="198"/>
    <x v="0"/>
    <x v="1"/>
    <x v="3"/>
    <n v="46000"/>
  </r>
  <r>
    <x v="198"/>
    <x v="0"/>
    <x v="1"/>
    <x v="4"/>
    <n v="2564000"/>
  </r>
  <r>
    <x v="198"/>
    <x v="0"/>
    <x v="1"/>
    <x v="5"/>
    <n v="13000"/>
  </r>
  <r>
    <x v="198"/>
    <x v="0"/>
    <x v="2"/>
    <x v="6"/>
    <n v="45000"/>
  </r>
  <r>
    <x v="198"/>
    <x v="0"/>
    <x v="2"/>
    <x v="0"/>
    <n v="4885319"/>
  </r>
  <r>
    <x v="198"/>
    <x v="0"/>
    <x v="2"/>
    <x v="1"/>
    <n v="6395038"/>
  </r>
  <r>
    <x v="198"/>
    <x v="0"/>
    <x v="2"/>
    <x v="2"/>
    <n v="5161667"/>
  </r>
  <r>
    <x v="198"/>
    <x v="0"/>
    <x v="2"/>
    <x v="3"/>
    <n v="90500"/>
  </r>
  <r>
    <x v="198"/>
    <x v="0"/>
    <x v="2"/>
    <x v="4"/>
    <n v="1250000"/>
  </r>
  <r>
    <x v="198"/>
    <x v="0"/>
    <x v="2"/>
    <x v="5"/>
    <n v="17000"/>
  </r>
  <r>
    <x v="198"/>
    <x v="0"/>
    <x v="8"/>
    <x v="4"/>
    <n v="200000"/>
  </r>
  <r>
    <x v="198"/>
    <x v="0"/>
    <x v="3"/>
    <x v="3"/>
    <n v="5000"/>
  </r>
  <r>
    <x v="198"/>
    <x v="0"/>
    <x v="3"/>
    <x v="4"/>
    <n v="36000"/>
  </r>
  <r>
    <x v="198"/>
    <x v="0"/>
    <x v="3"/>
    <x v="5"/>
    <n v="14000"/>
  </r>
  <r>
    <x v="198"/>
    <x v="0"/>
    <x v="4"/>
    <x v="3"/>
    <n v="10000"/>
  </r>
  <r>
    <x v="198"/>
    <x v="0"/>
    <x v="5"/>
    <x v="3"/>
    <n v="90000"/>
  </r>
  <r>
    <x v="198"/>
    <x v="0"/>
    <x v="5"/>
    <x v="4"/>
    <n v="30000"/>
  </r>
  <r>
    <x v="198"/>
    <x v="1"/>
    <x v="2"/>
    <x v="0"/>
    <n v="1130819"/>
  </r>
  <r>
    <x v="198"/>
    <x v="1"/>
    <x v="2"/>
    <x v="1"/>
    <n v="459857"/>
  </r>
  <r>
    <x v="198"/>
    <x v="1"/>
    <x v="2"/>
    <x v="2"/>
    <n v="619253"/>
  </r>
  <r>
    <x v="182"/>
    <x v="0"/>
    <x v="0"/>
    <x v="0"/>
    <n v="121373"/>
  </r>
  <r>
    <x v="182"/>
    <x v="0"/>
    <x v="0"/>
    <x v="2"/>
    <n v="35012"/>
  </r>
  <r>
    <x v="182"/>
    <x v="0"/>
    <x v="0"/>
    <x v="3"/>
    <n v="600"/>
  </r>
  <r>
    <x v="182"/>
    <x v="0"/>
    <x v="0"/>
    <x v="4"/>
    <n v="2786"/>
  </r>
  <r>
    <x v="182"/>
    <x v="0"/>
    <x v="0"/>
    <x v="5"/>
    <n v="250"/>
  </r>
  <r>
    <x v="182"/>
    <x v="0"/>
    <x v="1"/>
    <x v="0"/>
    <n v="91871"/>
  </r>
  <r>
    <x v="182"/>
    <x v="0"/>
    <x v="1"/>
    <x v="2"/>
    <n v="46674"/>
  </r>
  <r>
    <x v="182"/>
    <x v="0"/>
    <x v="1"/>
    <x v="3"/>
    <n v="11000"/>
  </r>
  <r>
    <x v="182"/>
    <x v="0"/>
    <x v="1"/>
    <x v="4"/>
    <n v="50478"/>
  </r>
  <r>
    <x v="182"/>
    <x v="0"/>
    <x v="2"/>
    <x v="0"/>
    <n v="336469"/>
  </r>
  <r>
    <x v="182"/>
    <x v="0"/>
    <x v="2"/>
    <x v="1"/>
    <n v="242861"/>
  </r>
  <r>
    <x v="182"/>
    <x v="0"/>
    <x v="2"/>
    <x v="2"/>
    <n v="251366"/>
  </r>
  <r>
    <x v="182"/>
    <x v="0"/>
    <x v="2"/>
    <x v="3"/>
    <n v="3380"/>
  </r>
  <r>
    <x v="182"/>
    <x v="0"/>
    <x v="2"/>
    <x v="4"/>
    <n v="5000"/>
  </r>
  <r>
    <x v="182"/>
    <x v="0"/>
    <x v="5"/>
    <x v="3"/>
    <n v="4600"/>
  </r>
  <r>
    <x v="182"/>
    <x v="0"/>
    <x v="6"/>
    <x v="0"/>
    <n v="11547"/>
  </r>
  <r>
    <x v="182"/>
    <x v="0"/>
    <x v="6"/>
    <x v="2"/>
    <n v="1770"/>
  </r>
  <r>
    <x v="199"/>
    <x v="0"/>
    <x v="0"/>
    <x v="0"/>
    <n v="19658"/>
  </r>
  <r>
    <x v="199"/>
    <x v="0"/>
    <x v="0"/>
    <x v="1"/>
    <n v="19824"/>
  </r>
  <r>
    <x v="199"/>
    <x v="0"/>
    <x v="0"/>
    <x v="2"/>
    <n v="23029"/>
  </r>
  <r>
    <x v="199"/>
    <x v="0"/>
    <x v="7"/>
    <x v="1"/>
    <n v="1864"/>
  </r>
  <r>
    <x v="199"/>
    <x v="0"/>
    <x v="7"/>
    <x v="2"/>
    <n v="1469"/>
  </r>
  <r>
    <x v="199"/>
    <x v="0"/>
    <x v="1"/>
    <x v="0"/>
    <n v="568041"/>
  </r>
  <r>
    <x v="199"/>
    <x v="0"/>
    <x v="1"/>
    <x v="1"/>
    <n v="14201"/>
  </r>
  <r>
    <x v="199"/>
    <x v="0"/>
    <x v="1"/>
    <x v="2"/>
    <n v="200166"/>
  </r>
  <r>
    <x v="199"/>
    <x v="0"/>
    <x v="2"/>
    <x v="0"/>
    <n v="892348"/>
  </r>
  <r>
    <x v="199"/>
    <x v="0"/>
    <x v="2"/>
    <x v="1"/>
    <n v="293276"/>
  </r>
  <r>
    <x v="199"/>
    <x v="0"/>
    <x v="2"/>
    <x v="2"/>
    <n v="531289"/>
  </r>
  <r>
    <x v="199"/>
    <x v="1"/>
    <x v="2"/>
    <x v="0"/>
    <n v="11608"/>
  </r>
  <r>
    <x v="199"/>
    <x v="1"/>
    <x v="2"/>
    <x v="1"/>
    <n v="229268"/>
  </r>
  <r>
    <x v="199"/>
    <x v="1"/>
    <x v="2"/>
    <x v="2"/>
    <n v="175618"/>
  </r>
  <r>
    <x v="199"/>
    <x v="1"/>
    <x v="2"/>
    <x v="4"/>
    <n v="3561"/>
  </r>
  <r>
    <x v="200"/>
    <x v="0"/>
    <x v="0"/>
    <x v="0"/>
    <n v="174514"/>
  </r>
  <r>
    <x v="200"/>
    <x v="0"/>
    <x v="0"/>
    <x v="1"/>
    <n v="8585"/>
  </r>
  <r>
    <x v="200"/>
    <x v="0"/>
    <x v="0"/>
    <x v="2"/>
    <n v="45507"/>
  </r>
  <r>
    <x v="200"/>
    <x v="0"/>
    <x v="0"/>
    <x v="3"/>
    <n v="500"/>
  </r>
  <r>
    <x v="200"/>
    <x v="0"/>
    <x v="1"/>
    <x v="0"/>
    <n v="312289"/>
  </r>
  <r>
    <x v="200"/>
    <x v="0"/>
    <x v="1"/>
    <x v="2"/>
    <n v="96864"/>
  </r>
  <r>
    <x v="200"/>
    <x v="0"/>
    <x v="1"/>
    <x v="3"/>
    <n v="4000"/>
  </r>
  <r>
    <x v="200"/>
    <x v="0"/>
    <x v="1"/>
    <x v="4"/>
    <n v="70100"/>
  </r>
  <r>
    <x v="200"/>
    <x v="0"/>
    <x v="2"/>
    <x v="0"/>
    <n v="497797"/>
  </r>
  <r>
    <x v="200"/>
    <x v="0"/>
    <x v="2"/>
    <x v="1"/>
    <n v="727139"/>
  </r>
  <r>
    <x v="200"/>
    <x v="0"/>
    <x v="2"/>
    <x v="2"/>
    <n v="569583"/>
  </r>
  <r>
    <x v="200"/>
    <x v="0"/>
    <x v="2"/>
    <x v="3"/>
    <n v="3000"/>
  </r>
  <r>
    <x v="200"/>
    <x v="0"/>
    <x v="2"/>
    <x v="4"/>
    <n v="21700"/>
  </r>
  <r>
    <x v="200"/>
    <x v="0"/>
    <x v="3"/>
    <x v="0"/>
    <n v="25558"/>
  </r>
  <r>
    <x v="200"/>
    <x v="0"/>
    <x v="3"/>
    <x v="2"/>
    <n v="4254"/>
  </r>
  <r>
    <x v="200"/>
    <x v="0"/>
    <x v="3"/>
    <x v="3"/>
    <n v="1500"/>
  </r>
  <r>
    <x v="200"/>
    <x v="0"/>
    <x v="3"/>
    <x v="5"/>
    <n v="1500"/>
  </r>
  <r>
    <x v="200"/>
    <x v="0"/>
    <x v="6"/>
    <x v="0"/>
    <n v="5456"/>
  </r>
  <r>
    <x v="200"/>
    <x v="0"/>
    <x v="6"/>
    <x v="2"/>
    <n v="873"/>
  </r>
  <r>
    <x v="200"/>
    <x v="1"/>
    <x v="2"/>
    <x v="0"/>
    <n v="199409"/>
  </r>
  <r>
    <x v="200"/>
    <x v="1"/>
    <x v="2"/>
    <x v="2"/>
    <n v="63254"/>
  </r>
  <r>
    <x v="200"/>
    <x v="1"/>
    <x v="3"/>
    <x v="0"/>
    <n v="1507"/>
  </r>
  <r>
    <x v="201"/>
    <x v="0"/>
    <x v="0"/>
    <x v="0"/>
    <n v="112768"/>
  </r>
  <r>
    <x v="201"/>
    <x v="0"/>
    <x v="0"/>
    <x v="1"/>
    <n v="64850"/>
  </r>
  <r>
    <x v="201"/>
    <x v="0"/>
    <x v="0"/>
    <x v="2"/>
    <n v="54723"/>
  </r>
  <r>
    <x v="201"/>
    <x v="0"/>
    <x v="0"/>
    <x v="3"/>
    <n v="500"/>
  </r>
  <r>
    <x v="201"/>
    <x v="0"/>
    <x v="0"/>
    <x v="5"/>
    <n v="3000"/>
  </r>
  <r>
    <x v="201"/>
    <x v="0"/>
    <x v="1"/>
    <x v="0"/>
    <n v="652935"/>
  </r>
  <r>
    <x v="201"/>
    <x v="0"/>
    <x v="1"/>
    <x v="1"/>
    <n v="43694"/>
  </r>
  <r>
    <x v="201"/>
    <x v="0"/>
    <x v="1"/>
    <x v="2"/>
    <n v="234030"/>
  </r>
  <r>
    <x v="201"/>
    <x v="0"/>
    <x v="2"/>
    <x v="0"/>
    <n v="796747"/>
  </r>
  <r>
    <x v="201"/>
    <x v="0"/>
    <x v="2"/>
    <x v="1"/>
    <n v="630303"/>
  </r>
  <r>
    <x v="201"/>
    <x v="0"/>
    <x v="2"/>
    <x v="2"/>
    <n v="751606"/>
  </r>
  <r>
    <x v="201"/>
    <x v="0"/>
    <x v="2"/>
    <x v="3"/>
    <n v="38291"/>
  </r>
  <r>
    <x v="201"/>
    <x v="0"/>
    <x v="2"/>
    <x v="4"/>
    <n v="332500"/>
  </r>
  <r>
    <x v="201"/>
    <x v="0"/>
    <x v="6"/>
    <x v="0"/>
    <n v="28831"/>
  </r>
  <r>
    <x v="201"/>
    <x v="0"/>
    <x v="6"/>
    <x v="2"/>
    <n v="4520"/>
  </r>
  <r>
    <x v="202"/>
    <x v="0"/>
    <x v="0"/>
    <x v="0"/>
    <n v="122375"/>
  </r>
  <r>
    <x v="202"/>
    <x v="0"/>
    <x v="0"/>
    <x v="1"/>
    <n v="267092"/>
  </r>
  <r>
    <x v="202"/>
    <x v="0"/>
    <x v="0"/>
    <x v="2"/>
    <n v="124016"/>
  </r>
  <r>
    <x v="202"/>
    <x v="0"/>
    <x v="0"/>
    <x v="3"/>
    <n v="7500"/>
  </r>
  <r>
    <x v="202"/>
    <x v="0"/>
    <x v="0"/>
    <x v="4"/>
    <n v="3200"/>
  </r>
  <r>
    <x v="202"/>
    <x v="0"/>
    <x v="0"/>
    <x v="5"/>
    <n v="1500"/>
  </r>
  <r>
    <x v="202"/>
    <x v="0"/>
    <x v="11"/>
    <x v="0"/>
    <n v="22791"/>
  </r>
  <r>
    <x v="202"/>
    <x v="0"/>
    <x v="11"/>
    <x v="2"/>
    <n v="5607"/>
  </r>
  <r>
    <x v="202"/>
    <x v="0"/>
    <x v="9"/>
    <x v="0"/>
    <n v="27387"/>
  </r>
  <r>
    <x v="202"/>
    <x v="0"/>
    <x v="9"/>
    <x v="2"/>
    <n v="7600"/>
  </r>
  <r>
    <x v="202"/>
    <x v="0"/>
    <x v="7"/>
    <x v="1"/>
    <n v="259201"/>
  </r>
  <r>
    <x v="202"/>
    <x v="0"/>
    <x v="7"/>
    <x v="2"/>
    <n v="148409"/>
  </r>
  <r>
    <x v="202"/>
    <x v="0"/>
    <x v="7"/>
    <x v="3"/>
    <n v="10000"/>
  </r>
  <r>
    <x v="202"/>
    <x v="0"/>
    <x v="1"/>
    <x v="0"/>
    <n v="2665353"/>
  </r>
  <r>
    <x v="202"/>
    <x v="0"/>
    <x v="1"/>
    <x v="1"/>
    <n v="285335"/>
  </r>
  <r>
    <x v="202"/>
    <x v="0"/>
    <x v="1"/>
    <x v="2"/>
    <n v="920800"/>
  </r>
  <r>
    <x v="202"/>
    <x v="0"/>
    <x v="1"/>
    <x v="3"/>
    <n v="49860"/>
  </r>
  <r>
    <x v="202"/>
    <x v="0"/>
    <x v="1"/>
    <x v="4"/>
    <n v="34435"/>
  </r>
  <r>
    <x v="202"/>
    <x v="0"/>
    <x v="1"/>
    <x v="5"/>
    <n v="9400"/>
  </r>
  <r>
    <x v="202"/>
    <x v="0"/>
    <x v="2"/>
    <x v="0"/>
    <n v="3167588"/>
  </r>
  <r>
    <x v="202"/>
    <x v="0"/>
    <x v="2"/>
    <x v="1"/>
    <n v="4472159"/>
  </r>
  <r>
    <x v="202"/>
    <x v="0"/>
    <x v="2"/>
    <x v="2"/>
    <n v="3358048"/>
  </r>
  <r>
    <x v="202"/>
    <x v="0"/>
    <x v="2"/>
    <x v="3"/>
    <n v="29100"/>
  </r>
  <r>
    <x v="202"/>
    <x v="0"/>
    <x v="2"/>
    <x v="4"/>
    <n v="998132"/>
  </r>
  <r>
    <x v="202"/>
    <x v="0"/>
    <x v="2"/>
    <x v="5"/>
    <n v="4500"/>
  </r>
  <r>
    <x v="202"/>
    <x v="0"/>
    <x v="3"/>
    <x v="0"/>
    <n v="105409"/>
  </r>
  <r>
    <x v="202"/>
    <x v="0"/>
    <x v="3"/>
    <x v="2"/>
    <n v="7472"/>
  </r>
  <r>
    <x v="202"/>
    <x v="0"/>
    <x v="6"/>
    <x v="0"/>
    <n v="101959"/>
  </r>
  <r>
    <x v="202"/>
    <x v="0"/>
    <x v="6"/>
    <x v="2"/>
    <n v="16207"/>
  </r>
  <r>
    <x v="201"/>
    <x v="1"/>
    <x v="2"/>
    <x v="0"/>
    <n v="302670"/>
  </r>
  <r>
    <x v="201"/>
    <x v="1"/>
    <x v="2"/>
    <x v="2"/>
    <n v="103879"/>
  </r>
  <r>
    <x v="202"/>
    <x v="1"/>
    <x v="2"/>
    <x v="0"/>
    <n v="751667"/>
  </r>
  <r>
    <x v="202"/>
    <x v="1"/>
    <x v="2"/>
    <x v="2"/>
    <n v="221726"/>
  </r>
  <r>
    <x v="202"/>
    <x v="1"/>
    <x v="3"/>
    <x v="0"/>
    <n v="1040"/>
  </r>
  <r>
    <x v="202"/>
    <x v="1"/>
    <x v="3"/>
    <x v="1"/>
    <n v="407"/>
  </r>
  <r>
    <x v="202"/>
    <x v="1"/>
    <x v="3"/>
    <x v="2"/>
    <n v="224"/>
  </r>
  <r>
    <x v="203"/>
    <x v="0"/>
    <x v="0"/>
    <x v="0"/>
    <n v="150000"/>
  </r>
  <r>
    <x v="203"/>
    <x v="0"/>
    <x v="0"/>
    <x v="1"/>
    <n v="102058"/>
  </r>
  <r>
    <x v="203"/>
    <x v="0"/>
    <x v="0"/>
    <x v="2"/>
    <n v="87559"/>
  </r>
  <r>
    <x v="203"/>
    <x v="0"/>
    <x v="0"/>
    <x v="3"/>
    <n v="100"/>
  </r>
  <r>
    <x v="203"/>
    <x v="0"/>
    <x v="7"/>
    <x v="1"/>
    <n v="125263"/>
  </r>
  <r>
    <x v="203"/>
    <x v="0"/>
    <x v="7"/>
    <x v="2"/>
    <n v="117994"/>
  </r>
  <r>
    <x v="203"/>
    <x v="0"/>
    <x v="1"/>
    <x v="0"/>
    <n v="671898"/>
  </r>
  <r>
    <x v="203"/>
    <x v="0"/>
    <x v="1"/>
    <x v="1"/>
    <n v="105830"/>
  </r>
  <r>
    <x v="203"/>
    <x v="0"/>
    <x v="1"/>
    <x v="2"/>
    <n v="269038"/>
  </r>
  <r>
    <x v="203"/>
    <x v="0"/>
    <x v="1"/>
    <x v="4"/>
    <n v="1156980"/>
  </r>
  <r>
    <x v="203"/>
    <x v="0"/>
    <x v="2"/>
    <x v="6"/>
    <n v="1000"/>
  </r>
  <r>
    <x v="203"/>
    <x v="0"/>
    <x v="2"/>
    <x v="0"/>
    <n v="1402946"/>
  </r>
  <r>
    <x v="203"/>
    <x v="0"/>
    <x v="2"/>
    <x v="1"/>
    <n v="1373704"/>
  </r>
  <r>
    <x v="203"/>
    <x v="0"/>
    <x v="2"/>
    <x v="2"/>
    <n v="1219738"/>
  </r>
  <r>
    <x v="203"/>
    <x v="0"/>
    <x v="2"/>
    <x v="3"/>
    <n v="23700"/>
  </r>
  <r>
    <x v="203"/>
    <x v="0"/>
    <x v="2"/>
    <x v="4"/>
    <n v="111200"/>
  </r>
  <r>
    <x v="203"/>
    <x v="0"/>
    <x v="3"/>
    <x v="0"/>
    <n v="11470"/>
  </r>
  <r>
    <x v="203"/>
    <x v="0"/>
    <x v="3"/>
    <x v="2"/>
    <n v="1860"/>
  </r>
  <r>
    <x v="203"/>
    <x v="0"/>
    <x v="6"/>
    <x v="0"/>
    <n v="35440"/>
  </r>
  <r>
    <x v="203"/>
    <x v="0"/>
    <x v="6"/>
    <x v="2"/>
    <n v="5750"/>
  </r>
  <r>
    <x v="203"/>
    <x v="1"/>
    <x v="2"/>
    <x v="0"/>
    <n v="396673"/>
  </r>
  <r>
    <x v="203"/>
    <x v="1"/>
    <x v="2"/>
    <x v="2"/>
    <n v="128879"/>
  </r>
  <r>
    <x v="203"/>
    <x v="1"/>
    <x v="3"/>
    <x v="0"/>
    <n v="8607"/>
  </r>
  <r>
    <x v="203"/>
    <x v="1"/>
    <x v="3"/>
    <x v="2"/>
    <n v="1392"/>
  </r>
  <r>
    <x v="204"/>
    <x v="0"/>
    <x v="0"/>
    <x v="0"/>
    <n v="67373"/>
  </r>
  <r>
    <x v="204"/>
    <x v="0"/>
    <x v="0"/>
    <x v="2"/>
    <n v="24928"/>
  </r>
  <r>
    <x v="204"/>
    <x v="0"/>
    <x v="1"/>
    <x v="4"/>
    <n v="194000"/>
  </r>
  <r>
    <x v="204"/>
    <x v="0"/>
    <x v="2"/>
    <x v="0"/>
    <n v="120378"/>
  </r>
  <r>
    <x v="204"/>
    <x v="0"/>
    <x v="2"/>
    <x v="2"/>
    <n v="42006"/>
  </r>
  <r>
    <x v="205"/>
    <x v="0"/>
    <x v="0"/>
    <x v="0"/>
    <n v="397724"/>
  </r>
  <r>
    <x v="205"/>
    <x v="0"/>
    <x v="0"/>
    <x v="1"/>
    <n v="214837"/>
  </r>
  <r>
    <x v="205"/>
    <x v="0"/>
    <x v="0"/>
    <x v="2"/>
    <n v="156464"/>
  </r>
  <r>
    <x v="205"/>
    <x v="0"/>
    <x v="0"/>
    <x v="3"/>
    <n v="5500"/>
  </r>
  <r>
    <x v="205"/>
    <x v="0"/>
    <x v="0"/>
    <x v="4"/>
    <n v="6500"/>
  </r>
  <r>
    <x v="205"/>
    <x v="0"/>
    <x v="0"/>
    <x v="5"/>
    <n v="5000"/>
  </r>
  <r>
    <x v="205"/>
    <x v="0"/>
    <x v="1"/>
    <x v="0"/>
    <n v="1259441"/>
  </r>
  <r>
    <x v="205"/>
    <x v="0"/>
    <x v="1"/>
    <x v="1"/>
    <n v="227890"/>
  </r>
  <r>
    <x v="205"/>
    <x v="0"/>
    <x v="1"/>
    <x v="2"/>
    <n v="536543"/>
  </r>
  <r>
    <x v="205"/>
    <x v="0"/>
    <x v="1"/>
    <x v="3"/>
    <n v="18100"/>
  </r>
  <r>
    <x v="205"/>
    <x v="0"/>
    <x v="1"/>
    <x v="4"/>
    <n v="28000"/>
  </r>
  <r>
    <x v="205"/>
    <x v="0"/>
    <x v="1"/>
    <x v="5"/>
    <n v="2000"/>
  </r>
  <r>
    <x v="205"/>
    <x v="0"/>
    <x v="2"/>
    <x v="0"/>
    <n v="1615606"/>
  </r>
  <r>
    <x v="205"/>
    <x v="0"/>
    <x v="2"/>
    <x v="1"/>
    <n v="745183"/>
  </r>
  <r>
    <x v="205"/>
    <x v="0"/>
    <x v="2"/>
    <x v="2"/>
    <n v="913695"/>
  </r>
  <r>
    <x v="205"/>
    <x v="0"/>
    <x v="2"/>
    <x v="3"/>
    <n v="12500"/>
  </r>
  <r>
    <x v="205"/>
    <x v="0"/>
    <x v="2"/>
    <x v="4"/>
    <n v="520118"/>
  </r>
  <r>
    <x v="205"/>
    <x v="0"/>
    <x v="2"/>
    <x v="5"/>
    <n v="23949"/>
  </r>
  <r>
    <x v="205"/>
    <x v="0"/>
    <x v="3"/>
    <x v="0"/>
    <n v="259407"/>
  </r>
  <r>
    <x v="205"/>
    <x v="0"/>
    <x v="3"/>
    <x v="1"/>
    <n v="10860"/>
  </r>
  <r>
    <x v="205"/>
    <x v="0"/>
    <x v="3"/>
    <x v="2"/>
    <n v="42331"/>
  </r>
  <r>
    <x v="205"/>
    <x v="0"/>
    <x v="3"/>
    <x v="4"/>
    <n v="13058"/>
  </r>
  <r>
    <x v="205"/>
    <x v="0"/>
    <x v="6"/>
    <x v="0"/>
    <n v="53923"/>
  </r>
  <r>
    <x v="205"/>
    <x v="0"/>
    <x v="6"/>
    <x v="2"/>
    <n v="8625"/>
  </r>
  <r>
    <x v="205"/>
    <x v="1"/>
    <x v="2"/>
    <x v="1"/>
    <n v="457784"/>
  </r>
  <r>
    <x v="205"/>
    <x v="1"/>
    <x v="2"/>
    <x v="2"/>
    <n v="290193"/>
  </r>
  <r>
    <x v="206"/>
    <x v="0"/>
    <x v="0"/>
    <x v="0"/>
    <n v="161531"/>
  </r>
  <r>
    <x v="206"/>
    <x v="0"/>
    <x v="0"/>
    <x v="1"/>
    <n v="58473"/>
  </r>
  <r>
    <x v="206"/>
    <x v="0"/>
    <x v="0"/>
    <x v="2"/>
    <n v="66959"/>
  </r>
  <r>
    <x v="206"/>
    <x v="0"/>
    <x v="0"/>
    <x v="3"/>
    <n v="3500"/>
  </r>
  <r>
    <x v="206"/>
    <x v="0"/>
    <x v="0"/>
    <x v="4"/>
    <n v="2000"/>
  </r>
  <r>
    <x v="206"/>
    <x v="0"/>
    <x v="0"/>
    <x v="5"/>
    <n v="1000"/>
  </r>
  <r>
    <x v="206"/>
    <x v="0"/>
    <x v="1"/>
    <x v="0"/>
    <n v="1079841"/>
  </r>
  <r>
    <x v="206"/>
    <x v="0"/>
    <x v="1"/>
    <x v="1"/>
    <n v="220712"/>
  </r>
  <r>
    <x v="206"/>
    <x v="0"/>
    <x v="1"/>
    <x v="2"/>
    <n v="450293"/>
  </r>
  <r>
    <x v="206"/>
    <x v="0"/>
    <x v="1"/>
    <x v="3"/>
    <n v="11000"/>
  </r>
  <r>
    <x v="206"/>
    <x v="0"/>
    <x v="1"/>
    <x v="4"/>
    <n v="480988"/>
  </r>
  <r>
    <x v="206"/>
    <x v="0"/>
    <x v="2"/>
    <x v="0"/>
    <n v="2062833"/>
  </r>
  <r>
    <x v="206"/>
    <x v="0"/>
    <x v="2"/>
    <x v="1"/>
    <n v="1028621"/>
  </r>
  <r>
    <x v="206"/>
    <x v="0"/>
    <x v="2"/>
    <x v="2"/>
    <n v="1409995"/>
  </r>
  <r>
    <x v="206"/>
    <x v="0"/>
    <x v="2"/>
    <x v="3"/>
    <n v="11000"/>
  </r>
  <r>
    <x v="206"/>
    <x v="0"/>
    <x v="2"/>
    <x v="4"/>
    <n v="76800"/>
  </r>
  <r>
    <x v="206"/>
    <x v="0"/>
    <x v="3"/>
    <x v="3"/>
    <n v="1000"/>
  </r>
  <r>
    <x v="206"/>
    <x v="0"/>
    <x v="5"/>
    <x v="3"/>
    <n v="9000"/>
  </r>
  <r>
    <x v="206"/>
    <x v="1"/>
    <x v="1"/>
    <x v="1"/>
    <n v="62675"/>
  </r>
  <r>
    <x v="206"/>
    <x v="1"/>
    <x v="1"/>
    <x v="2"/>
    <n v="41689"/>
  </r>
  <r>
    <x v="206"/>
    <x v="1"/>
    <x v="2"/>
    <x v="1"/>
    <n v="419147"/>
  </r>
  <r>
    <x v="206"/>
    <x v="1"/>
    <x v="2"/>
    <x v="2"/>
    <n v="298423"/>
  </r>
  <r>
    <x v="206"/>
    <x v="3"/>
    <x v="0"/>
    <x v="0"/>
    <n v="29856"/>
  </r>
  <r>
    <x v="206"/>
    <x v="3"/>
    <x v="0"/>
    <x v="2"/>
    <n v="7639"/>
  </r>
  <r>
    <x v="206"/>
    <x v="3"/>
    <x v="2"/>
    <x v="0"/>
    <n v="34293"/>
  </r>
  <r>
    <x v="206"/>
    <x v="3"/>
    <x v="2"/>
    <x v="1"/>
    <n v="60290"/>
  </r>
  <r>
    <x v="206"/>
    <x v="3"/>
    <x v="2"/>
    <x v="2"/>
    <n v="56014"/>
  </r>
  <r>
    <x v="206"/>
    <x v="3"/>
    <x v="2"/>
    <x v="3"/>
    <n v="2875"/>
  </r>
  <r>
    <x v="207"/>
    <x v="0"/>
    <x v="1"/>
    <x v="4"/>
    <n v="50000"/>
  </r>
  <r>
    <x v="207"/>
    <x v="0"/>
    <x v="2"/>
    <x v="0"/>
    <n v="43606"/>
  </r>
  <r>
    <x v="207"/>
    <x v="0"/>
    <x v="2"/>
    <x v="2"/>
    <n v="18848"/>
  </r>
  <r>
    <x v="207"/>
    <x v="0"/>
    <x v="2"/>
    <x v="3"/>
    <n v="750"/>
  </r>
  <r>
    <x v="207"/>
    <x v="0"/>
    <x v="2"/>
    <x v="4"/>
    <n v="300"/>
  </r>
  <r>
    <x v="207"/>
    <x v="0"/>
    <x v="8"/>
    <x v="4"/>
    <n v="140000"/>
  </r>
  <r>
    <x v="207"/>
    <x v="1"/>
    <x v="2"/>
    <x v="1"/>
    <n v="10229"/>
  </r>
  <r>
    <x v="207"/>
    <x v="1"/>
    <x v="2"/>
    <x v="2"/>
    <n v="6188"/>
  </r>
  <r>
    <x v="207"/>
    <x v="1"/>
    <x v="2"/>
    <x v="3"/>
    <n v="500"/>
  </r>
  <r>
    <x v="201"/>
    <x v="3"/>
    <x v="0"/>
    <x v="0"/>
    <n v="37589"/>
  </r>
  <r>
    <x v="201"/>
    <x v="3"/>
    <x v="0"/>
    <x v="1"/>
    <n v="13980"/>
  </r>
  <r>
    <x v="201"/>
    <x v="3"/>
    <x v="0"/>
    <x v="2"/>
    <n v="13145"/>
  </r>
  <r>
    <x v="208"/>
    <x v="0"/>
    <x v="0"/>
    <x v="0"/>
    <n v="95254"/>
  </r>
  <r>
    <x v="208"/>
    <x v="0"/>
    <x v="0"/>
    <x v="1"/>
    <n v="28829"/>
  </r>
  <r>
    <x v="208"/>
    <x v="0"/>
    <x v="0"/>
    <x v="2"/>
    <n v="44621"/>
  </r>
  <r>
    <x v="209"/>
    <x v="0"/>
    <x v="0"/>
    <x v="0"/>
    <n v="112636"/>
  </r>
  <r>
    <x v="209"/>
    <x v="0"/>
    <x v="0"/>
    <x v="1"/>
    <n v="38906"/>
  </r>
  <r>
    <x v="209"/>
    <x v="0"/>
    <x v="0"/>
    <x v="2"/>
    <n v="43673"/>
  </r>
  <r>
    <x v="209"/>
    <x v="0"/>
    <x v="0"/>
    <x v="3"/>
    <n v="15000"/>
  </r>
  <r>
    <x v="209"/>
    <x v="0"/>
    <x v="0"/>
    <x v="4"/>
    <n v="100"/>
  </r>
  <r>
    <x v="209"/>
    <x v="0"/>
    <x v="7"/>
    <x v="4"/>
    <n v="337022"/>
  </r>
  <r>
    <x v="209"/>
    <x v="0"/>
    <x v="1"/>
    <x v="0"/>
    <n v="702713"/>
  </r>
  <r>
    <x v="209"/>
    <x v="0"/>
    <x v="1"/>
    <x v="1"/>
    <n v="110108"/>
  </r>
  <r>
    <x v="209"/>
    <x v="0"/>
    <x v="1"/>
    <x v="2"/>
    <n v="281288"/>
  </r>
  <r>
    <x v="209"/>
    <x v="0"/>
    <x v="1"/>
    <x v="3"/>
    <n v="23200"/>
  </r>
  <r>
    <x v="209"/>
    <x v="0"/>
    <x v="1"/>
    <x v="4"/>
    <n v="1634580"/>
  </r>
  <r>
    <x v="209"/>
    <x v="0"/>
    <x v="2"/>
    <x v="0"/>
    <n v="1194999"/>
  </r>
  <r>
    <x v="209"/>
    <x v="0"/>
    <x v="2"/>
    <x v="1"/>
    <n v="1267264"/>
  </r>
  <r>
    <x v="209"/>
    <x v="0"/>
    <x v="2"/>
    <x v="2"/>
    <n v="1293628"/>
  </r>
  <r>
    <x v="209"/>
    <x v="0"/>
    <x v="2"/>
    <x v="3"/>
    <n v="20500"/>
  </r>
  <r>
    <x v="209"/>
    <x v="0"/>
    <x v="2"/>
    <x v="4"/>
    <n v="108169"/>
  </r>
  <r>
    <x v="209"/>
    <x v="0"/>
    <x v="2"/>
    <x v="5"/>
    <n v="300"/>
  </r>
  <r>
    <x v="209"/>
    <x v="0"/>
    <x v="3"/>
    <x v="3"/>
    <n v="100"/>
  </r>
  <r>
    <x v="209"/>
    <x v="0"/>
    <x v="3"/>
    <x v="4"/>
    <n v="1000"/>
  </r>
  <r>
    <x v="209"/>
    <x v="0"/>
    <x v="3"/>
    <x v="5"/>
    <n v="200"/>
  </r>
  <r>
    <x v="208"/>
    <x v="0"/>
    <x v="1"/>
    <x v="1"/>
    <n v="143404"/>
  </r>
  <r>
    <x v="208"/>
    <x v="0"/>
    <x v="1"/>
    <x v="2"/>
    <n v="85968"/>
  </r>
  <r>
    <x v="208"/>
    <x v="0"/>
    <x v="1"/>
    <x v="3"/>
    <n v="4800"/>
  </r>
  <r>
    <x v="208"/>
    <x v="0"/>
    <x v="1"/>
    <x v="4"/>
    <n v="483000"/>
  </r>
  <r>
    <x v="208"/>
    <x v="0"/>
    <x v="2"/>
    <x v="0"/>
    <n v="487156"/>
  </r>
  <r>
    <x v="208"/>
    <x v="0"/>
    <x v="2"/>
    <x v="1"/>
    <n v="346948"/>
  </r>
  <r>
    <x v="208"/>
    <x v="0"/>
    <x v="2"/>
    <x v="2"/>
    <n v="386111"/>
  </r>
  <r>
    <x v="208"/>
    <x v="0"/>
    <x v="2"/>
    <x v="3"/>
    <n v="10500"/>
  </r>
  <r>
    <x v="208"/>
    <x v="0"/>
    <x v="3"/>
    <x v="4"/>
    <n v="1000"/>
  </r>
  <r>
    <x v="208"/>
    <x v="0"/>
    <x v="4"/>
    <x v="3"/>
    <n v="1500"/>
  </r>
  <r>
    <x v="208"/>
    <x v="0"/>
    <x v="4"/>
    <x v="4"/>
    <n v="2500"/>
  </r>
  <r>
    <x v="208"/>
    <x v="0"/>
    <x v="6"/>
    <x v="0"/>
    <n v="8030"/>
  </r>
  <r>
    <x v="208"/>
    <x v="0"/>
    <x v="6"/>
    <x v="2"/>
    <n v="1293"/>
  </r>
  <r>
    <x v="210"/>
    <x v="0"/>
    <x v="1"/>
    <x v="4"/>
    <n v="3500"/>
  </r>
  <r>
    <x v="211"/>
    <x v="0"/>
    <x v="0"/>
    <x v="6"/>
    <n v="8200"/>
  </r>
  <r>
    <x v="211"/>
    <x v="0"/>
    <x v="0"/>
    <x v="0"/>
    <n v="1263841"/>
  </r>
  <r>
    <x v="211"/>
    <x v="0"/>
    <x v="0"/>
    <x v="1"/>
    <n v="1170779"/>
  </r>
  <r>
    <x v="211"/>
    <x v="0"/>
    <x v="0"/>
    <x v="2"/>
    <n v="755503"/>
  </r>
  <r>
    <x v="211"/>
    <x v="0"/>
    <x v="0"/>
    <x v="3"/>
    <n v="5100"/>
  </r>
  <r>
    <x v="211"/>
    <x v="0"/>
    <x v="0"/>
    <x v="4"/>
    <n v="16373"/>
  </r>
  <r>
    <x v="211"/>
    <x v="0"/>
    <x v="0"/>
    <x v="5"/>
    <n v="500"/>
  </r>
  <r>
    <x v="211"/>
    <x v="0"/>
    <x v="9"/>
    <x v="0"/>
    <n v="68027"/>
  </r>
  <r>
    <x v="211"/>
    <x v="0"/>
    <x v="9"/>
    <x v="2"/>
    <n v="20597"/>
  </r>
  <r>
    <x v="211"/>
    <x v="0"/>
    <x v="1"/>
    <x v="0"/>
    <n v="32873694"/>
  </r>
  <r>
    <x v="211"/>
    <x v="0"/>
    <x v="1"/>
    <x v="1"/>
    <n v="991222"/>
  </r>
  <r>
    <x v="211"/>
    <x v="0"/>
    <x v="1"/>
    <x v="2"/>
    <n v="10575814"/>
  </r>
  <r>
    <x v="211"/>
    <x v="0"/>
    <x v="1"/>
    <x v="3"/>
    <n v="282381"/>
  </r>
  <r>
    <x v="211"/>
    <x v="0"/>
    <x v="1"/>
    <x v="4"/>
    <n v="904327"/>
  </r>
  <r>
    <x v="211"/>
    <x v="0"/>
    <x v="1"/>
    <x v="5"/>
    <n v="18700"/>
  </r>
  <r>
    <x v="211"/>
    <x v="0"/>
    <x v="2"/>
    <x v="6"/>
    <n v="650"/>
  </r>
  <r>
    <x v="211"/>
    <x v="0"/>
    <x v="2"/>
    <x v="0"/>
    <n v="74040332"/>
  </r>
  <r>
    <x v="211"/>
    <x v="0"/>
    <x v="2"/>
    <x v="1"/>
    <n v="80134880"/>
  </r>
  <r>
    <x v="211"/>
    <x v="0"/>
    <x v="2"/>
    <x v="2"/>
    <n v="52810808"/>
  </r>
  <r>
    <x v="211"/>
    <x v="0"/>
    <x v="2"/>
    <x v="3"/>
    <n v="460005"/>
  </r>
  <r>
    <x v="211"/>
    <x v="0"/>
    <x v="2"/>
    <x v="4"/>
    <n v="24466680"/>
  </r>
  <r>
    <x v="211"/>
    <x v="0"/>
    <x v="2"/>
    <x v="5"/>
    <n v="8977"/>
  </r>
  <r>
    <x v="211"/>
    <x v="0"/>
    <x v="3"/>
    <x v="0"/>
    <n v="682472"/>
  </r>
  <r>
    <x v="211"/>
    <x v="0"/>
    <x v="3"/>
    <x v="1"/>
    <n v="531429"/>
  </r>
  <r>
    <x v="211"/>
    <x v="0"/>
    <x v="3"/>
    <x v="2"/>
    <n v="307596"/>
  </r>
  <r>
    <x v="211"/>
    <x v="0"/>
    <x v="3"/>
    <x v="3"/>
    <n v="14516"/>
  </r>
  <r>
    <x v="211"/>
    <x v="0"/>
    <x v="3"/>
    <x v="4"/>
    <n v="20000"/>
  </r>
  <r>
    <x v="211"/>
    <x v="0"/>
    <x v="3"/>
    <x v="5"/>
    <n v="2136"/>
  </r>
  <r>
    <x v="211"/>
    <x v="0"/>
    <x v="5"/>
    <x v="3"/>
    <n v="77521"/>
  </r>
  <r>
    <x v="208"/>
    <x v="1"/>
    <x v="1"/>
    <x v="4"/>
    <n v="210312"/>
  </r>
  <r>
    <x v="209"/>
    <x v="1"/>
    <x v="2"/>
    <x v="0"/>
    <n v="412924"/>
  </r>
  <r>
    <x v="209"/>
    <x v="1"/>
    <x v="2"/>
    <x v="2"/>
    <n v="136579"/>
  </r>
  <r>
    <x v="211"/>
    <x v="1"/>
    <x v="0"/>
    <x v="0"/>
    <n v="1891183"/>
  </r>
  <r>
    <x v="211"/>
    <x v="1"/>
    <x v="0"/>
    <x v="1"/>
    <n v="276754"/>
  </r>
  <r>
    <x v="211"/>
    <x v="1"/>
    <x v="0"/>
    <x v="2"/>
    <n v="533941"/>
  </r>
  <r>
    <x v="211"/>
    <x v="1"/>
    <x v="0"/>
    <x v="5"/>
    <n v="1112"/>
  </r>
  <r>
    <x v="211"/>
    <x v="1"/>
    <x v="1"/>
    <x v="0"/>
    <n v="1209968"/>
  </r>
  <r>
    <x v="211"/>
    <x v="1"/>
    <x v="1"/>
    <x v="1"/>
    <n v="71210"/>
  </r>
  <r>
    <x v="211"/>
    <x v="1"/>
    <x v="1"/>
    <x v="2"/>
    <n v="396713"/>
  </r>
  <r>
    <x v="211"/>
    <x v="1"/>
    <x v="1"/>
    <x v="3"/>
    <n v="191673"/>
  </r>
  <r>
    <x v="211"/>
    <x v="1"/>
    <x v="1"/>
    <x v="5"/>
    <n v="3400"/>
  </r>
  <r>
    <x v="211"/>
    <x v="1"/>
    <x v="2"/>
    <x v="0"/>
    <n v="1545702"/>
  </r>
  <r>
    <x v="211"/>
    <x v="1"/>
    <x v="2"/>
    <x v="1"/>
    <n v="2412080"/>
  </r>
  <r>
    <x v="211"/>
    <x v="1"/>
    <x v="2"/>
    <x v="2"/>
    <n v="1500794"/>
  </r>
  <r>
    <x v="211"/>
    <x v="1"/>
    <x v="2"/>
    <x v="3"/>
    <n v="301420"/>
  </r>
  <r>
    <x v="211"/>
    <x v="1"/>
    <x v="2"/>
    <x v="4"/>
    <n v="3279174"/>
  </r>
  <r>
    <x v="211"/>
    <x v="1"/>
    <x v="2"/>
    <x v="5"/>
    <n v="4716"/>
  </r>
  <r>
    <x v="211"/>
    <x v="1"/>
    <x v="3"/>
    <x v="0"/>
    <n v="2102668"/>
  </r>
  <r>
    <x v="211"/>
    <x v="1"/>
    <x v="3"/>
    <x v="2"/>
    <n v="521836"/>
  </r>
  <r>
    <x v="211"/>
    <x v="1"/>
    <x v="3"/>
    <x v="4"/>
    <n v="45808"/>
  </r>
  <r>
    <x v="211"/>
    <x v="1"/>
    <x v="3"/>
    <x v="5"/>
    <n v="15123"/>
  </r>
  <r>
    <x v="212"/>
    <x v="0"/>
    <x v="1"/>
    <x v="0"/>
    <n v="124510"/>
  </r>
  <r>
    <x v="212"/>
    <x v="0"/>
    <x v="1"/>
    <x v="2"/>
    <n v="46593"/>
  </r>
  <r>
    <x v="212"/>
    <x v="0"/>
    <x v="1"/>
    <x v="3"/>
    <n v="500"/>
  </r>
  <r>
    <x v="212"/>
    <x v="0"/>
    <x v="2"/>
    <x v="0"/>
    <n v="121944"/>
  </r>
  <r>
    <x v="212"/>
    <x v="0"/>
    <x v="2"/>
    <x v="1"/>
    <n v="179224"/>
  </r>
  <r>
    <x v="212"/>
    <x v="0"/>
    <x v="2"/>
    <x v="2"/>
    <n v="183202"/>
  </r>
  <r>
    <x v="212"/>
    <x v="0"/>
    <x v="2"/>
    <x v="3"/>
    <n v="5000"/>
  </r>
  <r>
    <x v="212"/>
    <x v="0"/>
    <x v="2"/>
    <x v="4"/>
    <n v="4000"/>
  </r>
  <r>
    <x v="212"/>
    <x v="0"/>
    <x v="6"/>
    <x v="4"/>
    <n v="500"/>
  </r>
  <r>
    <x v="212"/>
    <x v="1"/>
    <x v="1"/>
    <x v="0"/>
    <n v="23496"/>
  </r>
  <r>
    <x v="212"/>
    <x v="1"/>
    <x v="1"/>
    <x v="2"/>
    <n v="8815"/>
  </r>
  <r>
    <x v="212"/>
    <x v="1"/>
    <x v="1"/>
    <x v="4"/>
    <n v="18500"/>
  </r>
  <r>
    <x v="212"/>
    <x v="1"/>
    <x v="2"/>
    <x v="0"/>
    <n v="13352"/>
  </r>
  <r>
    <x v="212"/>
    <x v="1"/>
    <x v="2"/>
    <x v="1"/>
    <n v="7877"/>
  </r>
  <r>
    <x v="212"/>
    <x v="1"/>
    <x v="2"/>
    <x v="2"/>
    <n v="11104"/>
  </r>
  <r>
    <x v="213"/>
    <x v="0"/>
    <x v="1"/>
    <x v="4"/>
    <n v="338997"/>
  </r>
  <r>
    <x v="213"/>
    <x v="0"/>
    <x v="2"/>
    <x v="0"/>
    <n v="82776"/>
  </r>
  <r>
    <x v="213"/>
    <x v="0"/>
    <x v="2"/>
    <x v="1"/>
    <n v="206932"/>
  </r>
  <r>
    <x v="213"/>
    <x v="0"/>
    <x v="2"/>
    <x v="2"/>
    <n v="138639"/>
  </r>
  <r>
    <x v="213"/>
    <x v="0"/>
    <x v="2"/>
    <x v="3"/>
    <n v="2275"/>
  </r>
  <r>
    <x v="213"/>
    <x v="0"/>
    <x v="2"/>
    <x v="4"/>
    <n v="25500"/>
  </r>
  <r>
    <x v="213"/>
    <x v="1"/>
    <x v="2"/>
    <x v="0"/>
    <n v="82776"/>
  </r>
  <r>
    <x v="213"/>
    <x v="1"/>
    <x v="2"/>
    <x v="2"/>
    <n v="32506"/>
  </r>
  <r>
    <x v="214"/>
    <x v="0"/>
    <x v="8"/>
    <x v="4"/>
    <n v="40848"/>
  </r>
  <r>
    <x v="201"/>
    <x v="3"/>
    <x v="1"/>
    <x v="0"/>
    <n v="20745"/>
  </r>
  <r>
    <x v="201"/>
    <x v="3"/>
    <x v="1"/>
    <x v="2"/>
    <n v="7117"/>
  </r>
  <r>
    <x v="201"/>
    <x v="3"/>
    <x v="1"/>
    <x v="4"/>
    <n v="53813"/>
  </r>
  <r>
    <x v="201"/>
    <x v="3"/>
    <x v="2"/>
    <x v="0"/>
    <n v="23994"/>
  </r>
  <r>
    <x v="201"/>
    <x v="3"/>
    <x v="2"/>
    <x v="1"/>
    <n v="27429"/>
  </r>
  <r>
    <x v="201"/>
    <x v="3"/>
    <x v="2"/>
    <x v="2"/>
    <n v="30335"/>
  </r>
  <r>
    <x v="215"/>
    <x v="0"/>
    <x v="0"/>
    <x v="0"/>
    <n v="518231"/>
  </r>
  <r>
    <x v="215"/>
    <x v="0"/>
    <x v="0"/>
    <x v="1"/>
    <n v="282980"/>
  </r>
  <r>
    <x v="215"/>
    <x v="0"/>
    <x v="0"/>
    <x v="2"/>
    <n v="225562"/>
  </r>
  <r>
    <x v="215"/>
    <x v="0"/>
    <x v="7"/>
    <x v="1"/>
    <n v="308440"/>
  </r>
  <r>
    <x v="215"/>
    <x v="0"/>
    <x v="7"/>
    <x v="2"/>
    <n v="203823"/>
  </r>
  <r>
    <x v="215"/>
    <x v="0"/>
    <x v="1"/>
    <x v="0"/>
    <n v="4418596"/>
  </r>
  <r>
    <x v="215"/>
    <x v="0"/>
    <x v="1"/>
    <x v="1"/>
    <n v="188650"/>
  </r>
  <r>
    <x v="215"/>
    <x v="0"/>
    <x v="1"/>
    <x v="2"/>
    <n v="1341588"/>
  </r>
  <r>
    <x v="215"/>
    <x v="0"/>
    <x v="1"/>
    <x v="3"/>
    <n v="70000"/>
  </r>
  <r>
    <x v="215"/>
    <x v="0"/>
    <x v="1"/>
    <x v="4"/>
    <n v="375000"/>
  </r>
  <r>
    <x v="215"/>
    <x v="0"/>
    <x v="2"/>
    <x v="6"/>
    <n v="80000"/>
  </r>
  <r>
    <x v="215"/>
    <x v="0"/>
    <x v="2"/>
    <x v="0"/>
    <n v="7431905"/>
  </r>
  <r>
    <x v="215"/>
    <x v="0"/>
    <x v="2"/>
    <x v="1"/>
    <n v="7162151"/>
  </r>
  <r>
    <x v="215"/>
    <x v="0"/>
    <x v="2"/>
    <x v="2"/>
    <n v="6108121"/>
  </r>
  <r>
    <x v="215"/>
    <x v="0"/>
    <x v="2"/>
    <x v="3"/>
    <n v="39999"/>
  </r>
  <r>
    <x v="215"/>
    <x v="0"/>
    <x v="2"/>
    <x v="4"/>
    <n v="3139279"/>
  </r>
  <r>
    <x v="215"/>
    <x v="0"/>
    <x v="2"/>
    <x v="5"/>
    <n v="3000"/>
  </r>
  <r>
    <x v="215"/>
    <x v="0"/>
    <x v="8"/>
    <x v="4"/>
    <n v="662000"/>
  </r>
  <r>
    <x v="215"/>
    <x v="0"/>
    <x v="3"/>
    <x v="0"/>
    <n v="156475"/>
  </r>
  <r>
    <x v="215"/>
    <x v="0"/>
    <x v="3"/>
    <x v="1"/>
    <n v="5000"/>
  </r>
  <r>
    <x v="215"/>
    <x v="0"/>
    <x v="3"/>
    <x v="2"/>
    <n v="43635"/>
  </r>
  <r>
    <x v="215"/>
    <x v="0"/>
    <x v="3"/>
    <x v="3"/>
    <n v="10000"/>
  </r>
  <r>
    <x v="215"/>
    <x v="0"/>
    <x v="3"/>
    <x v="5"/>
    <n v="500"/>
  </r>
  <r>
    <x v="215"/>
    <x v="0"/>
    <x v="6"/>
    <x v="0"/>
    <n v="159774"/>
  </r>
  <r>
    <x v="215"/>
    <x v="0"/>
    <x v="6"/>
    <x v="2"/>
    <n v="26041"/>
  </r>
  <r>
    <x v="215"/>
    <x v="1"/>
    <x v="1"/>
    <x v="0"/>
    <n v="1488235"/>
  </r>
  <r>
    <x v="215"/>
    <x v="1"/>
    <x v="1"/>
    <x v="2"/>
    <n v="419990"/>
  </r>
  <r>
    <x v="215"/>
    <x v="1"/>
    <x v="2"/>
    <x v="0"/>
    <n v="60857"/>
  </r>
  <r>
    <x v="215"/>
    <x v="1"/>
    <x v="2"/>
    <x v="2"/>
    <n v="16089"/>
  </r>
  <r>
    <x v="215"/>
    <x v="1"/>
    <x v="3"/>
    <x v="0"/>
    <n v="405271"/>
  </r>
  <r>
    <x v="215"/>
    <x v="1"/>
    <x v="3"/>
    <x v="2"/>
    <n v="110774"/>
  </r>
  <r>
    <x v="215"/>
    <x v="3"/>
    <x v="2"/>
    <x v="0"/>
    <n v="28327"/>
  </r>
  <r>
    <x v="215"/>
    <x v="3"/>
    <x v="2"/>
    <x v="2"/>
    <n v="7711"/>
  </r>
  <r>
    <x v="215"/>
    <x v="3"/>
    <x v="2"/>
    <x v="3"/>
    <n v="1"/>
  </r>
  <r>
    <x v="215"/>
    <x v="3"/>
    <x v="2"/>
    <x v="4"/>
    <n v="113721"/>
  </r>
  <r>
    <x v="215"/>
    <x v="3"/>
    <x v="6"/>
    <x v="0"/>
    <n v="209"/>
  </r>
  <r>
    <x v="215"/>
    <x v="3"/>
    <x v="6"/>
    <x v="2"/>
    <n v="34"/>
  </r>
  <r>
    <x v="216"/>
    <x v="0"/>
    <x v="0"/>
    <x v="0"/>
    <n v="168807"/>
  </r>
  <r>
    <x v="216"/>
    <x v="0"/>
    <x v="0"/>
    <x v="1"/>
    <n v="152981"/>
  </r>
  <r>
    <x v="216"/>
    <x v="0"/>
    <x v="0"/>
    <x v="2"/>
    <n v="113447"/>
  </r>
  <r>
    <x v="216"/>
    <x v="0"/>
    <x v="0"/>
    <x v="3"/>
    <n v="2400"/>
  </r>
  <r>
    <x v="216"/>
    <x v="0"/>
    <x v="0"/>
    <x v="4"/>
    <n v="7900"/>
  </r>
  <r>
    <x v="216"/>
    <x v="0"/>
    <x v="0"/>
    <x v="5"/>
    <n v="830"/>
  </r>
  <r>
    <x v="216"/>
    <x v="0"/>
    <x v="1"/>
    <x v="0"/>
    <n v="1187488"/>
  </r>
  <r>
    <x v="216"/>
    <x v="0"/>
    <x v="1"/>
    <x v="1"/>
    <n v="108269"/>
  </r>
  <r>
    <x v="216"/>
    <x v="0"/>
    <x v="1"/>
    <x v="2"/>
    <n v="377307"/>
  </r>
  <r>
    <x v="216"/>
    <x v="0"/>
    <x v="1"/>
    <x v="3"/>
    <n v="3000"/>
  </r>
  <r>
    <x v="216"/>
    <x v="0"/>
    <x v="1"/>
    <x v="4"/>
    <n v="442120"/>
  </r>
  <r>
    <x v="216"/>
    <x v="0"/>
    <x v="1"/>
    <x v="5"/>
    <n v="500"/>
  </r>
  <r>
    <x v="216"/>
    <x v="0"/>
    <x v="2"/>
    <x v="6"/>
    <n v="21400"/>
  </r>
  <r>
    <x v="216"/>
    <x v="0"/>
    <x v="2"/>
    <x v="0"/>
    <n v="3644002"/>
  </r>
  <r>
    <x v="216"/>
    <x v="0"/>
    <x v="2"/>
    <x v="1"/>
    <n v="1745282"/>
  </r>
  <r>
    <x v="216"/>
    <x v="0"/>
    <x v="2"/>
    <x v="2"/>
    <n v="2024205"/>
  </r>
  <r>
    <x v="216"/>
    <x v="0"/>
    <x v="2"/>
    <x v="3"/>
    <n v="35000"/>
  </r>
  <r>
    <x v="216"/>
    <x v="0"/>
    <x v="2"/>
    <x v="4"/>
    <n v="310998"/>
  </r>
  <r>
    <x v="216"/>
    <x v="0"/>
    <x v="2"/>
    <x v="5"/>
    <n v="500"/>
  </r>
  <r>
    <x v="216"/>
    <x v="0"/>
    <x v="3"/>
    <x v="0"/>
    <n v="5000"/>
  </r>
  <r>
    <x v="216"/>
    <x v="0"/>
    <x v="3"/>
    <x v="1"/>
    <n v="5000"/>
  </r>
  <r>
    <x v="216"/>
    <x v="0"/>
    <x v="3"/>
    <x v="2"/>
    <n v="1673"/>
  </r>
  <r>
    <x v="216"/>
    <x v="0"/>
    <x v="3"/>
    <x v="3"/>
    <n v="2448"/>
  </r>
  <r>
    <x v="216"/>
    <x v="0"/>
    <x v="6"/>
    <x v="0"/>
    <n v="187500"/>
  </r>
  <r>
    <x v="216"/>
    <x v="0"/>
    <x v="6"/>
    <x v="2"/>
    <n v="23711"/>
  </r>
  <r>
    <x v="216"/>
    <x v="1"/>
    <x v="1"/>
    <x v="0"/>
    <n v="239818"/>
  </r>
  <r>
    <x v="216"/>
    <x v="1"/>
    <x v="1"/>
    <x v="2"/>
    <n v="63791"/>
  </r>
  <r>
    <x v="216"/>
    <x v="1"/>
    <x v="2"/>
    <x v="0"/>
    <n v="298044"/>
  </r>
  <r>
    <x v="216"/>
    <x v="1"/>
    <x v="2"/>
    <x v="1"/>
    <n v="189825"/>
  </r>
  <r>
    <x v="216"/>
    <x v="1"/>
    <x v="2"/>
    <x v="2"/>
    <n v="172454"/>
  </r>
  <r>
    <x v="216"/>
    <x v="1"/>
    <x v="2"/>
    <x v="3"/>
    <n v="1518"/>
  </r>
  <r>
    <x v="201"/>
    <x v="2"/>
    <x v="2"/>
    <x v="1"/>
    <n v="56995"/>
  </r>
  <r>
    <x v="201"/>
    <x v="2"/>
    <x v="2"/>
    <x v="2"/>
    <n v="40589"/>
  </r>
  <r>
    <x v="217"/>
    <x v="0"/>
    <x v="9"/>
    <x v="0"/>
    <n v="9225"/>
  </r>
  <r>
    <x v="217"/>
    <x v="0"/>
    <x v="9"/>
    <x v="2"/>
    <n v="3690"/>
  </r>
  <r>
    <x v="217"/>
    <x v="0"/>
    <x v="1"/>
    <x v="3"/>
    <n v="2562"/>
  </r>
  <r>
    <x v="217"/>
    <x v="0"/>
    <x v="1"/>
    <x v="4"/>
    <n v="79878"/>
  </r>
  <r>
    <x v="217"/>
    <x v="0"/>
    <x v="2"/>
    <x v="0"/>
    <n v="60030"/>
  </r>
  <r>
    <x v="217"/>
    <x v="0"/>
    <x v="2"/>
    <x v="1"/>
    <n v="140000"/>
  </r>
  <r>
    <x v="217"/>
    <x v="0"/>
    <x v="2"/>
    <x v="2"/>
    <n v="80012"/>
  </r>
  <r>
    <x v="218"/>
    <x v="0"/>
    <x v="2"/>
    <x v="0"/>
    <n v="322579"/>
  </r>
  <r>
    <x v="218"/>
    <x v="0"/>
    <x v="2"/>
    <x v="1"/>
    <n v="232540"/>
  </r>
  <r>
    <x v="218"/>
    <x v="0"/>
    <x v="2"/>
    <x v="2"/>
    <n v="249127"/>
  </r>
  <r>
    <x v="218"/>
    <x v="0"/>
    <x v="2"/>
    <x v="3"/>
    <n v="97600"/>
  </r>
  <r>
    <x v="218"/>
    <x v="0"/>
    <x v="8"/>
    <x v="4"/>
    <n v="215000"/>
  </r>
  <r>
    <x v="218"/>
    <x v="0"/>
    <x v="4"/>
    <x v="3"/>
    <n v="7500"/>
  </r>
  <r>
    <x v="217"/>
    <x v="1"/>
    <x v="2"/>
    <x v="0"/>
    <n v="4333"/>
  </r>
  <r>
    <x v="217"/>
    <x v="1"/>
    <x v="2"/>
    <x v="2"/>
    <n v="1733"/>
  </r>
  <r>
    <x v="218"/>
    <x v="1"/>
    <x v="8"/>
    <x v="4"/>
    <n v="150000"/>
  </r>
  <r>
    <x v="219"/>
    <x v="0"/>
    <x v="8"/>
    <x v="4"/>
    <n v="149942"/>
  </r>
  <r>
    <x v="220"/>
    <x v="0"/>
    <x v="0"/>
    <x v="0"/>
    <n v="188979"/>
  </r>
  <r>
    <x v="220"/>
    <x v="0"/>
    <x v="0"/>
    <x v="1"/>
    <n v="55372"/>
  </r>
  <r>
    <x v="220"/>
    <x v="0"/>
    <x v="0"/>
    <x v="2"/>
    <n v="65466"/>
  </r>
  <r>
    <x v="220"/>
    <x v="0"/>
    <x v="11"/>
    <x v="0"/>
    <n v="48151"/>
  </r>
  <r>
    <x v="220"/>
    <x v="0"/>
    <x v="11"/>
    <x v="1"/>
    <n v="48883"/>
  </r>
  <r>
    <x v="220"/>
    <x v="0"/>
    <x v="11"/>
    <x v="2"/>
    <n v="35692"/>
  </r>
  <r>
    <x v="220"/>
    <x v="0"/>
    <x v="1"/>
    <x v="0"/>
    <n v="2920745"/>
  </r>
  <r>
    <x v="220"/>
    <x v="0"/>
    <x v="1"/>
    <x v="1"/>
    <n v="79078"/>
  </r>
  <r>
    <x v="220"/>
    <x v="0"/>
    <x v="1"/>
    <x v="2"/>
    <n v="948107"/>
  </r>
  <r>
    <x v="220"/>
    <x v="0"/>
    <x v="1"/>
    <x v="4"/>
    <n v="800000"/>
  </r>
  <r>
    <x v="220"/>
    <x v="0"/>
    <x v="2"/>
    <x v="0"/>
    <n v="5263984"/>
  </r>
  <r>
    <x v="220"/>
    <x v="0"/>
    <x v="2"/>
    <x v="1"/>
    <n v="2444025"/>
  </r>
  <r>
    <x v="220"/>
    <x v="0"/>
    <x v="2"/>
    <x v="2"/>
    <n v="3056554"/>
  </r>
  <r>
    <x v="220"/>
    <x v="0"/>
    <x v="2"/>
    <x v="4"/>
    <n v="2429238"/>
  </r>
  <r>
    <x v="220"/>
    <x v="0"/>
    <x v="8"/>
    <x v="4"/>
    <n v="789000"/>
  </r>
  <r>
    <x v="220"/>
    <x v="0"/>
    <x v="3"/>
    <x v="0"/>
    <n v="90000"/>
  </r>
  <r>
    <x v="220"/>
    <x v="0"/>
    <x v="3"/>
    <x v="1"/>
    <n v="25000"/>
  </r>
  <r>
    <x v="220"/>
    <x v="0"/>
    <x v="3"/>
    <x v="2"/>
    <n v="19089"/>
  </r>
  <r>
    <x v="220"/>
    <x v="0"/>
    <x v="6"/>
    <x v="0"/>
    <n v="115309"/>
  </r>
  <r>
    <x v="220"/>
    <x v="0"/>
    <x v="6"/>
    <x v="2"/>
    <n v="18442"/>
  </r>
  <r>
    <x v="220"/>
    <x v="1"/>
    <x v="2"/>
    <x v="0"/>
    <n v="15247"/>
  </r>
  <r>
    <x v="220"/>
    <x v="1"/>
    <x v="2"/>
    <x v="1"/>
    <n v="30496"/>
  </r>
  <r>
    <x v="220"/>
    <x v="1"/>
    <x v="2"/>
    <x v="2"/>
    <n v="22769"/>
  </r>
  <r>
    <x v="220"/>
    <x v="1"/>
    <x v="2"/>
    <x v="4"/>
    <n v="820180"/>
  </r>
  <r>
    <x v="220"/>
    <x v="1"/>
    <x v="8"/>
    <x v="4"/>
    <n v="206000"/>
  </r>
  <r>
    <x v="220"/>
    <x v="1"/>
    <x v="3"/>
    <x v="0"/>
    <n v="354758"/>
  </r>
  <r>
    <x v="220"/>
    <x v="1"/>
    <x v="3"/>
    <x v="1"/>
    <n v="10000"/>
  </r>
  <r>
    <x v="220"/>
    <x v="1"/>
    <x v="3"/>
    <x v="2"/>
    <n v="105655"/>
  </r>
  <r>
    <x v="221"/>
    <x v="0"/>
    <x v="1"/>
    <x v="4"/>
    <n v="47692"/>
  </r>
  <r>
    <x v="221"/>
    <x v="0"/>
    <x v="1"/>
    <x v="5"/>
    <n v="500"/>
  </r>
  <r>
    <x v="221"/>
    <x v="0"/>
    <x v="2"/>
    <x v="0"/>
    <n v="132500"/>
  </r>
  <r>
    <x v="221"/>
    <x v="0"/>
    <x v="2"/>
    <x v="1"/>
    <n v="11775"/>
  </r>
  <r>
    <x v="221"/>
    <x v="0"/>
    <x v="2"/>
    <x v="2"/>
    <n v="47190"/>
  </r>
  <r>
    <x v="221"/>
    <x v="0"/>
    <x v="2"/>
    <x v="3"/>
    <n v="3300"/>
  </r>
  <r>
    <x v="221"/>
    <x v="0"/>
    <x v="2"/>
    <x v="4"/>
    <n v="300"/>
  </r>
  <r>
    <x v="221"/>
    <x v="0"/>
    <x v="6"/>
    <x v="0"/>
    <n v="2098"/>
  </r>
  <r>
    <x v="221"/>
    <x v="0"/>
    <x v="6"/>
    <x v="2"/>
    <n v="375"/>
  </r>
  <r>
    <x v="221"/>
    <x v="1"/>
    <x v="2"/>
    <x v="4"/>
    <n v="13000"/>
  </r>
  <r>
    <x v="222"/>
    <x v="0"/>
    <x v="0"/>
    <x v="0"/>
    <n v="639167"/>
  </r>
  <r>
    <x v="222"/>
    <x v="0"/>
    <x v="0"/>
    <x v="1"/>
    <n v="413401"/>
  </r>
  <r>
    <x v="222"/>
    <x v="0"/>
    <x v="0"/>
    <x v="2"/>
    <n v="332161"/>
  </r>
  <r>
    <x v="222"/>
    <x v="0"/>
    <x v="0"/>
    <x v="3"/>
    <n v="9500"/>
  </r>
  <r>
    <x v="222"/>
    <x v="0"/>
    <x v="0"/>
    <x v="4"/>
    <n v="18500"/>
  </r>
  <r>
    <x v="222"/>
    <x v="0"/>
    <x v="0"/>
    <x v="5"/>
    <n v="3700"/>
  </r>
  <r>
    <x v="222"/>
    <x v="0"/>
    <x v="1"/>
    <x v="0"/>
    <n v="102865"/>
  </r>
  <r>
    <x v="222"/>
    <x v="0"/>
    <x v="1"/>
    <x v="1"/>
    <n v="524910"/>
  </r>
  <r>
    <x v="222"/>
    <x v="0"/>
    <x v="1"/>
    <x v="2"/>
    <n v="222644"/>
  </r>
  <r>
    <x v="222"/>
    <x v="0"/>
    <x v="1"/>
    <x v="3"/>
    <n v="68500"/>
  </r>
  <r>
    <x v="222"/>
    <x v="0"/>
    <x v="1"/>
    <x v="4"/>
    <n v="3518000"/>
  </r>
  <r>
    <x v="222"/>
    <x v="0"/>
    <x v="1"/>
    <x v="5"/>
    <n v="5000"/>
  </r>
  <r>
    <x v="222"/>
    <x v="0"/>
    <x v="2"/>
    <x v="6"/>
    <n v="11000"/>
  </r>
  <r>
    <x v="222"/>
    <x v="0"/>
    <x v="2"/>
    <x v="0"/>
    <n v="9016330"/>
  </r>
  <r>
    <x v="222"/>
    <x v="0"/>
    <x v="2"/>
    <x v="1"/>
    <n v="8347850"/>
  </r>
  <r>
    <x v="222"/>
    <x v="0"/>
    <x v="2"/>
    <x v="2"/>
    <n v="7263847"/>
  </r>
  <r>
    <x v="222"/>
    <x v="0"/>
    <x v="2"/>
    <x v="3"/>
    <n v="49500"/>
  </r>
  <r>
    <x v="222"/>
    <x v="0"/>
    <x v="2"/>
    <x v="4"/>
    <n v="1900200"/>
  </r>
  <r>
    <x v="222"/>
    <x v="0"/>
    <x v="8"/>
    <x v="4"/>
    <n v="155000"/>
  </r>
  <r>
    <x v="222"/>
    <x v="0"/>
    <x v="3"/>
    <x v="0"/>
    <n v="243925"/>
  </r>
  <r>
    <x v="222"/>
    <x v="0"/>
    <x v="3"/>
    <x v="2"/>
    <n v="69996"/>
  </r>
  <r>
    <x v="222"/>
    <x v="0"/>
    <x v="3"/>
    <x v="4"/>
    <n v="150000"/>
  </r>
  <r>
    <x v="222"/>
    <x v="0"/>
    <x v="3"/>
    <x v="5"/>
    <n v="540"/>
  </r>
  <r>
    <x v="222"/>
    <x v="0"/>
    <x v="4"/>
    <x v="3"/>
    <n v="15000"/>
  </r>
  <r>
    <x v="222"/>
    <x v="0"/>
    <x v="4"/>
    <x v="4"/>
    <n v="10000"/>
  </r>
  <r>
    <x v="222"/>
    <x v="0"/>
    <x v="6"/>
    <x v="0"/>
    <n v="136347"/>
  </r>
  <r>
    <x v="222"/>
    <x v="0"/>
    <x v="6"/>
    <x v="2"/>
    <n v="43188"/>
  </r>
  <r>
    <x v="222"/>
    <x v="1"/>
    <x v="1"/>
    <x v="0"/>
    <n v="3155720"/>
  </r>
  <r>
    <x v="222"/>
    <x v="1"/>
    <x v="1"/>
    <x v="2"/>
    <n v="960007"/>
  </r>
  <r>
    <x v="223"/>
    <x v="0"/>
    <x v="0"/>
    <x v="0"/>
    <n v="87804"/>
  </r>
  <r>
    <x v="223"/>
    <x v="0"/>
    <x v="0"/>
    <x v="1"/>
    <n v="15428"/>
  </r>
  <r>
    <x v="223"/>
    <x v="0"/>
    <x v="0"/>
    <x v="2"/>
    <n v="30718"/>
  </r>
  <r>
    <x v="223"/>
    <x v="0"/>
    <x v="1"/>
    <x v="3"/>
    <n v="1500"/>
  </r>
  <r>
    <x v="223"/>
    <x v="0"/>
    <x v="1"/>
    <x v="4"/>
    <n v="150000"/>
  </r>
  <r>
    <x v="223"/>
    <x v="0"/>
    <x v="2"/>
    <x v="0"/>
    <n v="205468"/>
  </r>
  <r>
    <x v="223"/>
    <x v="0"/>
    <x v="2"/>
    <x v="1"/>
    <n v="248023"/>
  </r>
  <r>
    <x v="223"/>
    <x v="0"/>
    <x v="2"/>
    <x v="2"/>
    <n v="197532"/>
  </r>
  <r>
    <x v="223"/>
    <x v="0"/>
    <x v="2"/>
    <x v="3"/>
    <n v="35851"/>
  </r>
  <r>
    <x v="223"/>
    <x v="0"/>
    <x v="2"/>
    <x v="4"/>
    <n v="1500"/>
  </r>
  <r>
    <x v="223"/>
    <x v="0"/>
    <x v="3"/>
    <x v="4"/>
    <n v="99176"/>
  </r>
  <r>
    <x v="223"/>
    <x v="0"/>
    <x v="3"/>
    <x v="5"/>
    <n v="1000"/>
  </r>
  <r>
    <x v="223"/>
    <x v="0"/>
    <x v="5"/>
    <x v="3"/>
    <n v="48225"/>
  </r>
  <r>
    <x v="224"/>
    <x v="0"/>
    <x v="0"/>
    <x v="0"/>
    <n v="15000"/>
  </r>
  <r>
    <x v="224"/>
    <x v="0"/>
    <x v="0"/>
    <x v="2"/>
    <n v="3974"/>
  </r>
  <r>
    <x v="224"/>
    <x v="0"/>
    <x v="1"/>
    <x v="4"/>
    <n v="25000"/>
  </r>
  <r>
    <x v="224"/>
    <x v="0"/>
    <x v="2"/>
    <x v="0"/>
    <n v="50857"/>
  </r>
  <r>
    <x v="224"/>
    <x v="0"/>
    <x v="2"/>
    <x v="1"/>
    <n v="109915"/>
  </r>
  <r>
    <x v="224"/>
    <x v="0"/>
    <x v="2"/>
    <x v="2"/>
    <n v="114066"/>
  </r>
  <r>
    <x v="224"/>
    <x v="0"/>
    <x v="2"/>
    <x v="3"/>
    <n v="2200"/>
  </r>
  <r>
    <x v="224"/>
    <x v="0"/>
    <x v="2"/>
    <x v="4"/>
    <n v="32500"/>
  </r>
  <r>
    <x v="224"/>
    <x v="0"/>
    <x v="2"/>
    <x v="5"/>
    <n v="200"/>
  </r>
  <r>
    <x v="224"/>
    <x v="1"/>
    <x v="1"/>
    <x v="4"/>
    <n v="30000"/>
  </r>
  <r>
    <x v="225"/>
    <x v="0"/>
    <x v="0"/>
    <x v="0"/>
    <n v="55105"/>
  </r>
  <r>
    <x v="225"/>
    <x v="0"/>
    <x v="0"/>
    <x v="1"/>
    <n v="21770"/>
  </r>
  <r>
    <x v="225"/>
    <x v="0"/>
    <x v="0"/>
    <x v="2"/>
    <n v="28007"/>
  </r>
  <r>
    <x v="225"/>
    <x v="0"/>
    <x v="0"/>
    <x v="3"/>
    <n v="200"/>
  </r>
  <r>
    <x v="225"/>
    <x v="0"/>
    <x v="0"/>
    <x v="5"/>
    <n v="500"/>
  </r>
  <r>
    <x v="225"/>
    <x v="0"/>
    <x v="7"/>
    <x v="1"/>
    <n v="2051"/>
  </r>
  <r>
    <x v="225"/>
    <x v="0"/>
    <x v="7"/>
    <x v="2"/>
    <n v="1088"/>
  </r>
  <r>
    <x v="225"/>
    <x v="0"/>
    <x v="1"/>
    <x v="0"/>
    <n v="60072"/>
  </r>
  <r>
    <x v="225"/>
    <x v="0"/>
    <x v="1"/>
    <x v="1"/>
    <n v="49223"/>
  </r>
  <r>
    <x v="225"/>
    <x v="0"/>
    <x v="1"/>
    <x v="2"/>
    <n v="41457"/>
  </r>
  <r>
    <x v="225"/>
    <x v="0"/>
    <x v="1"/>
    <x v="3"/>
    <n v="500"/>
  </r>
  <r>
    <x v="225"/>
    <x v="0"/>
    <x v="1"/>
    <x v="4"/>
    <n v="517118"/>
  </r>
  <r>
    <x v="225"/>
    <x v="0"/>
    <x v="2"/>
    <x v="0"/>
    <n v="235326"/>
  </r>
  <r>
    <x v="225"/>
    <x v="0"/>
    <x v="2"/>
    <x v="1"/>
    <n v="379706"/>
  </r>
  <r>
    <x v="225"/>
    <x v="0"/>
    <x v="2"/>
    <x v="2"/>
    <n v="302613"/>
  </r>
  <r>
    <x v="225"/>
    <x v="0"/>
    <x v="2"/>
    <x v="3"/>
    <n v="6200"/>
  </r>
  <r>
    <x v="225"/>
    <x v="0"/>
    <x v="2"/>
    <x v="4"/>
    <n v="8300"/>
  </r>
  <r>
    <x v="225"/>
    <x v="0"/>
    <x v="3"/>
    <x v="4"/>
    <n v="3475"/>
  </r>
  <r>
    <x v="225"/>
    <x v="0"/>
    <x v="6"/>
    <x v="0"/>
    <n v="4310"/>
  </r>
  <r>
    <x v="225"/>
    <x v="0"/>
    <x v="6"/>
    <x v="2"/>
    <n v="719"/>
  </r>
  <r>
    <x v="225"/>
    <x v="1"/>
    <x v="0"/>
    <x v="1"/>
    <n v="20410"/>
  </r>
  <r>
    <x v="225"/>
    <x v="1"/>
    <x v="0"/>
    <x v="2"/>
    <n v="10444"/>
  </r>
  <r>
    <x v="225"/>
    <x v="1"/>
    <x v="2"/>
    <x v="0"/>
    <n v="63061"/>
  </r>
  <r>
    <x v="225"/>
    <x v="1"/>
    <x v="2"/>
    <x v="2"/>
    <n v="24040"/>
  </r>
  <r>
    <x v="225"/>
    <x v="1"/>
    <x v="3"/>
    <x v="4"/>
    <n v="2335"/>
  </r>
  <r>
    <x v="223"/>
    <x v="1"/>
    <x v="1"/>
    <x v="4"/>
    <n v="2000"/>
  </r>
  <r>
    <x v="223"/>
    <x v="1"/>
    <x v="2"/>
    <x v="0"/>
    <n v="75545"/>
  </r>
  <r>
    <x v="223"/>
    <x v="1"/>
    <x v="2"/>
    <x v="1"/>
    <n v="38466"/>
  </r>
  <r>
    <x v="223"/>
    <x v="1"/>
    <x v="2"/>
    <x v="2"/>
    <n v="58292"/>
  </r>
  <r>
    <x v="223"/>
    <x v="1"/>
    <x v="2"/>
    <x v="3"/>
    <n v="3650"/>
  </r>
  <r>
    <x v="223"/>
    <x v="1"/>
    <x v="2"/>
    <x v="4"/>
    <n v="1000"/>
  </r>
  <r>
    <x v="226"/>
    <x v="0"/>
    <x v="0"/>
    <x v="0"/>
    <n v="1068404"/>
  </r>
  <r>
    <x v="226"/>
    <x v="0"/>
    <x v="0"/>
    <x v="1"/>
    <n v="158325"/>
  </r>
  <r>
    <x v="226"/>
    <x v="0"/>
    <x v="0"/>
    <x v="2"/>
    <n v="327952"/>
  </r>
  <r>
    <x v="226"/>
    <x v="0"/>
    <x v="0"/>
    <x v="3"/>
    <n v="7100"/>
  </r>
  <r>
    <x v="226"/>
    <x v="0"/>
    <x v="0"/>
    <x v="4"/>
    <n v="500"/>
  </r>
  <r>
    <x v="226"/>
    <x v="0"/>
    <x v="0"/>
    <x v="5"/>
    <n v="2600"/>
  </r>
  <r>
    <x v="226"/>
    <x v="0"/>
    <x v="11"/>
    <x v="0"/>
    <n v="7500"/>
  </r>
  <r>
    <x v="226"/>
    <x v="0"/>
    <x v="11"/>
    <x v="2"/>
    <n v="1081"/>
  </r>
  <r>
    <x v="226"/>
    <x v="0"/>
    <x v="1"/>
    <x v="0"/>
    <n v="3584663"/>
  </r>
  <r>
    <x v="226"/>
    <x v="0"/>
    <x v="1"/>
    <x v="1"/>
    <n v="614207"/>
  </r>
  <r>
    <x v="226"/>
    <x v="0"/>
    <x v="1"/>
    <x v="2"/>
    <n v="1312419"/>
  </r>
  <r>
    <x v="226"/>
    <x v="0"/>
    <x v="1"/>
    <x v="3"/>
    <n v="55500"/>
  </r>
  <r>
    <x v="226"/>
    <x v="0"/>
    <x v="1"/>
    <x v="4"/>
    <n v="210000"/>
  </r>
  <r>
    <x v="226"/>
    <x v="0"/>
    <x v="1"/>
    <x v="5"/>
    <n v="4500"/>
  </r>
  <r>
    <x v="226"/>
    <x v="0"/>
    <x v="2"/>
    <x v="6"/>
    <n v="20100"/>
  </r>
  <r>
    <x v="226"/>
    <x v="0"/>
    <x v="2"/>
    <x v="0"/>
    <n v="6890376"/>
  </r>
  <r>
    <x v="226"/>
    <x v="0"/>
    <x v="2"/>
    <x v="1"/>
    <n v="6395895"/>
  </r>
  <r>
    <x v="226"/>
    <x v="0"/>
    <x v="2"/>
    <x v="2"/>
    <n v="5302902"/>
  </r>
  <r>
    <x v="226"/>
    <x v="0"/>
    <x v="2"/>
    <x v="3"/>
    <n v="74469"/>
  </r>
  <r>
    <x v="226"/>
    <x v="0"/>
    <x v="2"/>
    <x v="4"/>
    <n v="3338059"/>
  </r>
  <r>
    <x v="226"/>
    <x v="0"/>
    <x v="2"/>
    <x v="5"/>
    <n v="2200"/>
  </r>
  <r>
    <x v="226"/>
    <x v="0"/>
    <x v="8"/>
    <x v="4"/>
    <n v="519681"/>
  </r>
  <r>
    <x v="226"/>
    <x v="0"/>
    <x v="3"/>
    <x v="0"/>
    <n v="14491"/>
  </r>
  <r>
    <x v="226"/>
    <x v="0"/>
    <x v="3"/>
    <x v="1"/>
    <n v="888"/>
  </r>
  <r>
    <x v="226"/>
    <x v="0"/>
    <x v="3"/>
    <x v="2"/>
    <n v="2052"/>
  </r>
  <r>
    <x v="226"/>
    <x v="0"/>
    <x v="3"/>
    <x v="3"/>
    <n v="1000"/>
  </r>
  <r>
    <x v="226"/>
    <x v="0"/>
    <x v="3"/>
    <x v="4"/>
    <n v="190000"/>
  </r>
  <r>
    <x v="226"/>
    <x v="0"/>
    <x v="5"/>
    <x v="3"/>
    <n v="20000"/>
  </r>
  <r>
    <x v="226"/>
    <x v="0"/>
    <x v="6"/>
    <x v="0"/>
    <n v="152446"/>
  </r>
  <r>
    <x v="226"/>
    <x v="0"/>
    <x v="6"/>
    <x v="2"/>
    <n v="25546"/>
  </r>
  <r>
    <x v="226"/>
    <x v="1"/>
    <x v="1"/>
    <x v="1"/>
    <n v="176993"/>
  </r>
  <r>
    <x v="226"/>
    <x v="1"/>
    <x v="1"/>
    <x v="2"/>
    <n v="73734"/>
  </r>
  <r>
    <x v="226"/>
    <x v="1"/>
    <x v="2"/>
    <x v="0"/>
    <n v="791121"/>
  </r>
  <r>
    <x v="226"/>
    <x v="1"/>
    <x v="2"/>
    <x v="1"/>
    <n v="478097"/>
  </r>
  <r>
    <x v="226"/>
    <x v="1"/>
    <x v="2"/>
    <x v="2"/>
    <n v="511694"/>
  </r>
  <r>
    <x v="227"/>
    <x v="0"/>
    <x v="0"/>
    <x v="0"/>
    <n v="24435"/>
  </r>
  <r>
    <x v="227"/>
    <x v="0"/>
    <x v="0"/>
    <x v="2"/>
    <n v="6465"/>
  </r>
  <r>
    <x v="227"/>
    <x v="0"/>
    <x v="1"/>
    <x v="4"/>
    <n v="43500"/>
  </r>
  <r>
    <x v="227"/>
    <x v="0"/>
    <x v="2"/>
    <x v="0"/>
    <n v="73128"/>
  </r>
  <r>
    <x v="227"/>
    <x v="0"/>
    <x v="2"/>
    <x v="1"/>
    <n v="89773"/>
  </r>
  <r>
    <x v="227"/>
    <x v="0"/>
    <x v="2"/>
    <x v="2"/>
    <n v="74031"/>
  </r>
  <r>
    <x v="227"/>
    <x v="0"/>
    <x v="2"/>
    <x v="3"/>
    <n v="2200"/>
  </r>
  <r>
    <x v="228"/>
    <x v="0"/>
    <x v="0"/>
    <x v="0"/>
    <n v="62710"/>
  </r>
  <r>
    <x v="228"/>
    <x v="0"/>
    <x v="0"/>
    <x v="2"/>
    <n v="24367"/>
  </r>
  <r>
    <x v="228"/>
    <x v="0"/>
    <x v="0"/>
    <x v="3"/>
    <n v="225"/>
  </r>
  <r>
    <x v="228"/>
    <x v="0"/>
    <x v="1"/>
    <x v="0"/>
    <n v="150765"/>
  </r>
  <r>
    <x v="228"/>
    <x v="0"/>
    <x v="1"/>
    <x v="2"/>
    <n v="60143"/>
  </r>
  <r>
    <x v="228"/>
    <x v="0"/>
    <x v="1"/>
    <x v="3"/>
    <n v="1470"/>
  </r>
  <r>
    <x v="228"/>
    <x v="0"/>
    <x v="1"/>
    <x v="4"/>
    <n v="165620"/>
  </r>
  <r>
    <x v="228"/>
    <x v="0"/>
    <x v="2"/>
    <x v="0"/>
    <n v="182212"/>
  </r>
  <r>
    <x v="228"/>
    <x v="0"/>
    <x v="2"/>
    <x v="1"/>
    <n v="411003"/>
  </r>
  <r>
    <x v="228"/>
    <x v="0"/>
    <x v="2"/>
    <x v="2"/>
    <n v="313264"/>
  </r>
  <r>
    <x v="228"/>
    <x v="0"/>
    <x v="2"/>
    <x v="3"/>
    <n v="85761"/>
  </r>
  <r>
    <x v="228"/>
    <x v="0"/>
    <x v="2"/>
    <x v="5"/>
    <n v="225"/>
  </r>
  <r>
    <x v="228"/>
    <x v="0"/>
    <x v="5"/>
    <x v="3"/>
    <n v="1156"/>
  </r>
  <r>
    <x v="228"/>
    <x v="0"/>
    <x v="6"/>
    <x v="0"/>
    <n v="5635"/>
  </r>
  <r>
    <x v="228"/>
    <x v="0"/>
    <x v="6"/>
    <x v="2"/>
    <n v="2126"/>
  </r>
  <r>
    <x v="227"/>
    <x v="1"/>
    <x v="1"/>
    <x v="4"/>
    <n v="34200"/>
  </r>
  <r>
    <x v="227"/>
    <x v="1"/>
    <x v="2"/>
    <x v="4"/>
    <n v="1000"/>
  </r>
  <r>
    <x v="229"/>
    <x v="0"/>
    <x v="0"/>
    <x v="0"/>
    <n v="98479"/>
  </r>
  <r>
    <x v="229"/>
    <x v="0"/>
    <x v="0"/>
    <x v="1"/>
    <n v="17480"/>
  </r>
  <r>
    <x v="229"/>
    <x v="0"/>
    <x v="0"/>
    <x v="2"/>
    <n v="36074"/>
  </r>
  <r>
    <x v="229"/>
    <x v="0"/>
    <x v="11"/>
    <x v="1"/>
    <n v="21151"/>
  </r>
  <r>
    <x v="229"/>
    <x v="0"/>
    <x v="11"/>
    <x v="2"/>
    <n v="11400"/>
  </r>
  <r>
    <x v="229"/>
    <x v="0"/>
    <x v="7"/>
    <x v="1"/>
    <n v="41616"/>
  </r>
  <r>
    <x v="229"/>
    <x v="0"/>
    <x v="7"/>
    <x v="2"/>
    <n v="29345"/>
  </r>
  <r>
    <x v="229"/>
    <x v="0"/>
    <x v="1"/>
    <x v="4"/>
    <n v="135000"/>
  </r>
  <r>
    <x v="229"/>
    <x v="0"/>
    <x v="2"/>
    <x v="0"/>
    <n v="184077"/>
  </r>
  <r>
    <x v="229"/>
    <x v="0"/>
    <x v="2"/>
    <x v="1"/>
    <n v="317028"/>
  </r>
  <r>
    <x v="229"/>
    <x v="0"/>
    <x v="2"/>
    <x v="2"/>
    <n v="273231"/>
  </r>
  <r>
    <x v="229"/>
    <x v="0"/>
    <x v="2"/>
    <x v="3"/>
    <n v="28183"/>
  </r>
  <r>
    <x v="229"/>
    <x v="0"/>
    <x v="2"/>
    <x v="4"/>
    <n v="1684719"/>
  </r>
  <r>
    <x v="228"/>
    <x v="1"/>
    <x v="1"/>
    <x v="4"/>
    <n v="132921"/>
  </r>
  <r>
    <x v="230"/>
    <x v="0"/>
    <x v="0"/>
    <x v="0"/>
    <n v="666267"/>
  </r>
  <r>
    <x v="230"/>
    <x v="0"/>
    <x v="0"/>
    <x v="1"/>
    <n v="383407"/>
  </r>
  <r>
    <x v="230"/>
    <x v="0"/>
    <x v="0"/>
    <x v="2"/>
    <n v="284645"/>
  </r>
  <r>
    <x v="230"/>
    <x v="0"/>
    <x v="0"/>
    <x v="3"/>
    <n v="15300"/>
  </r>
  <r>
    <x v="230"/>
    <x v="0"/>
    <x v="11"/>
    <x v="0"/>
    <n v="154928"/>
  </r>
  <r>
    <x v="230"/>
    <x v="0"/>
    <x v="11"/>
    <x v="1"/>
    <n v="232450"/>
  </r>
  <r>
    <x v="230"/>
    <x v="0"/>
    <x v="11"/>
    <x v="2"/>
    <n v="144947"/>
  </r>
  <r>
    <x v="230"/>
    <x v="0"/>
    <x v="9"/>
    <x v="0"/>
    <n v="125886"/>
  </r>
  <r>
    <x v="230"/>
    <x v="0"/>
    <x v="9"/>
    <x v="2"/>
    <n v="36776"/>
  </r>
  <r>
    <x v="230"/>
    <x v="0"/>
    <x v="7"/>
    <x v="1"/>
    <n v="874438"/>
  </r>
  <r>
    <x v="230"/>
    <x v="0"/>
    <x v="7"/>
    <x v="2"/>
    <n v="379517"/>
  </r>
  <r>
    <x v="230"/>
    <x v="0"/>
    <x v="1"/>
    <x v="0"/>
    <n v="8634078"/>
  </r>
  <r>
    <x v="230"/>
    <x v="0"/>
    <x v="1"/>
    <x v="1"/>
    <n v="617507"/>
  </r>
  <r>
    <x v="230"/>
    <x v="0"/>
    <x v="1"/>
    <x v="2"/>
    <n v="3033021"/>
  </r>
  <r>
    <x v="230"/>
    <x v="0"/>
    <x v="1"/>
    <x v="3"/>
    <n v="4430"/>
  </r>
  <r>
    <x v="230"/>
    <x v="0"/>
    <x v="1"/>
    <x v="4"/>
    <n v="391112"/>
  </r>
  <r>
    <x v="230"/>
    <x v="0"/>
    <x v="1"/>
    <x v="5"/>
    <n v="3400"/>
  </r>
  <r>
    <x v="230"/>
    <x v="0"/>
    <x v="2"/>
    <x v="0"/>
    <n v="12292547"/>
  </r>
  <r>
    <x v="230"/>
    <x v="0"/>
    <x v="2"/>
    <x v="1"/>
    <n v="14469592"/>
  </r>
  <r>
    <x v="230"/>
    <x v="0"/>
    <x v="2"/>
    <x v="2"/>
    <n v="11683844"/>
  </r>
  <r>
    <x v="230"/>
    <x v="0"/>
    <x v="2"/>
    <x v="3"/>
    <n v="29178"/>
  </r>
  <r>
    <x v="230"/>
    <x v="0"/>
    <x v="2"/>
    <x v="4"/>
    <n v="1698942"/>
  </r>
  <r>
    <x v="230"/>
    <x v="0"/>
    <x v="2"/>
    <x v="5"/>
    <n v="3000"/>
  </r>
  <r>
    <x v="230"/>
    <x v="0"/>
    <x v="3"/>
    <x v="0"/>
    <n v="103513"/>
  </r>
  <r>
    <x v="230"/>
    <x v="0"/>
    <x v="3"/>
    <x v="2"/>
    <n v="25109"/>
  </r>
  <r>
    <x v="230"/>
    <x v="0"/>
    <x v="3"/>
    <x v="4"/>
    <n v="12319"/>
  </r>
  <r>
    <x v="230"/>
    <x v="0"/>
    <x v="6"/>
    <x v="0"/>
    <n v="1274"/>
  </r>
  <r>
    <x v="230"/>
    <x v="0"/>
    <x v="6"/>
    <x v="2"/>
    <n v="217"/>
  </r>
  <r>
    <x v="230"/>
    <x v="1"/>
    <x v="2"/>
    <x v="0"/>
    <n v="2767171"/>
  </r>
  <r>
    <x v="230"/>
    <x v="1"/>
    <x v="2"/>
    <x v="2"/>
    <n v="801481"/>
  </r>
  <r>
    <x v="230"/>
    <x v="1"/>
    <x v="2"/>
    <x v="3"/>
    <n v="66859"/>
  </r>
  <r>
    <x v="230"/>
    <x v="1"/>
    <x v="3"/>
    <x v="0"/>
    <n v="115312"/>
  </r>
  <r>
    <x v="230"/>
    <x v="1"/>
    <x v="3"/>
    <x v="2"/>
    <n v="19358"/>
  </r>
  <r>
    <x v="229"/>
    <x v="0"/>
    <x v="3"/>
    <x v="2"/>
    <n v="293"/>
  </r>
  <r>
    <x v="229"/>
    <x v="0"/>
    <x v="3"/>
    <x v="4"/>
    <n v="3500"/>
  </r>
  <r>
    <x v="229"/>
    <x v="0"/>
    <x v="4"/>
    <x v="3"/>
    <n v="3000"/>
  </r>
  <r>
    <x v="229"/>
    <x v="0"/>
    <x v="5"/>
    <x v="3"/>
    <n v="2000"/>
  </r>
  <r>
    <x v="229"/>
    <x v="0"/>
    <x v="5"/>
    <x v="4"/>
    <n v="10000"/>
  </r>
  <r>
    <x v="229"/>
    <x v="0"/>
    <x v="6"/>
    <x v="0"/>
    <n v="1819"/>
  </r>
  <r>
    <x v="229"/>
    <x v="0"/>
    <x v="6"/>
    <x v="2"/>
    <n v="4"/>
  </r>
  <r>
    <x v="229"/>
    <x v="1"/>
    <x v="2"/>
    <x v="0"/>
    <n v="80933"/>
  </r>
  <r>
    <x v="229"/>
    <x v="1"/>
    <x v="2"/>
    <x v="1"/>
    <n v="23039"/>
  </r>
  <r>
    <x v="229"/>
    <x v="1"/>
    <x v="2"/>
    <x v="2"/>
    <n v="42445"/>
  </r>
  <r>
    <x v="229"/>
    <x v="1"/>
    <x v="2"/>
    <x v="3"/>
    <n v="1643"/>
  </r>
  <r>
    <x v="231"/>
    <x v="0"/>
    <x v="0"/>
    <x v="0"/>
    <n v="84200"/>
  </r>
  <r>
    <x v="231"/>
    <x v="0"/>
    <x v="0"/>
    <x v="1"/>
    <n v="50378"/>
  </r>
  <r>
    <x v="231"/>
    <x v="0"/>
    <x v="0"/>
    <x v="2"/>
    <n v="55347"/>
  </r>
  <r>
    <x v="231"/>
    <x v="0"/>
    <x v="0"/>
    <x v="3"/>
    <n v="1000"/>
  </r>
  <r>
    <x v="231"/>
    <x v="0"/>
    <x v="0"/>
    <x v="4"/>
    <n v="6150"/>
  </r>
  <r>
    <x v="231"/>
    <x v="0"/>
    <x v="1"/>
    <x v="0"/>
    <n v="411513"/>
  </r>
  <r>
    <x v="231"/>
    <x v="0"/>
    <x v="1"/>
    <x v="2"/>
    <n v="129682"/>
  </r>
  <r>
    <x v="231"/>
    <x v="0"/>
    <x v="1"/>
    <x v="3"/>
    <n v="1825"/>
  </r>
  <r>
    <x v="231"/>
    <x v="0"/>
    <x v="1"/>
    <x v="4"/>
    <n v="403000"/>
  </r>
  <r>
    <x v="231"/>
    <x v="0"/>
    <x v="1"/>
    <x v="5"/>
    <n v="2500"/>
  </r>
  <r>
    <x v="231"/>
    <x v="0"/>
    <x v="2"/>
    <x v="0"/>
    <n v="680934"/>
  </r>
  <r>
    <x v="231"/>
    <x v="0"/>
    <x v="2"/>
    <x v="1"/>
    <n v="990477"/>
  </r>
  <r>
    <x v="231"/>
    <x v="0"/>
    <x v="2"/>
    <x v="2"/>
    <n v="839160"/>
  </r>
  <r>
    <x v="231"/>
    <x v="0"/>
    <x v="2"/>
    <x v="3"/>
    <n v="3350"/>
  </r>
  <r>
    <x v="231"/>
    <x v="0"/>
    <x v="6"/>
    <x v="0"/>
    <n v="4877"/>
  </r>
  <r>
    <x v="231"/>
    <x v="0"/>
    <x v="6"/>
    <x v="2"/>
    <n v="824"/>
  </r>
  <r>
    <x v="231"/>
    <x v="1"/>
    <x v="1"/>
    <x v="0"/>
    <n v="163075"/>
  </r>
  <r>
    <x v="231"/>
    <x v="1"/>
    <x v="1"/>
    <x v="2"/>
    <n v="53952"/>
  </r>
  <r>
    <x v="231"/>
    <x v="1"/>
    <x v="2"/>
    <x v="0"/>
    <n v="146840"/>
  </r>
  <r>
    <x v="231"/>
    <x v="1"/>
    <x v="2"/>
    <x v="2"/>
    <n v="52422"/>
  </r>
  <r>
    <x v="232"/>
    <x v="0"/>
    <x v="0"/>
    <x v="0"/>
    <n v="43592"/>
  </r>
  <r>
    <x v="232"/>
    <x v="0"/>
    <x v="0"/>
    <x v="2"/>
    <n v="16081"/>
  </r>
  <r>
    <x v="232"/>
    <x v="0"/>
    <x v="2"/>
    <x v="4"/>
    <n v="1792325"/>
  </r>
  <r>
    <x v="233"/>
    <x v="0"/>
    <x v="0"/>
    <x v="0"/>
    <n v="314436"/>
  </r>
  <r>
    <x v="233"/>
    <x v="0"/>
    <x v="0"/>
    <x v="1"/>
    <n v="378790"/>
  </r>
  <r>
    <x v="233"/>
    <x v="0"/>
    <x v="0"/>
    <x v="2"/>
    <n v="203422"/>
  </r>
  <r>
    <x v="233"/>
    <x v="0"/>
    <x v="0"/>
    <x v="3"/>
    <n v="2000"/>
  </r>
  <r>
    <x v="233"/>
    <x v="0"/>
    <x v="0"/>
    <x v="4"/>
    <n v="1700"/>
  </r>
  <r>
    <x v="233"/>
    <x v="0"/>
    <x v="0"/>
    <x v="5"/>
    <n v="100"/>
  </r>
  <r>
    <x v="233"/>
    <x v="0"/>
    <x v="1"/>
    <x v="0"/>
    <n v="1936711"/>
  </r>
  <r>
    <x v="233"/>
    <x v="0"/>
    <x v="1"/>
    <x v="1"/>
    <n v="323656"/>
  </r>
  <r>
    <x v="233"/>
    <x v="0"/>
    <x v="1"/>
    <x v="2"/>
    <n v="728961"/>
  </r>
  <r>
    <x v="233"/>
    <x v="0"/>
    <x v="1"/>
    <x v="3"/>
    <n v="21000"/>
  </r>
  <r>
    <x v="233"/>
    <x v="0"/>
    <x v="1"/>
    <x v="4"/>
    <n v="54000"/>
  </r>
  <r>
    <x v="233"/>
    <x v="0"/>
    <x v="1"/>
    <x v="5"/>
    <n v="1000"/>
  </r>
  <r>
    <x v="233"/>
    <x v="0"/>
    <x v="2"/>
    <x v="6"/>
    <n v="3000"/>
  </r>
  <r>
    <x v="233"/>
    <x v="0"/>
    <x v="2"/>
    <x v="0"/>
    <n v="4188852"/>
  </r>
  <r>
    <x v="233"/>
    <x v="0"/>
    <x v="2"/>
    <x v="1"/>
    <n v="4775760"/>
  </r>
  <r>
    <x v="233"/>
    <x v="0"/>
    <x v="2"/>
    <x v="2"/>
    <n v="3955535"/>
  </r>
  <r>
    <x v="233"/>
    <x v="0"/>
    <x v="2"/>
    <x v="3"/>
    <n v="46600"/>
  </r>
  <r>
    <x v="233"/>
    <x v="0"/>
    <x v="2"/>
    <x v="4"/>
    <n v="749015"/>
  </r>
  <r>
    <x v="233"/>
    <x v="0"/>
    <x v="2"/>
    <x v="5"/>
    <n v="2000"/>
  </r>
  <r>
    <x v="233"/>
    <x v="0"/>
    <x v="3"/>
    <x v="0"/>
    <n v="37000"/>
  </r>
  <r>
    <x v="233"/>
    <x v="0"/>
    <x v="3"/>
    <x v="1"/>
    <n v="23000"/>
  </r>
  <r>
    <x v="233"/>
    <x v="0"/>
    <x v="3"/>
    <x v="2"/>
    <n v="10470"/>
  </r>
  <r>
    <x v="233"/>
    <x v="0"/>
    <x v="3"/>
    <x v="4"/>
    <n v="1000"/>
  </r>
  <r>
    <x v="233"/>
    <x v="0"/>
    <x v="5"/>
    <x v="3"/>
    <n v="7500"/>
  </r>
  <r>
    <x v="233"/>
    <x v="1"/>
    <x v="1"/>
    <x v="0"/>
    <n v="781173"/>
  </r>
  <r>
    <x v="233"/>
    <x v="1"/>
    <x v="1"/>
    <x v="2"/>
    <n v="219650"/>
  </r>
  <r>
    <x v="233"/>
    <x v="1"/>
    <x v="2"/>
    <x v="1"/>
    <n v="21718"/>
  </r>
  <r>
    <x v="233"/>
    <x v="1"/>
    <x v="2"/>
    <x v="2"/>
    <n v="15909"/>
  </r>
  <r>
    <x v="233"/>
    <x v="1"/>
    <x v="2"/>
    <x v="3"/>
    <n v="3891"/>
  </r>
  <r>
    <x v="234"/>
    <x v="0"/>
    <x v="11"/>
    <x v="0"/>
    <n v="42275"/>
  </r>
  <r>
    <x v="234"/>
    <x v="0"/>
    <x v="11"/>
    <x v="2"/>
    <n v="29960"/>
  </r>
  <r>
    <x v="234"/>
    <x v="0"/>
    <x v="11"/>
    <x v="4"/>
    <n v="15000"/>
  </r>
  <r>
    <x v="234"/>
    <x v="0"/>
    <x v="1"/>
    <x v="4"/>
    <n v="220000"/>
  </r>
  <r>
    <x v="234"/>
    <x v="0"/>
    <x v="1"/>
    <x v="7"/>
    <n v="60000"/>
  </r>
  <r>
    <x v="234"/>
    <x v="0"/>
    <x v="2"/>
    <x v="0"/>
    <n v="252834"/>
  </r>
  <r>
    <x v="234"/>
    <x v="0"/>
    <x v="2"/>
    <x v="1"/>
    <n v="124810"/>
  </r>
  <r>
    <x v="234"/>
    <x v="0"/>
    <x v="2"/>
    <x v="2"/>
    <n v="153745"/>
  </r>
  <r>
    <x v="234"/>
    <x v="0"/>
    <x v="2"/>
    <x v="3"/>
    <n v="25000"/>
  </r>
  <r>
    <x v="234"/>
    <x v="0"/>
    <x v="2"/>
    <x v="4"/>
    <n v="169970"/>
  </r>
  <r>
    <x v="234"/>
    <x v="0"/>
    <x v="4"/>
    <x v="4"/>
    <n v="10000"/>
  </r>
  <r>
    <x v="234"/>
    <x v="0"/>
    <x v="5"/>
    <x v="4"/>
    <n v="20000"/>
  </r>
  <r>
    <x v="234"/>
    <x v="0"/>
    <x v="6"/>
    <x v="0"/>
    <n v="1375"/>
  </r>
  <r>
    <x v="234"/>
    <x v="0"/>
    <x v="6"/>
    <x v="2"/>
    <n v="40"/>
  </r>
  <r>
    <x v="234"/>
    <x v="0"/>
    <x v="6"/>
    <x v="4"/>
    <n v="3000"/>
  </r>
  <r>
    <x v="234"/>
    <x v="1"/>
    <x v="2"/>
    <x v="4"/>
    <n v="98168"/>
  </r>
  <r>
    <x v="235"/>
    <x v="0"/>
    <x v="11"/>
    <x v="0"/>
    <n v="14393"/>
  </r>
  <r>
    <x v="235"/>
    <x v="0"/>
    <x v="11"/>
    <x v="1"/>
    <n v="6156"/>
  </r>
  <r>
    <x v="235"/>
    <x v="0"/>
    <x v="11"/>
    <x v="2"/>
    <n v="6584"/>
  </r>
  <r>
    <x v="235"/>
    <x v="0"/>
    <x v="2"/>
    <x v="0"/>
    <n v="149794"/>
  </r>
  <r>
    <x v="235"/>
    <x v="0"/>
    <x v="2"/>
    <x v="1"/>
    <n v="89512"/>
  </r>
  <r>
    <x v="235"/>
    <x v="0"/>
    <x v="2"/>
    <x v="2"/>
    <n v="106265"/>
  </r>
  <r>
    <x v="235"/>
    <x v="0"/>
    <x v="2"/>
    <x v="3"/>
    <n v="250"/>
  </r>
  <r>
    <x v="235"/>
    <x v="0"/>
    <x v="2"/>
    <x v="4"/>
    <n v="500"/>
  </r>
  <r>
    <x v="235"/>
    <x v="0"/>
    <x v="2"/>
    <x v="5"/>
    <n v="500"/>
  </r>
  <r>
    <x v="235"/>
    <x v="0"/>
    <x v="8"/>
    <x v="4"/>
    <n v="180000"/>
  </r>
  <r>
    <x v="235"/>
    <x v="0"/>
    <x v="5"/>
    <x v="3"/>
    <n v="1000"/>
  </r>
  <r>
    <x v="236"/>
    <x v="0"/>
    <x v="0"/>
    <x v="6"/>
    <n v="8376"/>
  </r>
  <r>
    <x v="236"/>
    <x v="0"/>
    <x v="0"/>
    <x v="0"/>
    <n v="1181394"/>
  </r>
  <r>
    <x v="236"/>
    <x v="0"/>
    <x v="0"/>
    <x v="1"/>
    <n v="489692"/>
  </r>
  <r>
    <x v="236"/>
    <x v="0"/>
    <x v="0"/>
    <x v="2"/>
    <n v="498348"/>
  </r>
  <r>
    <x v="236"/>
    <x v="0"/>
    <x v="0"/>
    <x v="3"/>
    <n v="73118"/>
  </r>
  <r>
    <x v="236"/>
    <x v="0"/>
    <x v="0"/>
    <x v="4"/>
    <n v="11700"/>
  </r>
  <r>
    <x v="236"/>
    <x v="0"/>
    <x v="0"/>
    <x v="5"/>
    <n v="3000"/>
  </r>
  <r>
    <x v="236"/>
    <x v="0"/>
    <x v="11"/>
    <x v="6"/>
    <n v="99"/>
  </r>
  <r>
    <x v="236"/>
    <x v="0"/>
    <x v="9"/>
    <x v="5"/>
    <n v="500"/>
  </r>
  <r>
    <x v="236"/>
    <x v="0"/>
    <x v="1"/>
    <x v="6"/>
    <n v="23371"/>
  </r>
  <r>
    <x v="236"/>
    <x v="0"/>
    <x v="1"/>
    <x v="0"/>
    <n v="12575743"/>
  </r>
  <r>
    <x v="236"/>
    <x v="0"/>
    <x v="1"/>
    <x v="1"/>
    <n v="694711"/>
  </r>
  <r>
    <x v="236"/>
    <x v="0"/>
    <x v="1"/>
    <x v="2"/>
    <n v="4356252"/>
  </r>
  <r>
    <x v="236"/>
    <x v="0"/>
    <x v="1"/>
    <x v="3"/>
    <n v="90330"/>
  </r>
  <r>
    <x v="236"/>
    <x v="0"/>
    <x v="1"/>
    <x v="4"/>
    <n v="126681"/>
  </r>
  <r>
    <x v="236"/>
    <x v="0"/>
    <x v="1"/>
    <x v="5"/>
    <n v="16030"/>
  </r>
  <r>
    <x v="236"/>
    <x v="0"/>
    <x v="2"/>
    <x v="6"/>
    <n v="2056"/>
  </r>
  <r>
    <x v="236"/>
    <x v="0"/>
    <x v="2"/>
    <x v="0"/>
    <n v="19839310"/>
  </r>
  <r>
    <x v="236"/>
    <x v="0"/>
    <x v="2"/>
    <x v="1"/>
    <n v="18623827"/>
  </r>
  <r>
    <x v="236"/>
    <x v="0"/>
    <x v="2"/>
    <x v="2"/>
    <n v="16757422"/>
  </r>
  <r>
    <x v="236"/>
    <x v="0"/>
    <x v="2"/>
    <x v="3"/>
    <n v="86537"/>
  </r>
  <r>
    <x v="236"/>
    <x v="0"/>
    <x v="2"/>
    <x v="4"/>
    <n v="953356"/>
  </r>
  <r>
    <x v="236"/>
    <x v="0"/>
    <x v="2"/>
    <x v="5"/>
    <n v="21496"/>
  </r>
  <r>
    <x v="236"/>
    <x v="0"/>
    <x v="3"/>
    <x v="0"/>
    <n v="1503831"/>
  </r>
  <r>
    <x v="236"/>
    <x v="0"/>
    <x v="3"/>
    <x v="2"/>
    <n v="240077"/>
  </r>
  <r>
    <x v="236"/>
    <x v="0"/>
    <x v="3"/>
    <x v="3"/>
    <n v="3334"/>
  </r>
  <r>
    <x v="236"/>
    <x v="0"/>
    <x v="3"/>
    <x v="4"/>
    <n v="51554"/>
  </r>
  <r>
    <x v="236"/>
    <x v="0"/>
    <x v="3"/>
    <x v="5"/>
    <n v="7878"/>
  </r>
  <r>
    <x v="236"/>
    <x v="0"/>
    <x v="4"/>
    <x v="6"/>
    <n v="86965"/>
  </r>
  <r>
    <x v="236"/>
    <x v="0"/>
    <x v="4"/>
    <x v="3"/>
    <n v="33203"/>
  </r>
  <r>
    <x v="236"/>
    <x v="0"/>
    <x v="4"/>
    <x v="4"/>
    <n v="150"/>
  </r>
  <r>
    <x v="236"/>
    <x v="0"/>
    <x v="5"/>
    <x v="6"/>
    <n v="250"/>
  </r>
  <r>
    <x v="236"/>
    <x v="0"/>
    <x v="5"/>
    <x v="3"/>
    <n v="132120"/>
  </r>
  <r>
    <x v="236"/>
    <x v="0"/>
    <x v="5"/>
    <x v="4"/>
    <n v="290"/>
  </r>
  <r>
    <x v="236"/>
    <x v="0"/>
    <x v="6"/>
    <x v="0"/>
    <n v="497436"/>
  </r>
  <r>
    <x v="236"/>
    <x v="0"/>
    <x v="6"/>
    <x v="2"/>
    <n v="76556"/>
  </r>
  <r>
    <x v="235"/>
    <x v="1"/>
    <x v="8"/>
    <x v="4"/>
    <n v="48000"/>
  </r>
  <r>
    <x v="236"/>
    <x v="1"/>
    <x v="1"/>
    <x v="6"/>
    <n v="433"/>
  </r>
  <r>
    <x v="236"/>
    <x v="1"/>
    <x v="1"/>
    <x v="0"/>
    <n v="274717"/>
  </r>
  <r>
    <x v="236"/>
    <x v="1"/>
    <x v="1"/>
    <x v="2"/>
    <n v="88875"/>
  </r>
  <r>
    <x v="236"/>
    <x v="1"/>
    <x v="1"/>
    <x v="4"/>
    <n v="51"/>
  </r>
  <r>
    <x v="236"/>
    <x v="1"/>
    <x v="1"/>
    <x v="5"/>
    <n v="253"/>
  </r>
  <r>
    <x v="236"/>
    <x v="1"/>
    <x v="2"/>
    <x v="6"/>
    <n v="461"/>
  </r>
  <r>
    <x v="236"/>
    <x v="1"/>
    <x v="2"/>
    <x v="0"/>
    <n v="4761084"/>
  </r>
  <r>
    <x v="236"/>
    <x v="1"/>
    <x v="2"/>
    <x v="1"/>
    <n v="15046"/>
  </r>
  <r>
    <x v="236"/>
    <x v="1"/>
    <x v="2"/>
    <x v="2"/>
    <n v="1486031"/>
  </r>
  <r>
    <x v="236"/>
    <x v="1"/>
    <x v="2"/>
    <x v="3"/>
    <n v="3982"/>
  </r>
  <r>
    <x v="236"/>
    <x v="1"/>
    <x v="2"/>
    <x v="4"/>
    <n v="6"/>
  </r>
  <r>
    <x v="236"/>
    <x v="1"/>
    <x v="2"/>
    <x v="5"/>
    <n v="340"/>
  </r>
  <r>
    <x v="236"/>
    <x v="1"/>
    <x v="3"/>
    <x v="0"/>
    <n v="280889"/>
  </r>
  <r>
    <x v="236"/>
    <x v="1"/>
    <x v="3"/>
    <x v="2"/>
    <n v="39034"/>
  </r>
  <r>
    <x v="236"/>
    <x v="1"/>
    <x v="4"/>
    <x v="6"/>
    <n v="11623"/>
  </r>
  <r>
    <x v="237"/>
    <x v="0"/>
    <x v="0"/>
    <x v="0"/>
    <n v="2416"/>
  </r>
  <r>
    <x v="237"/>
    <x v="0"/>
    <x v="0"/>
    <x v="2"/>
    <n v="396"/>
  </r>
  <r>
    <x v="237"/>
    <x v="0"/>
    <x v="1"/>
    <x v="4"/>
    <n v="35000"/>
  </r>
  <r>
    <x v="237"/>
    <x v="0"/>
    <x v="2"/>
    <x v="0"/>
    <n v="74224"/>
  </r>
  <r>
    <x v="237"/>
    <x v="0"/>
    <x v="2"/>
    <x v="1"/>
    <n v="23353"/>
  </r>
  <r>
    <x v="237"/>
    <x v="0"/>
    <x v="2"/>
    <x v="2"/>
    <n v="46872"/>
  </r>
  <r>
    <x v="237"/>
    <x v="1"/>
    <x v="1"/>
    <x v="4"/>
    <n v="10000"/>
  </r>
  <r>
    <x v="238"/>
    <x v="0"/>
    <x v="0"/>
    <x v="6"/>
    <n v="350"/>
  </r>
  <r>
    <x v="239"/>
    <x v="0"/>
    <x v="2"/>
    <x v="1"/>
    <n v="2214"/>
  </r>
  <r>
    <x v="239"/>
    <x v="0"/>
    <x v="2"/>
    <x v="2"/>
    <n v="254"/>
  </r>
  <r>
    <x v="239"/>
    <x v="0"/>
    <x v="2"/>
    <x v="4"/>
    <n v="29000"/>
  </r>
  <r>
    <x v="238"/>
    <x v="0"/>
    <x v="0"/>
    <x v="0"/>
    <n v="720240"/>
  </r>
  <r>
    <x v="238"/>
    <x v="0"/>
    <x v="0"/>
    <x v="1"/>
    <n v="227719"/>
  </r>
  <r>
    <x v="238"/>
    <x v="0"/>
    <x v="0"/>
    <x v="2"/>
    <n v="283755"/>
  </r>
  <r>
    <x v="238"/>
    <x v="0"/>
    <x v="0"/>
    <x v="3"/>
    <n v="750"/>
  </r>
  <r>
    <x v="238"/>
    <x v="0"/>
    <x v="0"/>
    <x v="4"/>
    <n v="115600"/>
  </r>
  <r>
    <x v="238"/>
    <x v="0"/>
    <x v="0"/>
    <x v="7"/>
    <n v="500"/>
  </r>
  <r>
    <x v="238"/>
    <x v="0"/>
    <x v="9"/>
    <x v="0"/>
    <n v="238655"/>
  </r>
  <r>
    <x v="238"/>
    <x v="0"/>
    <x v="9"/>
    <x v="2"/>
    <n v="67626"/>
  </r>
  <r>
    <x v="238"/>
    <x v="0"/>
    <x v="7"/>
    <x v="1"/>
    <n v="367346"/>
  </r>
  <r>
    <x v="238"/>
    <x v="0"/>
    <x v="7"/>
    <x v="2"/>
    <n v="271123"/>
  </r>
  <r>
    <x v="238"/>
    <x v="0"/>
    <x v="1"/>
    <x v="6"/>
    <n v="800"/>
  </r>
  <r>
    <x v="238"/>
    <x v="0"/>
    <x v="1"/>
    <x v="0"/>
    <n v="6055690"/>
  </r>
  <r>
    <x v="238"/>
    <x v="0"/>
    <x v="1"/>
    <x v="1"/>
    <n v="299904"/>
  </r>
  <r>
    <x v="238"/>
    <x v="0"/>
    <x v="1"/>
    <x v="2"/>
    <n v="2049395"/>
  </r>
  <r>
    <x v="238"/>
    <x v="0"/>
    <x v="1"/>
    <x v="3"/>
    <n v="91040"/>
  </r>
  <r>
    <x v="238"/>
    <x v="0"/>
    <x v="1"/>
    <x v="4"/>
    <n v="405924"/>
  </r>
  <r>
    <x v="238"/>
    <x v="0"/>
    <x v="1"/>
    <x v="5"/>
    <n v="11000"/>
  </r>
  <r>
    <x v="238"/>
    <x v="0"/>
    <x v="2"/>
    <x v="6"/>
    <n v="5275"/>
  </r>
  <r>
    <x v="238"/>
    <x v="0"/>
    <x v="2"/>
    <x v="0"/>
    <n v="9380723"/>
  </r>
  <r>
    <x v="238"/>
    <x v="0"/>
    <x v="2"/>
    <x v="1"/>
    <n v="6550075"/>
  </r>
  <r>
    <x v="238"/>
    <x v="0"/>
    <x v="2"/>
    <x v="2"/>
    <n v="7651708"/>
  </r>
  <r>
    <x v="238"/>
    <x v="0"/>
    <x v="2"/>
    <x v="3"/>
    <n v="45700"/>
  </r>
  <r>
    <x v="238"/>
    <x v="0"/>
    <x v="2"/>
    <x v="4"/>
    <n v="940000"/>
  </r>
  <r>
    <x v="238"/>
    <x v="0"/>
    <x v="2"/>
    <x v="5"/>
    <n v="6000"/>
  </r>
  <r>
    <x v="238"/>
    <x v="0"/>
    <x v="3"/>
    <x v="0"/>
    <n v="105000"/>
  </r>
  <r>
    <x v="238"/>
    <x v="0"/>
    <x v="3"/>
    <x v="1"/>
    <n v="40000"/>
  </r>
  <r>
    <x v="238"/>
    <x v="0"/>
    <x v="3"/>
    <x v="2"/>
    <n v="26100"/>
  </r>
  <r>
    <x v="238"/>
    <x v="0"/>
    <x v="3"/>
    <x v="3"/>
    <n v="1000"/>
  </r>
  <r>
    <x v="238"/>
    <x v="0"/>
    <x v="3"/>
    <x v="4"/>
    <n v="25000"/>
  </r>
  <r>
    <x v="238"/>
    <x v="0"/>
    <x v="4"/>
    <x v="3"/>
    <n v="30000"/>
  </r>
  <r>
    <x v="238"/>
    <x v="0"/>
    <x v="5"/>
    <x v="3"/>
    <n v="3000"/>
  </r>
  <r>
    <x v="238"/>
    <x v="0"/>
    <x v="5"/>
    <x v="4"/>
    <n v="175000"/>
  </r>
  <r>
    <x v="238"/>
    <x v="1"/>
    <x v="2"/>
    <x v="0"/>
    <n v="1882327"/>
  </r>
  <r>
    <x v="238"/>
    <x v="1"/>
    <x v="2"/>
    <x v="2"/>
    <n v="608313"/>
  </r>
  <r>
    <x v="238"/>
    <x v="1"/>
    <x v="2"/>
    <x v="3"/>
    <n v="2264"/>
  </r>
  <r>
    <x v="238"/>
    <x v="1"/>
    <x v="4"/>
    <x v="3"/>
    <n v="800"/>
  </r>
  <r>
    <x v="238"/>
    <x v="1"/>
    <x v="5"/>
    <x v="3"/>
    <n v="21900"/>
  </r>
  <r>
    <x v="240"/>
    <x v="0"/>
    <x v="0"/>
    <x v="0"/>
    <n v="2500"/>
  </r>
  <r>
    <x v="240"/>
    <x v="0"/>
    <x v="0"/>
    <x v="2"/>
    <n v="438"/>
  </r>
  <r>
    <x v="240"/>
    <x v="0"/>
    <x v="1"/>
    <x v="4"/>
    <n v="10000"/>
  </r>
  <r>
    <x v="240"/>
    <x v="0"/>
    <x v="2"/>
    <x v="0"/>
    <n v="161961"/>
  </r>
  <r>
    <x v="240"/>
    <x v="0"/>
    <x v="2"/>
    <x v="1"/>
    <n v="16391"/>
  </r>
  <r>
    <x v="240"/>
    <x v="0"/>
    <x v="2"/>
    <x v="2"/>
    <n v="70172"/>
  </r>
  <r>
    <x v="240"/>
    <x v="1"/>
    <x v="1"/>
    <x v="4"/>
    <n v="21209"/>
  </r>
  <r>
    <x v="241"/>
    <x v="0"/>
    <x v="0"/>
    <x v="0"/>
    <n v="382029"/>
  </r>
  <r>
    <x v="241"/>
    <x v="0"/>
    <x v="0"/>
    <x v="1"/>
    <n v="147759"/>
  </r>
  <r>
    <x v="241"/>
    <x v="0"/>
    <x v="0"/>
    <x v="2"/>
    <n v="143946"/>
  </r>
  <r>
    <x v="241"/>
    <x v="0"/>
    <x v="0"/>
    <x v="3"/>
    <n v="2500"/>
  </r>
  <r>
    <x v="241"/>
    <x v="0"/>
    <x v="0"/>
    <x v="4"/>
    <n v="46900"/>
  </r>
  <r>
    <x v="241"/>
    <x v="0"/>
    <x v="0"/>
    <x v="5"/>
    <n v="1661"/>
  </r>
  <r>
    <x v="241"/>
    <x v="0"/>
    <x v="9"/>
    <x v="0"/>
    <n v="33869"/>
  </r>
  <r>
    <x v="241"/>
    <x v="0"/>
    <x v="9"/>
    <x v="2"/>
    <n v="10235"/>
  </r>
  <r>
    <x v="241"/>
    <x v="0"/>
    <x v="9"/>
    <x v="4"/>
    <n v="400"/>
  </r>
  <r>
    <x v="241"/>
    <x v="0"/>
    <x v="7"/>
    <x v="1"/>
    <n v="14620"/>
  </r>
  <r>
    <x v="241"/>
    <x v="0"/>
    <x v="7"/>
    <x v="2"/>
    <n v="21984"/>
  </r>
  <r>
    <x v="241"/>
    <x v="0"/>
    <x v="1"/>
    <x v="0"/>
    <n v="1474876"/>
  </r>
  <r>
    <x v="241"/>
    <x v="0"/>
    <x v="1"/>
    <x v="1"/>
    <n v="122548"/>
  </r>
  <r>
    <x v="241"/>
    <x v="0"/>
    <x v="1"/>
    <x v="2"/>
    <n v="517057"/>
  </r>
  <r>
    <x v="241"/>
    <x v="0"/>
    <x v="1"/>
    <x v="3"/>
    <n v="8200"/>
  </r>
  <r>
    <x v="241"/>
    <x v="0"/>
    <x v="1"/>
    <x v="4"/>
    <n v="212500"/>
  </r>
  <r>
    <x v="241"/>
    <x v="0"/>
    <x v="1"/>
    <x v="5"/>
    <n v="1000"/>
  </r>
  <r>
    <x v="241"/>
    <x v="0"/>
    <x v="2"/>
    <x v="0"/>
    <n v="2150281"/>
  </r>
  <r>
    <x v="241"/>
    <x v="0"/>
    <x v="2"/>
    <x v="1"/>
    <n v="1873588"/>
  </r>
  <r>
    <x v="241"/>
    <x v="0"/>
    <x v="2"/>
    <x v="2"/>
    <n v="1644320"/>
  </r>
  <r>
    <x v="241"/>
    <x v="0"/>
    <x v="2"/>
    <x v="3"/>
    <n v="4200"/>
  </r>
  <r>
    <x v="241"/>
    <x v="0"/>
    <x v="2"/>
    <x v="4"/>
    <n v="1286400"/>
  </r>
  <r>
    <x v="241"/>
    <x v="0"/>
    <x v="2"/>
    <x v="5"/>
    <n v="10000"/>
  </r>
  <r>
    <x v="241"/>
    <x v="0"/>
    <x v="3"/>
    <x v="0"/>
    <n v="265121"/>
  </r>
  <r>
    <x v="241"/>
    <x v="0"/>
    <x v="3"/>
    <x v="1"/>
    <n v="6400"/>
  </r>
  <r>
    <x v="241"/>
    <x v="0"/>
    <x v="3"/>
    <x v="2"/>
    <n v="74094"/>
  </r>
  <r>
    <x v="241"/>
    <x v="0"/>
    <x v="3"/>
    <x v="3"/>
    <n v="2500"/>
  </r>
  <r>
    <x v="241"/>
    <x v="0"/>
    <x v="3"/>
    <x v="4"/>
    <n v="12000"/>
  </r>
  <r>
    <x v="241"/>
    <x v="0"/>
    <x v="3"/>
    <x v="5"/>
    <n v="500"/>
  </r>
  <r>
    <x v="241"/>
    <x v="0"/>
    <x v="5"/>
    <x v="3"/>
    <n v="7500"/>
  </r>
  <r>
    <x v="241"/>
    <x v="0"/>
    <x v="5"/>
    <x v="4"/>
    <n v="6000"/>
  </r>
  <r>
    <x v="241"/>
    <x v="0"/>
    <x v="6"/>
    <x v="0"/>
    <n v="59161"/>
  </r>
  <r>
    <x v="241"/>
    <x v="0"/>
    <x v="6"/>
    <x v="2"/>
    <n v="9682"/>
  </r>
  <r>
    <x v="242"/>
    <x v="0"/>
    <x v="2"/>
    <x v="0"/>
    <n v="251251"/>
  </r>
  <r>
    <x v="242"/>
    <x v="0"/>
    <x v="2"/>
    <x v="1"/>
    <n v="55766"/>
  </r>
  <r>
    <x v="242"/>
    <x v="0"/>
    <x v="2"/>
    <x v="2"/>
    <n v="85481"/>
  </r>
  <r>
    <x v="242"/>
    <x v="0"/>
    <x v="2"/>
    <x v="4"/>
    <n v="987524"/>
  </r>
  <r>
    <x v="243"/>
    <x v="0"/>
    <x v="0"/>
    <x v="0"/>
    <n v="166000"/>
  </r>
  <r>
    <x v="243"/>
    <x v="0"/>
    <x v="0"/>
    <x v="1"/>
    <n v="71136"/>
  </r>
  <r>
    <x v="243"/>
    <x v="0"/>
    <x v="0"/>
    <x v="2"/>
    <n v="71319"/>
  </r>
  <r>
    <x v="243"/>
    <x v="0"/>
    <x v="0"/>
    <x v="4"/>
    <n v="7000"/>
  </r>
  <r>
    <x v="243"/>
    <x v="0"/>
    <x v="1"/>
    <x v="0"/>
    <n v="1319621"/>
  </r>
  <r>
    <x v="243"/>
    <x v="0"/>
    <x v="1"/>
    <x v="2"/>
    <n v="415155"/>
  </r>
  <r>
    <x v="243"/>
    <x v="0"/>
    <x v="1"/>
    <x v="5"/>
    <n v="500"/>
  </r>
  <r>
    <x v="243"/>
    <x v="0"/>
    <x v="2"/>
    <x v="0"/>
    <n v="1820532"/>
  </r>
  <r>
    <x v="243"/>
    <x v="0"/>
    <x v="2"/>
    <x v="1"/>
    <n v="1967898"/>
  </r>
  <r>
    <x v="243"/>
    <x v="0"/>
    <x v="2"/>
    <x v="2"/>
    <n v="1663489"/>
  </r>
  <r>
    <x v="243"/>
    <x v="0"/>
    <x v="2"/>
    <x v="3"/>
    <n v="10000"/>
  </r>
  <r>
    <x v="243"/>
    <x v="0"/>
    <x v="2"/>
    <x v="4"/>
    <n v="415000"/>
  </r>
  <r>
    <x v="243"/>
    <x v="0"/>
    <x v="2"/>
    <x v="5"/>
    <n v="1000"/>
  </r>
  <r>
    <x v="243"/>
    <x v="0"/>
    <x v="8"/>
    <x v="4"/>
    <n v="65000"/>
  </r>
  <r>
    <x v="243"/>
    <x v="0"/>
    <x v="3"/>
    <x v="4"/>
    <n v="1000"/>
  </r>
  <r>
    <x v="243"/>
    <x v="0"/>
    <x v="5"/>
    <x v="3"/>
    <n v="9000"/>
  </r>
  <r>
    <x v="242"/>
    <x v="1"/>
    <x v="2"/>
    <x v="0"/>
    <n v="135289"/>
  </r>
  <r>
    <x v="242"/>
    <x v="1"/>
    <x v="2"/>
    <x v="2"/>
    <n v="36758"/>
  </r>
  <r>
    <x v="244"/>
    <x v="0"/>
    <x v="2"/>
    <x v="4"/>
    <n v="1855359"/>
  </r>
  <r>
    <x v="243"/>
    <x v="1"/>
    <x v="1"/>
    <x v="4"/>
    <n v="60000"/>
  </r>
  <r>
    <x v="243"/>
    <x v="1"/>
    <x v="2"/>
    <x v="0"/>
    <n v="326198"/>
  </r>
  <r>
    <x v="243"/>
    <x v="1"/>
    <x v="2"/>
    <x v="1"/>
    <n v="174890"/>
  </r>
  <r>
    <x v="243"/>
    <x v="1"/>
    <x v="2"/>
    <x v="2"/>
    <n v="213574"/>
  </r>
  <r>
    <x v="190"/>
    <x v="0"/>
    <x v="0"/>
    <x v="0"/>
    <n v="234450"/>
  </r>
  <r>
    <x v="190"/>
    <x v="0"/>
    <x v="0"/>
    <x v="1"/>
    <n v="80550"/>
  </r>
  <r>
    <x v="190"/>
    <x v="0"/>
    <x v="0"/>
    <x v="2"/>
    <n v="80534"/>
  </r>
  <r>
    <x v="190"/>
    <x v="0"/>
    <x v="0"/>
    <x v="3"/>
    <n v="500"/>
  </r>
  <r>
    <x v="190"/>
    <x v="0"/>
    <x v="0"/>
    <x v="4"/>
    <n v="7500"/>
  </r>
  <r>
    <x v="190"/>
    <x v="0"/>
    <x v="0"/>
    <x v="5"/>
    <n v="8500"/>
  </r>
  <r>
    <x v="245"/>
    <x v="0"/>
    <x v="0"/>
    <x v="0"/>
    <n v="157731"/>
  </r>
  <r>
    <x v="245"/>
    <x v="0"/>
    <x v="0"/>
    <x v="1"/>
    <n v="120195"/>
  </r>
  <r>
    <x v="245"/>
    <x v="0"/>
    <x v="0"/>
    <x v="2"/>
    <n v="92237"/>
  </r>
  <r>
    <x v="245"/>
    <x v="0"/>
    <x v="0"/>
    <x v="3"/>
    <n v="10009"/>
  </r>
  <r>
    <x v="245"/>
    <x v="0"/>
    <x v="0"/>
    <x v="4"/>
    <n v="1147768"/>
  </r>
  <r>
    <x v="245"/>
    <x v="0"/>
    <x v="0"/>
    <x v="5"/>
    <n v="9265"/>
  </r>
  <r>
    <x v="245"/>
    <x v="0"/>
    <x v="1"/>
    <x v="0"/>
    <n v="209319"/>
  </r>
  <r>
    <x v="245"/>
    <x v="0"/>
    <x v="1"/>
    <x v="2"/>
    <n v="63526"/>
  </r>
  <r>
    <x v="245"/>
    <x v="0"/>
    <x v="1"/>
    <x v="3"/>
    <n v="9474"/>
  </r>
  <r>
    <x v="245"/>
    <x v="0"/>
    <x v="1"/>
    <x v="4"/>
    <n v="730584"/>
  </r>
  <r>
    <x v="245"/>
    <x v="0"/>
    <x v="2"/>
    <x v="0"/>
    <n v="1226797"/>
  </r>
  <r>
    <x v="245"/>
    <x v="0"/>
    <x v="2"/>
    <x v="1"/>
    <n v="658236"/>
  </r>
  <r>
    <x v="245"/>
    <x v="0"/>
    <x v="2"/>
    <x v="2"/>
    <n v="755724"/>
  </r>
  <r>
    <x v="245"/>
    <x v="0"/>
    <x v="2"/>
    <x v="3"/>
    <n v="7491"/>
  </r>
  <r>
    <x v="245"/>
    <x v="0"/>
    <x v="2"/>
    <x v="4"/>
    <n v="34500"/>
  </r>
  <r>
    <x v="245"/>
    <x v="0"/>
    <x v="3"/>
    <x v="0"/>
    <n v="10107"/>
  </r>
  <r>
    <x v="245"/>
    <x v="0"/>
    <x v="3"/>
    <x v="1"/>
    <n v="676"/>
  </r>
  <r>
    <x v="245"/>
    <x v="0"/>
    <x v="3"/>
    <x v="2"/>
    <n v="1764"/>
  </r>
  <r>
    <x v="245"/>
    <x v="0"/>
    <x v="3"/>
    <x v="4"/>
    <n v="859"/>
  </r>
  <r>
    <x v="245"/>
    <x v="0"/>
    <x v="3"/>
    <x v="5"/>
    <n v="3108"/>
  </r>
  <r>
    <x v="245"/>
    <x v="0"/>
    <x v="4"/>
    <x v="3"/>
    <n v="4273"/>
  </r>
  <r>
    <x v="245"/>
    <x v="0"/>
    <x v="4"/>
    <x v="4"/>
    <n v="1285"/>
  </r>
  <r>
    <x v="245"/>
    <x v="0"/>
    <x v="5"/>
    <x v="3"/>
    <n v="2484"/>
  </r>
  <r>
    <x v="245"/>
    <x v="0"/>
    <x v="6"/>
    <x v="0"/>
    <n v="21494"/>
  </r>
  <r>
    <x v="245"/>
    <x v="0"/>
    <x v="6"/>
    <x v="2"/>
    <n v="3539"/>
  </r>
  <r>
    <x v="245"/>
    <x v="1"/>
    <x v="1"/>
    <x v="4"/>
    <n v="292"/>
  </r>
  <r>
    <x v="245"/>
    <x v="1"/>
    <x v="2"/>
    <x v="0"/>
    <n v="12720"/>
  </r>
  <r>
    <x v="245"/>
    <x v="1"/>
    <x v="2"/>
    <x v="1"/>
    <n v="352426"/>
  </r>
  <r>
    <x v="245"/>
    <x v="1"/>
    <x v="2"/>
    <x v="2"/>
    <n v="219119"/>
  </r>
  <r>
    <x v="245"/>
    <x v="1"/>
    <x v="3"/>
    <x v="1"/>
    <n v="144"/>
  </r>
  <r>
    <x v="245"/>
    <x v="1"/>
    <x v="3"/>
    <x v="2"/>
    <n v="22"/>
  </r>
  <r>
    <x v="246"/>
    <x v="0"/>
    <x v="2"/>
    <x v="0"/>
    <n v="159382"/>
  </r>
  <r>
    <x v="246"/>
    <x v="0"/>
    <x v="2"/>
    <x v="1"/>
    <n v="54548"/>
  </r>
  <r>
    <x v="246"/>
    <x v="0"/>
    <x v="2"/>
    <x v="2"/>
    <n v="81450"/>
  </r>
  <r>
    <x v="246"/>
    <x v="0"/>
    <x v="2"/>
    <x v="4"/>
    <n v="422601"/>
  </r>
  <r>
    <x v="246"/>
    <x v="1"/>
    <x v="2"/>
    <x v="0"/>
    <n v="28126"/>
  </r>
  <r>
    <x v="246"/>
    <x v="1"/>
    <x v="2"/>
    <x v="2"/>
    <n v="9869"/>
  </r>
  <r>
    <x v="247"/>
    <x v="0"/>
    <x v="0"/>
    <x v="0"/>
    <n v="201159"/>
  </r>
  <r>
    <x v="247"/>
    <x v="0"/>
    <x v="0"/>
    <x v="1"/>
    <n v="36972"/>
  </r>
  <r>
    <x v="247"/>
    <x v="0"/>
    <x v="0"/>
    <x v="2"/>
    <n v="70345"/>
  </r>
  <r>
    <x v="247"/>
    <x v="0"/>
    <x v="0"/>
    <x v="3"/>
    <n v="1000"/>
  </r>
  <r>
    <x v="247"/>
    <x v="0"/>
    <x v="0"/>
    <x v="4"/>
    <n v="5000"/>
  </r>
  <r>
    <x v="247"/>
    <x v="0"/>
    <x v="11"/>
    <x v="1"/>
    <n v="83262"/>
  </r>
  <r>
    <x v="247"/>
    <x v="0"/>
    <x v="11"/>
    <x v="2"/>
    <n v="33075"/>
  </r>
  <r>
    <x v="247"/>
    <x v="0"/>
    <x v="1"/>
    <x v="0"/>
    <n v="996579"/>
  </r>
  <r>
    <x v="247"/>
    <x v="0"/>
    <x v="1"/>
    <x v="1"/>
    <n v="50513"/>
  </r>
  <r>
    <x v="247"/>
    <x v="0"/>
    <x v="1"/>
    <x v="2"/>
    <n v="345564"/>
  </r>
  <r>
    <x v="247"/>
    <x v="0"/>
    <x v="1"/>
    <x v="3"/>
    <n v="24183"/>
  </r>
  <r>
    <x v="247"/>
    <x v="0"/>
    <x v="1"/>
    <x v="4"/>
    <n v="375146"/>
  </r>
  <r>
    <x v="247"/>
    <x v="0"/>
    <x v="2"/>
    <x v="0"/>
    <n v="1992665"/>
  </r>
  <r>
    <x v="247"/>
    <x v="0"/>
    <x v="2"/>
    <x v="1"/>
    <n v="636551"/>
  </r>
  <r>
    <x v="247"/>
    <x v="0"/>
    <x v="2"/>
    <x v="2"/>
    <n v="980251"/>
  </r>
  <r>
    <x v="247"/>
    <x v="0"/>
    <x v="2"/>
    <x v="3"/>
    <n v="7050"/>
  </r>
  <r>
    <x v="247"/>
    <x v="0"/>
    <x v="2"/>
    <x v="4"/>
    <n v="411158"/>
  </r>
  <r>
    <x v="247"/>
    <x v="0"/>
    <x v="3"/>
    <x v="4"/>
    <n v="8000"/>
  </r>
  <r>
    <x v="247"/>
    <x v="0"/>
    <x v="3"/>
    <x v="5"/>
    <n v="4000"/>
  </r>
  <r>
    <x v="241"/>
    <x v="1"/>
    <x v="9"/>
    <x v="0"/>
    <n v="102023"/>
  </r>
  <r>
    <x v="241"/>
    <x v="1"/>
    <x v="9"/>
    <x v="2"/>
    <n v="32383"/>
  </r>
  <r>
    <x v="241"/>
    <x v="1"/>
    <x v="1"/>
    <x v="0"/>
    <n v="454245"/>
  </r>
  <r>
    <x v="241"/>
    <x v="1"/>
    <x v="1"/>
    <x v="2"/>
    <n v="136607"/>
  </r>
  <r>
    <x v="241"/>
    <x v="1"/>
    <x v="2"/>
    <x v="1"/>
    <n v="84037"/>
  </r>
  <r>
    <x v="241"/>
    <x v="1"/>
    <x v="2"/>
    <x v="2"/>
    <n v="47281"/>
  </r>
  <r>
    <x v="241"/>
    <x v="1"/>
    <x v="3"/>
    <x v="0"/>
    <n v="3443"/>
  </r>
  <r>
    <x v="241"/>
    <x v="1"/>
    <x v="3"/>
    <x v="2"/>
    <n v="563"/>
  </r>
  <r>
    <x v="247"/>
    <x v="1"/>
    <x v="2"/>
    <x v="1"/>
    <n v="474746"/>
  </r>
  <r>
    <x v="247"/>
    <x v="1"/>
    <x v="2"/>
    <x v="2"/>
    <n v="314998"/>
  </r>
  <r>
    <x v="247"/>
    <x v="1"/>
    <x v="2"/>
    <x v="3"/>
    <n v="45417"/>
  </r>
  <r>
    <x v="247"/>
    <x v="2"/>
    <x v="1"/>
    <x v="1"/>
    <n v="50172"/>
  </r>
  <r>
    <x v="247"/>
    <x v="2"/>
    <x v="1"/>
    <x v="2"/>
    <n v="23792"/>
  </r>
  <r>
    <x v="247"/>
    <x v="2"/>
    <x v="2"/>
    <x v="3"/>
    <n v="11036"/>
  </r>
  <r>
    <x v="248"/>
    <x v="0"/>
    <x v="0"/>
    <x v="0"/>
    <n v="210197"/>
  </r>
  <r>
    <x v="248"/>
    <x v="0"/>
    <x v="0"/>
    <x v="2"/>
    <n v="51564"/>
  </r>
  <r>
    <x v="248"/>
    <x v="0"/>
    <x v="1"/>
    <x v="0"/>
    <n v="876727"/>
  </r>
  <r>
    <x v="248"/>
    <x v="0"/>
    <x v="1"/>
    <x v="2"/>
    <n v="268548"/>
  </r>
  <r>
    <x v="248"/>
    <x v="0"/>
    <x v="2"/>
    <x v="0"/>
    <n v="1853660"/>
  </r>
  <r>
    <x v="248"/>
    <x v="0"/>
    <x v="2"/>
    <x v="1"/>
    <n v="1159958"/>
  </r>
  <r>
    <x v="248"/>
    <x v="0"/>
    <x v="2"/>
    <x v="2"/>
    <n v="1283094"/>
  </r>
  <r>
    <x v="248"/>
    <x v="0"/>
    <x v="2"/>
    <x v="4"/>
    <n v="1827224"/>
  </r>
  <r>
    <x v="248"/>
    <x v="1"/>
    <x v="2"/>
    <x v="0"/>
    <n v="61857"/>
  </r>
  <r>
    <x v="248"/>
    <x v="1"/>
    <x v="2"/>
    <x v="1"/>
    <n v="3275"/>
  </r>
  <r>
    <x v="248"/>
    <x v="1"/>
    <x v="2"/>
    <x v="2"/>
    <n v="26140"/>
  </r>
  <r>
    <x v="248"/>
    <x v="1"/>
    <x v="2"/>
    <x v="4"/>
    <n v="250000"/>
  </r>
  <r>
    <x v="248"/>
    <x v="1"/>
    <x v="8"/>
    <x v="4"/>
    <n v="131654"/>
  </r>
  <r>
    <x v="249"/>
    <x v="0"/>
    <x v="0"/>
    <x v="0"/>
    <n v="16400"/>
  </r>
  <r>
    <x v="249"/>
    <x v="0"/>
    <x v="0"/>
    <x v="2"/>
    <n v="5807"/>
  </r>
  <r>
    <x v="249"/>
    <x v="0"/>
    <x v="1"/>
    <x v="4"/>
    <n v="26914"/>
  </r>
  <r>
    <x v="249"/>
    <x v="0"/>
    <x v="2"/>
    <x v="0"/>
    <n v="59478"/>
  </r>
  <r>
    <x v="249"/>
    <x v="0"/>
    <x v="2"/>
    <x v="1"/>
    <n v="31801"/>
  </r>
  <r>
    <x v="249"/>
    <x v="0"/>
    <x v="2"/>
    <x v="2"/>
    <n v="43077"/>
  </r>
  <r>
    <x v="249"/>
    <x v="0"/>
    <x v="2"/>
    <x v="4"/>
    <n v="1400"/>
  </r>
  <r>
    <x v="249"/>
    <x v="0"/>
    <x v="5"/>
    <x v="3"/>
    <n v="200"/>
  </r>
  <r>
    <x v="250"/>
    <x v="0"/>
    <x v="0"/>
    <x v="0"/>
    <n v="143256"/>
  </r>
  <r>
    <x v="250"/>
    <x v="0"/>
    <x v="0"/>
    <x v="1"/>
    <n v="39737"/>
  </r>
  <r>
    <x v="250"/>
    <x v="0"/>
    <x v="0"/>
    <x v="2"/>
    <n v="60774"/>
  </r>
  <r>
    <x v="250"/>
    <x v="0"/>
    <x v="0"/>
    <x v="3"/>
    <n v="500"/>
  </r>
  <r>
    <x v="250"/>
    <x v="0"/>
    <x v="0"/>
    <x v="4"/>
    <n v="2800"/>
  </r>
  <r>
    <x v="250"/>
    <x v="0"/>
    <x v="0"/>
    <x v="5"/>
    <n v="500"/>
  </r>
  <r>
    <x v="250"/>
    <x v="0"/>
    <x v="1"/>
    <x v="0"/>
    <n v="979874"/>
  </r>
  <r>
    <x v="250"/>
    <x v="0"/>
    <x v="1"/>
    <x v="2"/>
    <n v="328365"/>
  </r>
  <r>
    <x v="250"/>
    <x v="0"/>
    <x v="1"/>
    <x v="3"/>
    <n v="3000"/>
  </r>
  <r>
    <x v="250"/>
    <x v="0"/>
    <x v="1"/>
    <x v="4"/>
    <n v="7000"/>
  </r>
  <r>
    <x v="250"/>
    <x v="0"/>
    <x v="2"/>
    <x v="0"/>
    <n v="2200562"/>
  </r>
  <r>
    <x v="250"/>
    <x v="0"/>
    <x v="2"/>
    <x v="1"/>
    <n v="1807984"/>
  </r>
  <r>
    <x v="250"/>
    <x v="0"/>
    <x v="2"/>
    <x v="2"/>
    <n v="1890654"/>
  </r>
  <r>
    <x v="250"/>
    <x v="0"/>
    <x v="2"/>
    <x v="3"/>
    <n v="19700"/>
  </r>
  <r>
    <x v="250"/>
    <x v="0"/>
    <x v="2"/>
    <x v="4"/>
    <n v="1029000"/>
  </r>
  <r>
    <x v="250"/>
    <x v="0"/>
    <x v="2"/>
    <x v="5"/>
    <n v="3000"/>
  </r>
  <r>
    <x v="250"/>
    <x v="0"/>
    <x v="3"/>
    <x v="3"/>
    <n v="500"/>
  </r>
  <r>
    <x v="250"/>
    <x v="0"/>
    <x v="6"/>
    <x v="0"/>
    <n v="51752"/>
  </r>
  <r>
    <x v="250"/>
    <x v="0"/>
    <x v="6"/>
    <x v="2"/>
    <n v="8814"/>
  </r>
  <r>
    <x v="249"/>
    <x v="1"/>
    <x v="1"/>
    <x v="4"/>
    <n v="21350"/>
  </r>
  <r>
    <x v="250"/>
    <x v="1"/>
    <x v="1"/>
    <x v="0"/>
    <n v="450605"/>
  </r>
  <r>
    <x v="250"/>
    <x v="1"/>
    <x v="1"/>
    <x v="2"/>
    <n v="136095"/>
  </r>
  <r>
    <x v="250"/>
    <x v="1"/>
    <x v="2"/>
    <x v="1"/>
    <n v="18287"/>
  </r>
  <r>
    <x v="250"/>
    <x v="1"/>
    <x v="2"/>
    <x v="2"/>
    <n v="10597"/>
  </r>
  <r>
    <x v="250"/>
    <x v="1"/>
    <x v="2"/>
    <x v="3"/>
    <n v="5765"/>
  </r>
  <r>
    <x v="251"/>
    <x v="0"/>
    <x v="7"/>
    <x v="1"/>
    <n v="7505"/>
  </r>
  <r>
    <x v="251"/>
    <x v="0"/>
    <x v="7"/>
    <x v="2"/>
    <n v="5284"/>
  </r>
  <r>
    <x v="251"/>
    <x v="0"/>
    <x v="1"/>
    <x v="3"/>
    <n v="200"/>
  </r>
  <r>
    <x v="251"/>
    <x v="0"/>
    <x v="2"/>
    <x v="0"/>
    <n v="1050"/>
  </r>
  <r>
    <x v="251"/>
    <x v="0"/>
    <x v="2"/>
    <x v="1"/>
    <n v="16123"/>
  </r>
  <r>
    <x v="251"/>
    <x v="0"/>
    <x v="2"/>
    <x v="2"/>
    <n v="11444"/>
  </r>
  <r>
    <x v="251"/>
    <x v="0"/>
    <x v="2"/>
    <x v="3"/>
    <n v="400"/>
  </r>
  <r>
    <x v="251"/>
    <x v="0"/>
    <x v="8"/>
    <x v="4"/>
    <n v="449381"/>
  </r>
  <r>
    <x v="251"/>
    <x v="0"/>
    <x v="4"/>
    <x v="3"/>
    <n v="500"/>
  </r>
  <r>
    <x v="252"/>
    <x v="0"/>
    <x v="0"/>
    <x v="0"/>
    <n v="109649"/>
  </r>
  <r>
    <x v="252"/>
    <x v="0"/>
    <x v="0"/>
    <x v="2"/>
    <n v="34061"/>
  </r>
  <r>
    <x v="252"/>
    <x v="0"/>
    <x v="2"/>
    <x v="1"/>
    <n v="17800"/>
  </r>
  <r>
    <x v="252"/>
    <x v="0"/>
    <x v="2"/>
    <x v="2"/>
    <n v="12385"/>
  </r>
  <r>
    <x v="252"/>
    <x v="0"/>
    <x v="2"/>
    <x v="4"/>
    <n v="70000"/>
  </r>
  <r>
    <x v="252"/>
    <x v="1"/>
    <x v="2"/>
    <x v="4"/>
    <n v="51200"/>
  </r>
  <r>
    <x v="253"/>
    <x v="0"/>
    <x v="1"/>
    <x v="3"/>
    <n v="2626"/>
  </r>
  <r>
    <x v="253"/>
    <x v="0"/>
    <x v="1"/>
    <x v="4"/>
    <n v="90102"/>
  </r>
  <r>
    <x v="253"/>
    <x v="0"/>
    <x v="2"/>
    <x v="0"/>
    <n v="66558"/>
  </r>
  <r>
    <x v="253"/>
    <x v="0"/>
    <x v="2"/>
    <x v="1"/>
    <n v="73404"/>
  </r>
  <r>
    <x v="253"/>
    <x v="0"/>
    <x v="2"/>
    <x v="2"/>
    <n v="50386"/>
  </r>
  <r>
    <x v="254"/>
    <x v="0"/>
    <x v="1"/>
    <x v="4"/>
    <n v="27613"/>
  </r>
  <r>
    <x v="254"/>
    <x v="0"/>
    <x v="2"/>
    <x v="0"/>
    <n v="52926"/>
  </r>
  <r>
    <x v="254"/>
    <x v="0"/>
    <x v="2"/>
    <x v="1"/>
    <n v="56523"/>
  </r>
  <r>
    <x v="254"/>
    <x v="0"/>
    <x v="2"/>
    <x v="2"/>
    <n v="68000"/>
  </r>
  <r>
    <x v="254"/>
    <x v="0"/>
    <x v="2"/>
    <x v="3"/>
    <n v="2208"/>
  </r>
  <r>
    <x v="254"/>
    <x v="0"/>
    <x v="6"/>
    <x v="0"/>
    <n v="1197"/>
  </r>
  <r>
    <x v="254"/>
    <x v="0"/>
    <x v="6"/>
    <x v="2"/>
    <n v="215"/>
  </r>
  <r>
    <x v="253"/>
    <x v="1"/>
    <x v="2"/>
    <x v="0"/>
    <n v="16639"/>
  </r>
  <r>
    <x v="253"/>
    <x v="1"/>
    <x v="2"/>
    <x v="2"/>
    <n v="5990"/>
  </r>
  <r>
    <x v="255"/>
    <x v="0"/>
    <x v="0"/>
    <x v="0"/>
    <n v="554496"/>
  </r>
  <r>
    <x v="255"/>
    <x v="0"/>
    <x v="0"/>
    <x v="1"/>
    <n v="186425"/>
  </r>
  <r>
    <x v="255"/>
    <x v="0"/>
    <x v="0"/>
    <x v="2"/>
    <n v="226450"/>
  </r>
  <r>
    <x v="255"/>
    <x v="0"/>
    <x v="0"/>
    <x v="3"/>
    <n v="4500"/>
  </r>
  <r>
    <x v="255"/>
    <x v="0"/>
    <x v="0"/>
    <x v="4"/>
    <n v="8000"/>
  </r>
  <r>
    <x v="255"/>
    <x v="0"/>
    <x v="9"/>
    <x v="0"/>
    <n v="1387307"/>
  </r>
  <r>
    <x v="255"/>
    <x v="0"/>
    <x v="9"/>
    <x v="2"/>
    <n v="436362"/>
  </r>
  <r>
    <x v="255"/>
    <x v="0"/>
    <x v="1"/>
    <x v="0"/>
    <n v="4983834"/>
  </r>
  <r>
    <x v="255"/>
    <x v="0"/>
    <x v="1"/>
    <x v="1"/>
    <n v="314217"/>
  </r>
  <r>
    <x v="255"/>
    <x v="0"/>
    <x v="1"/>
    <x v="2"/>
    <n v="1705625"/>
  </r>
  <r>
    <x v="255"/>
    <x v="0"/>
    <x v="1"/>
    <x v="3"/>
    <n v="30800"/>
  </r>
  <r>
    <x v="255"/>
    <x v="0"/>
    <x v="1"/>
    <x v="4"/>
    <n v="37650"/>
  </r>
  <r>
    <x v="255"/>
    <x v="0"/>
    <x v="1"/>
    <x v="5"/>
    <n v="2950"/>
  </r>
  <r>
    <x v="255"/>
    <x v="0"/>
    <x v="2"/>
    <x v="6"/>
    <n v="65000"/>
  </r>
  <r>
    <x v="255"/>
    <x v="0"/>
    <x v="2"/>
    <x v="0"/>
    <n v="6239333"/>
  </r>
  <r>
    <x v="255"/>
    <x v="0"/>
    <x v="2"/>
    <x v="1"/>
    <n v="7068685"/>
  </r>
  <r>
    <x v="255"/>
    <x v="0"/>
    <x v="2"/>
    <x v="2"/>
    <n v="6275607"/>
  </r>
  <r>
    <x v="255"/>
    <x v="0"/>
    <x v="2"/>
    <x v="3"/>
    <n v="26700"/>
  </r>
  <r>
    <x v="255"/>
    <x v="0"/>
    <x v="2"/>
    <x v="4"/>
    <n v="2813468"/>
  </r>
  <r>
    <x v="255"/>
    <x v="0"/>
    <x v="2"/>
    <x v="5"/>
    <n v="24200"/>
  </r>
  <r>
    <x v="255"/>
    <x v="0"/>
    <x v="8"/>
    <x v="4"/>
    <n v="285000"/>
  </r>
  <r>
    <x v="255"/>
    <x v="0"/>
    <x v="3"/>
    <x v="0"/>
    <n v="207609"/>
  </r>
  <r>
    <x v="255"/>
    <x v="0"/>
    <x v="3"/>
    <x v="1"/>
    <n v="144871"/>
  </r>
  <r>
    <x v="255"/>
    <x v="0"/>
    <x v="3"/>
    <x v="2"/>
    <n v="88743"/>
  </r>
  <r>
    <x v="255"/>
    <x v="0"/>
    <x v="4"/>
    <x v="4"/>
    <n v="19425"/>
  </r>
  <r>
    <x v="255"/>
    <x v="0"/>
    <x v="5"/>
    <x v="3"/>
    <n v="63000"/>
  </r>
  <r>
    <x v="255"/>
    <x v="0"/>
    <x v="5"/>
    <x v="4"/>
    <n v="19000"/>
  </r>
  <r>
    <x v="255"/>
    <x v="0"/>
    <x v="6"/>
    <x v="0"/>
    <n v="253521"/>
  </r>
  <r>
    <x v="255"/>
    <x v="0"/>
    <x v="6"/>
    <x v="2"/>
    <n v="40272"/>
  </r>
  <r>
    <x v="255"/>
    <x v="1"/>
    <x v="0"/>
    <x v="0"/>
    <n v="60948"/>
  </r>
  <r>
    <x v="255"/>
    <x v="1"/>
    <x v="0"/>
    <x v="2"/>
    <n v="14978"/>
  </r>
  <r>
    <x v="255"/>
    <x v="1"/>
    <x v="2"/>
    <x v="0"/>
    <n v="1300885"/>
  </r>
  <r>
    <x v="255"/>
    <x v="1"/>
    <x v="2"/>
    <x v="1"/>
    <n v="108489"/>
  </r>
  <r>
    <x v="255"/>
    <x v="1"/>
    <x v="2"/>
    <x v="2"/>
    <n v="467992"/>
  </r>
  <r>
    <x v="255"/>
    <x v="1"/>
    <x v="2"/>
    <x v="3"/>
    <n v="3078"/>
  </r>
  <r>
    <x v="255"/>
    <x v="1"/>
    <x v="3"/>
    <x v="0"/>
    <n v="151929"/>
  </r>
  <r>
    <x v="255"/>
    <x v="1"/>
    <x v="3"/>
    <x v="2"/>
    <n v="40183"/>
  </r>
  <r>
    <x v="254"/>
    <x v="1"/>
    <x v="1"/>
    <x v="4"/>
    <n v="19867"/>
  </r>
  <r>
    <x v="256"/>
    <x v="0"/>
    <x v="0"/>
    <x v="0"/>
    <n v="585270"/>
  </r>
  <r>
    <x v="256"/>
    <x v="0"/>
    <x v="0"/>
    <x v="1"/>
    <n v="85860"/>
  </r>
  <r>
    <x v="256"/>
    <x v="0"/>
    <x v="0"/>
    <x v="2"/>
    <n v="207359"/>
  </r>
  <r>
    <x v="256"/>
    <x v="0"/>
    <x v="11"/>
    <x v="1"/>
    <n v="121473"/>
  </r>
  <r>
    <x v="256"/>
    <x v="0"/>
    <x v="11"/>
    <x v="2"/>
    <n v="62110"/>
  </r>
  <r>
    <x v="256"/>
    <x v="0"/>
    <x v="9"/>
    <x v="0"/>
    <n v="133475"/>
  </r>
  <r>
    <x v="256"/>
    <x v="0"/>
    <x v="9"/>
    <x v="1"/>
    <n v="256175"/>
  </r>
  <r>
    <x v="256"/>
    <x v="0"/>
    <x v="9"/>
    <x v="2"/>
    <n v="174786"/>
  </r>
  <r>
    <x v="256"/>
    <x v="0"/>
    <x v="7"/>
    <x v="1"/>
    <n v="179999"/>
  </r>
  <r>
    <x v="256"/>
    <x v="0"/>
    <x v="7"/>
    <x v="2"/>
    <n v="158626"/>
  </r>
  <r>
    <x v="256"/>
    <x v="0"/>
    <x v="1"/>
    <x v="0"/>
    <n v="2071385"/>
  </r>
  <r>
    <x v="256"/>
    <x v="0"/>
    <x v="1"/>
    <x v="1"/>
    <n v="41792"/>
  </r>
  <r>
    <x v="256"/>
    <x v="0"/>
    <x v="1"/>
    <x v="2"/>
    <n v="735076"/>
  </r>
  <r>
    <x v="256"/>
    <x v="0"/>
    <x v="1"/>
    <x v="3"/>
    <n v="7000"/>
  </r>
  <r>
    <x v="256"/>
    <x v="0"/>
    <x v="1"/>
    <x v="4"/>
    <n v="612000"/>
  </r>
  <r>
    <x v="256"/>
    <x v="0"/>
    <x v="2"/>
    <x v="0"/>
    <n v="3854678"/>
  </r>
  <r>
    <x v="256"/>
    <x v="0"/>
    <x v="2"/>
    <x v="1"/>
    <n v="1425753"/>
  </r>
  <r>
    <x v="256"/>
    <x v="0"/>
    <x v="2"/>
    <x v="2"/>
    <n v="2264758"/>
  </r>
  <r>
    <x v="256"/>
    <x v="0"/>
    <x v="2"/>
    <x v="3"/>
    <n v="96620"/>
  </r>
  <r>
    <x v="256"/>
    <x v="0"/>
    <x v="2"/>
    <x v="4"/>
    <n v="17000"/>
  </r>
  <r>
    <x v="256"/>
    <x v="0"/>
    <x v="2"/>
    <x v="5"/>
    <n v="12000"/>
  </r>
  <r>
    <x v="256"/>
    <x v="0"/>
    <x v="3"/>
    <x v="0"/>
    <n v="4500"/>
  </r>
  <r>
    <x v="256"/>
    <x v="0"/>
    <x v="3"/>
    <x v="1"/>
    <n v="3448"/>
  </r>
  <r>
    <x v="256"/>
    <x v="0"/>
    <x v="3"/>
    <x v="2"/>
    <n v="1511"/>
  </r>
  <r>
    <x v="256"/>
    <x v="0"/>
    <x v="3"/>
    <x v="4"/>
    <n v="10000"/>
  </r>
  <r>
    <x v="256"/>
    <x v="0"/>
    <x v="3"/>
    <x v="5"/>
    <n v="2000"/>
  </r>
  <r>
    <x v="256"/>
    <x v="0"/>
    <x v="5"/>
    <x v="3"/>
    <n v="11000"/>
  </r>
  <r>
    <x v="256"/>
    <x v="0"/>
    <x v="6"/>
    <x v="0"/>
    <n v="91629"/>
  </r>
  <r>
    <x v="256"/>
    <x v="0"/>
    <x v="6"/>
    <x v="2"/>
    <n v="16447"/>
  </r>
  <r>
    <x v="256"/>
    <x v="1"/>
    <x v="2"/>
    <x v="1"/>
    <n v="785725"/>
  </r>
  <r>
    <x v="256"/>
    <x v="1"/>
    <x v="2"/>
    <x v="2"/>
    <n v="554796"/>
  </r>
  <r>
    <x v="256"/>
    <x v="1"/>
    <x v="2"/>
    <x v="3"/>
    <n v="30000"/>
  </r>
  <r>
    <x v="256"/>
    <x v="1"/>
    <x v="3"/>
    <x v="4"/>
    <n v="1000"/>
  </r>
  <r>
    <x v="257"/>
    <x v="0"/>
    <x v="8"/>
    <x v="4"/>
    <n v="1259520"/>
  </r>
  <r>
    <x v="258"/>
    <x v="0"/>
    <x v="0"/>
    <x v="0"/>
    <n v="305402"/>
  </r>
  <r>
    <x v="258"/>
    <x v="0"/>
    <x v="0"/>
    <x v="1"/>
    <n v="160443"/>
  </r>
  <r>
    <x v="258"/>
    <x v="0"/>
    <x v="0"/>
    <x v="2"/>
    <n v="153248"/>
  </r>
  <r>
    <x v="258"/>
    <x v="0"/>
    <x v="0"/>
    <x v="3"/>
    <n v="4500"/>
  </r>
  <r>
    <x v="258"/>
    <x v="0"/>
    <x v="0"/>
    <x v="4"/>
    <n v="1350"/>
  </r>
  <r>
    <x v="258"/>
    <x v="0"/>
    <x v="0"/>
    <x v="5"/>
    <n v="1620"/>
  </r>
  <r>
    <x v="258"/>
    <x v="0"/>
    <x v="7"/>
    <x v="1"/>
    <n v="187274"/>
  </r>
  <r>
    <x v="258"/>
    <x v="0"/>
    <x v="7"/>
    <x v="2"/>
    <n v="156881"/>
  </r>
  <r>
    <x v="258"/>
    <x v="0"/>
    <x v="1"/>
    <x v="0"/>
    <n v="1117202"/>
  </r>
  <r>
    <x v="258"/>
    <x v="0"/>
    <x v="1"/>
    <x v="1"/>
    <n v="389084"/>
  </r>
  <r>
    <x v="258"/>
    <x v="0"/>
    <x v="1"/>
    <x v="2"/>
    <n v="572525"/>
  </r>
  <r>
    <x v="258"/>
    <x v="0"/>
    <x v="1"/>
    <x v="3"/>
    <n v="22500"/>
  </r>
  <r>
    <x v="258"/>
    <x v="0"/>
    <x v="1"/>
    <x v="4"/>
    <n v="1000000"/>
  </r>
  <r>
    <x v="258"/>
    <x v="0"/>
    <x v="2"/>
    <x v="0"/>
    <n v="4312109"/>
  </r>
  <r>
    <x v="258"/>
    <x v="0"/>
    <x v="2"/>
    <x v="1"/>
    <n v="1138187"/>
  </r>
  <r>
    <x v="258"/>
    <x v="0"/>
    <x v="2"/>
    <x v="2"/>
    <n v="1888827"/>
  </r>
  <r>
    <x v="258"/>
    <x v="0"/>
    <x v="2"/>
    <x v="3"/>
    <n v="134997"/>
  </r>
  <r>
    <x v="258"/>
    <x v="0"/>
    <x v="2"/>
    <x v="4"/>
    <n v="45000"/>
  </r>
  <r>
    <x v="258"/>
    <x v="0"/>
    <x v="2"/>
    <x v="5"/>
    <n v="1800"/>
  </r>
  <r>
    <x v="258"/>
    <x v="0"/>
    <x v="3"/>
    <x v="0"/>
    <n v="251445"/>
  </r>
  <r>
    <x v="258"/>
    <x v="0"/>
    <x v="3"/>
    <x v="2"/>
    <n v="41255"/>
  </r>
  <r>
    <x v="258"/>
    <x v="0"/>
    <x v="3"/>
    <x v="4"/>
    <n v="7200"/>
  </r>
  <r>
    <x v="258"/>
    <x v="0"/>
    <x v="3"/>
    <x v="5"/>
    <n v="1800"/>
  </r>
  <r>
    <x v="258"/>
    <x v="0"/>
    <x v="6"/>
    <x v="0"/>
    <n v="5152"/>
  </r>
  <r>
    <x v="258"/>
    <x v="0"/>
    <x v="6"/>
    <x v="2"/>
    <n v="838"/>
  </r>
  <r>
    <x v="258"/>
    <x v="1"/>
    <x v="0"/>
    <x v="1"/>
    <n v="64240"/>
  </r>
  <r>
    <x v="258"/>
    <x v="1"/>
    <x v="0"/>
    <x v="2"/>
    <n v="25982"/>
  </r>
  <r>
    <x v="258"/>
    <x v="1"/>
    <x v="2"/>
    <x v="1"/>
    <n v="846134"/>
  </r>
  <r>
    <x v="258"/>
    <x v="1"/>
    <x v="2"/>
    <x v="2"/>
    <n v="515483"/>
  </r>
  <r>
    <x v="259"/>
    <x v="0"/>
    <x v="1"/>
    <x v="4"/>
    <n v="192000"/>
  </r>
  <r>
    <x v="259"/>
    <x v="0"/>
    <x v="2"/>
    <x v="0"/>
    <n v="161446"/>
  </r>
  <r>
    <x v="259"/>
    <x v="0"/>
    <x v="2"/>
    <x v="1"/>
    <n v="264291"/>
  </r>
  <r>
    <x v="259"/>
    <x v="0"/>
    <x v="2"/>
    <x v="2"/>
    <n v="231414"/>
  </r>
  <r>
    <x v="259"/>
    <x v="0"/>
    <x v="2"/>
    <x v="3"/>
    <n v="1600"/>
  </r>
  <r>
    <x v="259"/>
    <x v="0"/>
    <x v="2"/>
    <x v="4"/>
    <n v="120000"/>
  </r>
  <r>
    <x v="259"/>
    <x v="0"/>
    <x v="3"/>
    <x v="4"/>
    <n v="500"/>
  </r>
  <r>
    <x v="259"/>
    <x v="0"/>
    <x v="3"/>
    <x v="5"/>
    <n v="299"/>
  </r>
  <r>
    <x v="259"/>
    <x v="1"/>
    <x v="1"/>
    <x v="4"/>
    <n v="130335"/>
  </r>
  <r>
    <x v="259"/>
    <x v="1"/>
    <x v="2"/>
    <x v="3"/>
    <n v="8311"/>
  </r>
  <r>
    <x v="260"/>
    <x v="0"/>
    <x v="8"/>
    <x v="4"/>
    <n v="589747"/>
  </r>
  <r>
    <x v="261"/>
    <x v="0"/>
    <x v="0"/>
    <x v="0"/>
    <n v="161343"/>
  </r>
  <r>
    <x v="261"/>
    <x v="0"/>
    <x v="0"/>
    <x v="1"/>
    <n v="90521"/>
  </r>
  <r>
    <x v="261"/>
    <x v="0"/>
    <x v="0"/>
    <x v="2"/>
    <n v="85732"/>
  </r>
  <r>
    <x v="261"/>
    <x v="0"/>
    <x v="0"/>
    <x v="3"/>
    <n v="14000"/>
  </r>
  <r>
    <x v="261"/>
    <x v="0"/>
    <x v="0"/>
    <x v="4"/>
    <n v="3000"/>
  </r>
  <r>
    <x v="261"/>
    <x v="0"/>
    <x v="7"/>
    <x v="1"/>
    <n v="67534"/>
  </r>
  <r>
    <x v="261"/>
    <x v="0"/>
    <x v="7"/>
    <x v="2"/>
    <n v="38373"/>
  </r>
  <r>
    <x v="261"/>
    <x v="0"/>
    <x v="1"/>
    <x v="0"/>
    <n v="892093"/>
  </r>
  <r>
    <x v="261"/>
    <x v="0"/>
    <x v="1"/>
    <x v="1"/>
    <n v="239644"/>
  </r>
  <r>
    <x v="261"/>
    <x v="0"/>
    <x v="1"/>
    <x v="2"/>
    <n v="371937"/>
  </r>
  <r>
    <x v="261"/>
    <x v="0"/>
    <x v="1"/>
    <x v="4"/>
    <n v="8659"/>
  </r>
  <r>
    <x v="261"/>
    <x v="0"/>
    <x v="2"/>
    <x v="0"/>
    <n v="1737847"/>
  </r>
  <r>
    <x v="261"/>
    <x v="0"/>
    <x v="2"/>
    <x v="1"/>
    <n v="906337"/>
  </r>
  <r>
    <x v="261"/>
    <x v="0"/>
    <x v="2"/>
    <x v="2"/>
    <n v="1120026"/>
  </r>
  <r>
    <x v="261"/>
    <x v="0"/>
    <x v="2"/>
    <x v="3"/>
    <n v="1500"/>
  </r>
  <r>
    <x v="261"/>
    <x v="0"/>
    <x v="3"/>
    <x v="0"/>
    <n v="4500"/>
  </r>
  <r>
    <x v="261"/>
    <x v="0"/>
    <x v="3"/>
    <x v="1"/>
    <n v="3500"/>
  </r>
  <r>
    <x v="261"/>
    <x v="0"/>
    <x v="3"/>
    <x v="2"/>
    <n v="1801"/>
  </r>
  <r>
    <x v="261"/>
    <x v="0"/>
    <x v="3"/>
    <x v="4"/>
    <n v="5000"/>
  </r>
  <r>
    <x v="261"/>
    <x v="0"/>
    <x v="3"/>
    <x v="5"/>
    <n v="4500"/>
  </r>
  <r>
    <x v="261"/>
    <x v="0"/>
    <x v="6"/>
    <x v="0"/>
    <n v="23136"/>
  </r>
  <r>
    <x v="261"/>
    <x v="0"/>
    <x v="6"/>
    <x v="2"/>
    <n v="6703"/>
  </r>
  <r>
    <x v="261"/>
    <x v="1"/>
    <x v="1"/>
    <x v="1"/>
    <n v="365126"/>
  </r>
  <r>
    <x v="261"/>
    <x v="1"/>
    <x v="1"/>
    <x v="2"/>
    <n v="211838"/>
  </r>
  <r>
    <x v="261"/>
    <x v="1"/>
    <x v="1"/>
    <x v="3"/>
    <n v="2544"/>
  </r>
  <r>
    <x v="261"/>
    <x v="1"/>
    <x v="1"/>
    <x v="4"/>
    <n v="2544"/>
  </r>
  <r>
    <x v="261"/>
    <x v="1"/>
    <x v="2"/>
    <x v="1"/>
    <n v="143382"/>
  </r>
  <r>
    <x v="261"/>
    <x v="1"/>
    <x v="2"/>
    <x v="2"/>
    <n v="88427"/>
  </r>
  <r>
    <x v="261"/>
    <x v="1"/>
    <x v="3"/>
    <x v="0"/>
    <n v="350"/>
  </r>
  <r>
    <x v="261"/>
    <x v="1"/>
    <x v="3"/>
    <x v="1"/>
    <n v="350"/>
  </r>
  <r>
    <x v="261"/>
    <x v="1"/>
    <x v="3"/>
    <x v="2"/>
    <n v="101"/>
  </r>
  <r>
    <x v="261"/>
    <x v="1"/>
    <x v="3"/>
    <x v="3"/>
    <n v="2417"/>
  </r>
  <r>
    <x v="261"/>
    <x v="1"/>
    <x v="3"/>
    <x v="4"/>
    <n v="2416"/>
  </r>
  <r>
    <x v="261"/>
    <x v="2"/>
    <x v="2"/>
    <x v="4"/>
    <n v="140080"/>
  </r>
  <r>
    <x v="262"/>
    <x v="0"/>
    <x v="0"/>
    <x v="6"/>
    <n v="5000"/>
  </r>
  <r>
    <x v="262"/>
    <x v="0"/>
    <x v="0"/>
    <x v="0"/>
    <n v="247652"/>
  </r>
  <r>
    <x v="262"/>
    <x v="0"/>
    <x v="0"/>
    <x v="1"/>
    <n v="103168"/>
  </r>
  <r>
    <x v="262"/>
    <x v="0"/>
    <x v="0"/>
    <x v="2"/>
    <n v="92281"/>
  </r>
  <r>
    <x v="262"/>
    <x v="0"/>
    <x v="0"/>
    <x v="3"/>
    <n v="4000"/>
  </r>
  <r>
    <x v="262"/>
    <x v="0"/>
    <x v="0"/>
    <x v="4"/>
    <n v="1000"/>
  </r>
  <r>
    <x v="262"/>
    <x v="0"/>
    <x v="0"/>
    <x v="5"/>
    <n v="500"/>
  </r>
  <r>
    <x v="262"/>
    <x v="0"/>
    <x v="9"/>
    <x v="0"/>
    <n v="67217"/>
  </r>
  <r>
    <x v="262"/>
    <x v="0"/>
    <x v="9"/>
    <x v="2"/>
    <n v="20745"/>
  </r>
  <r>
    <x v="262"/>
    <x v="0"/>
    <x v="7"/>
    <x v="1"/>
    <n v="177275"/>
  </r>
  <r>
    <x v="262"/>
    <x v="0"/>
    <x v="7"/>
    <x v="2"/>
    <n v="161098"/>
  </r>
  <r>
    <x v="262"/>
    <x v="0"/>
    <x v="1"/>
    <x v="0"/>
    <n v="1710956"/>
  </r>
  <r>
    <x v="262"/>
    <x v="0"/>
    <x v="1"/>
    <x v="2"/>
    <n v="589876"/>
  </r>
  <r>
    <x v="262"/>
    <x v="0"/>
    <x v="1"/>
    <x v="3"/>
    <n v="36000"/>
  </r>
  <r>
    <x v="262"/>
    <x v="0"/>
    <x v="1"/>
    <x v="4"/>
    <n v="79550"/>
  </r>
  <r>
    <x v="262"/>
    <x v="0"/>
    <x v="1"/>
    <x v="5"/>
    <n v="1500"/>
  </r>
  <r>
    <x v="262"/>
    <x v="0"/>
    <x v="2"/>
    <x v="6"/>
    <n v="1800"/>
  </r>
  <r>
    <x v="262"/>
    <x v="0"/>
    <x v="2"/>
    <x v="0"/>
    <n v="2211062"/>
  </r>
  <r>
    <x v="262"/>
    <x v="0"/>
    <x v="2"/>
    <x v="1"/>
    <n v="2222392"/>
  </r>
  <r>
    <x v="262"/>
    <x v="0"/>
    <x v="2"/>
    <x v="2"/>
    <n v="1835342"/>
  </r>
  <r>
    <x v="262"/>
    <x v="0"/>
    <x v="2"/>
    <x v="3"/>
    <n v="31650"/>
  </r>
  <r>
    <x v="262"/>
    <x v="0"/>
    <x v="2"/>
    <x v="4"/>
    <n v="144000"/>
  </r>
  <r>
    <x v="262"/>
    <x v="0"/>
    <x v="8"/>
    <x v="4"/>
    <n v="8500"/>
  </r>
  <r>
    <x v="262"/>
    <x v="0"/>
    <x v="3"/>
    <x v="0"/>
    <n v="209526"/>
  </r>
  <r>
    <x v="262"/>
    <x v="0"/>
    <x v="3"/>
    <x v="1"/>
    <n v="15400"/>
  </r>
  <r>
    <x v="262"/>
    <x v="0"/>
    <x v="3"/>
    <x v="2"/>
    <n v="37022"/>
  </r>
  <r>
    <x v="262"/>
    <x v="0"/>
    <x v="3"/>
    <x v="3"/>
    <n v="5500"/>
  </r>
  <r>
    <x v="262"/>
    <x v="0"/>
    <x v="3"/>
    <x v="4"/>
    <n v="24000"/>
  </r>
  <r>
    <x v="262"/>
    <x v="0"/>
    <x v="3"/>
    <x v="5"/>
    <n v="1500"/>
  </r>
  <r>
    <x v="262"/>
    <x v="0"/>
    <x v="5"/>
    <x v="3"/>
    <n v="37050"/>
  </r>
  <r>
    <x v="262"/>
    <x v="0"/>
    <x v="6"/>
    <x v="0"/>
    <n v="93957"/>
  </r>
  <r>
    <x v="262"/>
    <x v="0"/>
    <x v="6"/>
    <x v="2"/>
    <n v="30908"/>
  </r>
  <r>
    <x v="263"/>
    <x v="0"/>
    <x v="0"/>
    <x v="0"/>
    <n v="1416292"/>
  </r>
  <r>
    <x v="263"/>
    <x v="0"/>
    <x v="0"/>
    <x v="1"/>
    <n v="396759"/>
  </r>
  <r>
    <x v="263"/>
    <x v="0"/>
    <x v="0"/>
    <x v="2"/>
    <n v="484664"/>
  </r>
  <r>
    <x v="263"/>
    <x v="0"/>
    <x v="7"/>
    <x v="1"/>
    <n v="533090"/>
  </r>
  <r>
    <x v="263"/>
    <x v="0"/>
    <x v="7"/>
    <x v="2"/>
    <n v="308253"/>
  </r>
  <r>
    <x v="263"/>
    <x v="0"/>
    <x v="1"/>
    <x v="0"/>
    <n v="17002865"/>
  </r>
  <r>
    <x v="263"/>
    <x v="0"/>
    <x v="1"/>
    <x v="1"/>
    <n v="618990"/>
  </r>
  <r>
    <x v="263"/>
    <x v="0"/>
    <x v="1"/>
    <x v="2"/>
    <n v="5037119"/>
  </r>
  <r>
    <x v="263"/>
    <x v="0"/>
    <x v="1"/>
    <x v="4"/>
    <n v="1837626"/>
  </r>
  <r>
    <x v="263"/>
    <x v="0"/>
    <x v="2"/>
    <x v="0"/>
    <n v="26020938"/>
  </r>
  <r>
    <x v="263"/>
    <x v="0"/>
    <x v="2"/>
    <x v="1"/>
    <n v="9873485"/>
  </r>
  <r>
    <x v="263"/>
    <x v="0"/>
    <x v="2"/>
    <x v="2"/>
    <n v="12522854"/>
  </r>
  <r>
    <x v="263"/>
    <x v="0"/>
    <x v="2"/>
    <x v="3"/>
    <n v="70000"/>
  </r>
  <r>
    <x v="263"/>
    <x v="0"/>
    <x v="2"/>
    <x v="4"/>
    <n v="1755784"/>
  </r>
  <r>
    <x v="263"/>
    <x v="0"/>
    <x v="2"/>
    <x v="5"/>
    <n v="30000"/>
  </r>
  <r>
    <x v="263"/>
    <x v="0"/>
    <x v="3"/>
    <x v="0"/>
    <n v="997114"/>
  </r>
  <r>
    <x v="263"/>
    <x v="0"/>
    <x v="3"/>
    <x v="1"/>
    <n v="136198"/>
  </r>
  <r>
    <x v="263"/>
    <x v="0"/>
    <x v="3"/>
    <x v="2"/>
    <n v="293934"/>
  </r>
  <r>
    <x v="263"/>
    <x v="0"/>
    <x v="5"/>
    <x v="1"/>
    <n v="86737"/>
  </r>
  <r>
    <x v="263"/>
    <x v="0"/>
    <x v="5"/>
    <x v="2"/>
    <n v="30781"/>
  </r>
  <r>
    <x v="263"/>
    <x v="0"/>
    <x v="6"/>
    <x v="0"/>
    <n v="453771"/>
  </r>
  <r>
    <x v="263"/>
    <x v="0"/>
    <x v="6"/>
    <x v="2"/>
    <n v="74964"/>
  </r>
  <r>
    <x v="263"/>
    <x v="1"/>
    <x v="2"/>
    <x v="0"/>
    <n v="65433"/>
  </r>
  <r>
    <x v="263"/>
    <x v="1"/>
    <x v="2"/>
    <x v="1"/>
    <n v="4885369"/>
  </r>
  <r>
    <x v="263"/>
    <x v="1"/>
    <x v="2"/>
    <x v="2"/>
    <n v="2576556"/>
  </r>
  <r>
    <x v="263"/>
    <x v="1"/>
    <x v="2"/>
    <x v="3"/>
    <n v="134644"/>
  </r>
  <r>
    <x v="263"/>
    <x v="1"/>
    <x v="3"/>
    <x v="0"/>
    <n v="683"/>
  </r>
  <r>
    <x v="263"/>
    <x v="1"/>
    <x v="3"/>
    <x v="1"/>
    <n v="62606"/>
  </r>
  <r>
    <x v="263"/>
    <x v="1"/>
    <x v="3"/>
    <x v="2"/>
    <n v="10690"/>
  </r>
  <r>
    <x v="262"/>
    <x v="1"/>
    <x v="1"/>
    <x v="0"/>
    <n v="201431"/>
  </r>
  <r>
    <x v="262"/>
    <x v="1"/>
    <x v="1"/>
    <x v="2"/>
    <n v="79610"/>
  </r>
  <r>
    <x v="262"/>
    <x v="1"/>
    <x v="2"/>
    <x v="0"/>
    <n v="433110"/>
  </r>
  <r>
    <x v="262"/>
    <x v="1"/>
    <x v="2"/>
    <x v="2"/>
    <n v="138596"/>
  </r>
  <r>
    <x v="262"/>
    <x v="1"/>
    <x v="3"/>
    <x v="0"/>
    <n v="26093"/>
  </r>
  <r>
    <x v="262"/>
    <x v="1"/>
    <x v="3"/>
    <x v="2"/>
    <n v="4237"/>
  </r>
  <r>
    <x v="262"/>
    <x v="3"/>
    <x v="2"/>
    <x v="3"/>
    <n v="1"/>
  </r>
  <r>
    <x v="264"/>
    <x v="0"/>
    <x v="2"/>
    <x v="4"/>
    <n v="260000"/>
  </r>
  <r>
    <x v="265"/>
    <x v="0"/>
    <x v="0"/>
    <x v="0"/>
    <n v="100860"/>
  </r>
  <r>
    <x v="265"/>
    <x v="0"/>
    <x v="0"/>
    <x v="1"/>
    <n v="35609"/>
  </r>
  <r>
    <x v="265"/>
    <x v="0"/>
    <x v="0"/>
    <x v="2"/>
    <n v="48399"/>
  </r>
  <r>
    <x v="265"/>
    <x v="0"/>
    <x v="0"/>
    <x v="3"/>
    <n v="7501"/>
  </r>
  <r>
    <x v="265"/>
    <x v="0"/>
    <x v="0"/>
    <x v="4"/>
    <n v="12200"/>
  </r>
  <r>
    <x v="265"/>
    <x v="0"/>
    <x v="0"/>
    <x v="5"/>
    <n v="1500"/>
  </r>
  <r>
    <x v="265"/>
    <x v="0"/>
    <x v="1"/>
    <x v="0"/>
    <n v="237088"/>
  </r>
  <r>
    <x v="265"/>
    <x v="0"/>
    <x v="1"/>
    <x v="1"/>
    <n v="75734"/>
  </r>
  <r>
    <x v="265"/>
    <x v="0"/>
    <x v="1"/>
    <x v="2"/>
    <n v="106900"/>
  </r>
  <r>
    <x v="265"/>
    <x v="0"/>
    <x v="1"/>
    <x v="3"/>
    <n v="3000"/>
  </r>
  <r>
    <x v="265"/>
    <x v="0"/>
    <x v="1"/>
    <x v="4"/>
    <n v="189771"/>
  </r>
  <r>
    <x v="265"/>
    <x v="0"/>
    <x v="2"/>
    <x v="0"/>
    <n v="525067"/>
  </r>
  <r>
    <x v="265"/>
    <x v="0"/>
    <x v="2"/>
    <x v="1"/>
    <n v="201762"/>
  </r>
  <r>
    <x v="265"/>
    <x v="0"/>
    <x v="2"/>
    <x v="2"/>
    <n v="356742"/>
  </r>
  <r>
    <x v="265"/>
    <x v="0"/>
    <x v="2"/>
    <x v="3"/>
    <n v="7586"/>
  </r>
  <r>
    <x v="265"/>
    <x v="0"/>
    <x v="2"/>
    <x v="4"/>
    <n v="92500"/>
  </r>
  <r>
    <x v="265"/>
    <x v="0"/>
    <x v="2"/>
    <x v="5"/>
    <n v="1500"/>
  </r>
  <r>
    <x v="265"/>
    <x v="0"/>
    <x v="3"/>
    <x v="0"/>
    <n v="12184"/>
  </r>
  <r>
    <x v="265"/>
    <x v="0"/>
    <x v="3"/>
    <x v="2"/>
    <n v="1076"/>
  </r>
  <r>
    <x v="265"/>
    <x v="0"/>
    <x v="3"/>
    <x v="4"/>
    <n v="42500"/>
  </r>
  <r>
    <x v="265"/>
    <x v="0"/>
    <x v="3"/>
    <x v="5"/>
    <n v="3000"/>
  </r>
  <r>
    <x v="265"/>
    <x v="0"/>
    <x v="4"/>
    <x v="3"/>
    <n v="6000"/>
  </r>
  <r>
    <x v="265"/>
    <x v="0"/>
    <x v="4"/>
    <x v="4"/>
    <n v="10500"/>
  </r>
  <r>
    <x v="265"/>
    <x v="0"/>
    <x v="5"/>
    <x v="3"/>
    <n v="3000"/>
  </r>
  <r>
    <x v="265"/>
    <x v="1"/>
    <x v="0"/>
    <x v="0"/>
    <n v="12608"/>
  </r>
  <r>
    <x v="265"/>
    <x v="1"/>
    <x v="0"/>
    <x v="2"/>
    <n v="3605"/>
  </r>
  <r>
    <x v="265"/>
    <x v="1"/>
    <x v="0"/>
    <x v="3"/>
    <n v="4525"/>
  </r>
  <r>
    <x v="265"/>
    <x v="1"/>
    <x v="0"/>
    <x v="4"/>
    <n v="2000"/>
  </r>
  <r>
    <x v="265"/>
    <x v="1"/>
    <x v="2"/>
    <x v="0"/>
    <n v="67599"/>
  </r>
  <r>
    <x v="265"/>
    <x v="1"/>
    <x v="2"/>
    <x v="1"/>
    <n v="129437"/>
  </r>
  <r>
    <x v="265"/>
    <x v="1"/>
    <x v="2"/>
    <x v="2"/>
    <n v="71832"/>
  </r>
  <r>
    <x v="265"/>
    <x v="1"/>
    <x v="2"/>
    <x v="3"/>
    <n v="4837"/>
  </r>
  <r>
    <x v="265"/>
    <x v="1"/>
    <x v="2"/>
    <x v="4"/>
    <n v="4530"/>
  </r>
  <r>
    <x v="265"/>
    <x v="1"/>
    <x v="3"/>
    <x v="0"/>
    <n v="271"/>
  </r>
  <r>
    <x v="265"/>
    <x v="1"/>
    <x v="3"/>
    <x v="2"/>
    <n v="47"/>
  </r>
  <r>
    <x v="265"/>
    <x v="1"/>
    <x v="3"/>
    <x v="4"/>
    <n v="2000"/>
  </r>
  <r>
    <x v="265"/>
    <x v="1"/>
    <x v="3"/>
    <x v="5"/>
    <n v="3500"/>
  </r>
  <r>
    <x v="266"/>
    <x v="0"/>
    <x v="0"/>
    <x v="0"/>
    <n v="12011"/>
  </r>
  <r>
    <x v="266"/>
    <x v="0"/>
    <x v="0"/>
    <x v="2"/>
    <n v="2121"/>
  </r>
  <r>
    <x v="266"/>
    <x v="0"/>
    <x v="1"/>
    <x v="0"/>
    <n v="168684"/>
  </r>
  <r>
    <x v="266"/>
    <x v="0"/>
    <x v="1"/>
    <x v="2"/>
    <n v="60197"/>
  </r>
  <r>
    <x v="266"/>
    <x v="0"/>
    <x v="2"/>
    <x v="0"/>
    <n v="155124"/>
  </r>
  <r>
    <x v="266"/>
    <x v="0"/>
    <x v="2"/>
    <x v="1"/>
    <n v="221239"/>
  </r>
  <r>
    <x v="266"/>
    <x v="0"/>
    <x v="2"/>
    <x v="2"/>
    <n v="217763"/>
  </r>
  <r>
    <x v="266"/>
    <x v="0"/>
    <x v="2"/>
    <x v="3"/>
    <n v="28032"/>
  </r>
  <r>
    <x v="266"/>
    <x v="0"/>
    <x v="2"/>
    <x v="4"/>
    <n v="198280"/>
  </r>
  <r>
    <x v="267"/>
    <x v="0"/>
    <x v="8"/>
    <x v="4"/>
    <n v="2472540"/>
  </r>
  <r>
    <x v="266"/>
    <x v="1"/>
    <x v="1"/>
    <x v="0"/>
    <n v="48464"/>
  </r>
  <r>
    <x v="266"/>
    <x v="1"/>
    <x v="1"/>
    <x v="2"/>
    <n v="16467"/>
  </r>
  <r>
    <x v="266"/>
    <x v="1"/>
    <x v="1"/>
    <x v="3"/>
    <n v="5000"/>
  </r>
  <r>
    <x v="266"/>
    <x v="1"/>
    <x v="1"/>
    <x v="4"/>
    <n v="29411"/>
  </r>
  <r>
    <x v="266"/>
    <x v="2"/>
    <x v="2"/>
    <x v="0"/>
    <n v="81074"/>
  </r>
  <r>
    <x v="266"/>
    <x v="2"/>
    <x v="2"/>
    <x v="2"/>
    <n v="25547"/>
  </r>
  <r>
    <x v="266"/>
    <x v="2"/>
    <x v="2"/>
    <x v="4"/>
    <n v="10000"/>
  </r>
  <r>
    <x v="266"/>
    <x v="2"/>
    <x v="2"/>
    <x v="5"/>
    <n v="10000"/>
  </r>
  <r>
    <x v="266"/>
    <x v="2"/>
    <x v="3"/>
    <x v="5"/>
    <n v="5150"/>
  </r>
  <r>
    <x v="268"/>
    <x v="0"/>
    <x v="0"/>
    <x v="0"/>
    <n v="34205"/>
  </r>
  <r>
    <x v="268"/>
    <x v="0"/>
    <x v="0"/>
    <x v="2"/>
    <n v="10805"/>
  </r>
  <r>
    <x v="268"/>
    <x v="0"/>
    <x v="0"/>
    <x v="3"/>
    <n v="1000"/>
  </r>
  <r>
    <x v="268"/>
    <x v="0"/>
    <x v="1"/>
    <x v="1"/>
    <n v="61500"/>
  </r>
  <r>
    <x v="268"/>
    <x v="0"/>
    <x v="1"/>
    <x v="2"/>
    <n v="17297"/>
  </r>
  <r>
    <x v="268"/>
    <x v="0"/>
    <x v="1"/>
    <x v="4"/>
    <n v="25000"/>
  </r>
  <r>
    <x v="268"/>
    <x v="0"/>
    <x v="2"/>
    <x v="0"/>
    <n v="174983"/>
  </r>
  <r>
    <x v="268"/>
    <x v="0"/>
    <x v="2"/>
    <x v="1"/>
    <n v="69845"/>
  </r>
  <r>
    <x v="268"/>
    <x v="0"/>
    <x v="2"/>
    <x v="2"/>
    <n v="77545"/>
  </r>
  <r>
    <x v="268"/>
    <x v="0"/>
    <x v="2"/>
    <x v="3"/>
    <n v="32701"/>
  </r>
  <r>
    <x v="268"/>
    <x v="0"/>
    <x v="2"/>
    <x v="5"/>
    <n v="1000"/>
  </r>
  <r>
    <x v="268"/>
    <x v="1"/>
    <x v="1"/>
    <x v="4"/>
    <n v="44000"/>
  </r>
  <r>
    <x v="268"/>
    <x v="2"/>
    <x v="2"/>
    <x v="1"/>
    <n v="39178"/>
  </r>
  <r>
    <x v="268"/>
    <x v="2"/>
    <x v="2"/>
    <x v="2"/>
    <n v="23305"/>
  </r>
  <r>
    <x v="269"/>
    <x v="0"/>
    <x v="0"/>
    <x v="0"/>
    <n v="167055"/>
  </r>
  <r>
    <x v="269"/>
    <x v="0"/>
    <x v="0"/>
    <x v="1"/>
    <n v="71321"/>
  </r>
  <r>
    <x v="269"/>
    <x v="0"/>
    <x v="0"/>
    <x v="2"/>
    <n v="72331"/>
  </r>
  <r>
    <x v="269"/>
    <x v="0"/>
    <x v="7"/>
    <x v="1"/>
    <n v="62138"/>
  </r>
  <r>
    <x v="269"/>
    <x v="0"/>
    <x v="7"/>
    <x v="2"/>
    <n v="51148"/>
  </r>
  <r>
    <x v="269"/>
    <x v="0"/>
    <x v="1"/>
    <x v="0"/>
    <n v="699360"/>
  </r>
  <r>
    <x v="269"/>
    <x v="0"/>
    <x v="1"/>
    <x v="1"/>
    <n v="400"/>
  </r>
  <r>
    <x v="269"/>
    <x v="0"/>
    <x v="1"/>
    <x v="2"/>
    <n v="215698"/>
  </r>
  <r>
    <x v="269"/>
    <x v="0"/>
    <x v="1"/>
    <x v="4"/>
    <n v="86000"/>
  </r>
  <r>
    <x v="269"/>
    <x v="0"/>
    <x v="2"/>
    <x v="6"/>
    <n v="531"/>
  </r>
  <r>
    <x v="269"/>
    <x v="0"/>
    <x v="2"/>
    <x v="0"/>
    <n v="950672"/>
  </r>
  <r>
    <x v="269"/>
    <x v="0"/>
    <x v="2"/>
    <x v="1"/>
    <n v="1050494"/>
  </r>
  <r>
    <x v="269"/>
    <x v="0"/>
    <x v="2"/>
    <x v="2"/>
    <n v="960490"/>
  </r>
  <r>
    <x v="269"/>
    <x v="0"/>
    <x v="2"/>
    <x v="3"/>
    <n v="11397"/>
  </r>
  <r>
    <x v="269"/>
    <x v="0"/>
    <x v="2"/>
    <x v="4"/>
    <n v="457864"/>
  </r>
  <r>
    <x v="269"/>
    <x v="0"/>
    <x v="2"/>
    <x v="5"/>
    <n v="20700"/>
  </r>
  <r>
    <x v="269"/>
    <x v="0"/>
    <x v="3"/>
    <x v="6"/>
    <n v="600"/>
  </r>
  <r>
    <x v="269"/>
    <x v="0"/>
    <x v="3"/>
    <x v="3"/>
    <n v="1"/>
  </r>
  <r>
    <x v="269"/>
    <x v="0"/>
    <x v="3"/>
    <x v="4"/>
    <n v="4000"/>
  </r>
  <r>
    <x v="269"/>
    <x v="0"/>
    <x v="3"/>
    <x v="5"/>
    <n v="1600"/>
  </r>
  <r>
    <x v="269"/>
    <x v="0"/>
    <x v="6"/>
    <x v="0"/>
    <n v="32321"/>
  </r>
  <r>
    <x v="269"/>
    <x v="0"/>
    <x v="6"/>
    <x v="2"/>
    <n v="10692"/>
  </r>
  <r>
    <x v="269"/>
    <x v="1"/>
    <x v="2"/>
    <x v="0"/>
    <n v="238112"/>
  </r>
  <r>
    <x v="269"/>
    <x v="1"/>
    <x v="2"/>
    <x v="1"/>
    <n v="31858"/>
  </r>
  <r>
    <x v="269"/>
    <x v="1"/>
    <x v="2"/>
    <x v="2"/>
    <n v="90553"/>
  </r>
  <r>
    <x v="269"/>
    <x v="1"/>
    <x v="2"/>
    <x v="3"/>
    <n v="4"/>
  </r>
  <r>
    <x v="269"/>
    <x v="1"/>
    <x v="2"/>
    <x v="4"/>
    <n v="3"/>
  </r>
  <r>
    <x v="269"/>
    <x v="1"/>
    <x v="2"/>
    <x v="5"/>
    <n v="1"/>
  </r>
  <r>
    <x v="269"/>
    <x v="1"/>
    <x v="3"/>
    <x v="4"/>
    <n v="1"/>
  </r>
  <r>
    <x v="270"/>
    <x v="0"/>
    <x v="1"/>
    <x v="4"/>
    <n v="366631"/>
  </r>
  <r>
    <x v="270"/>
    <x v="0"/>
    <x v="2"/>
    <x v="1"/>
    <n v="76182"/>
  </r>
  <r>
    <x v="270"/>
    <x v="0"/>
    <x v="2"/>
    <x v="2"/>
    <n v="24493"/>
  </r>
  <r>
    <x v="270"/>
    <x v="1"/>
    <x v="2"/>
    <x v="1"/>
    <n v="23817"/>
  </r>
  <r>
    <x v="270"/>
    <x v="1"/>
    <x v="2"/>
    <x v="2"/>
    <n v="7657"/>
  </r>
  <r>
    <x v="271"/>
    <x v="0"/>
    <x v="0"/>
    <x v="0"/>
    <n v="146939"/>
  </r>
  <r>
    <x v="271"/>
    <x v="0"/>
    <x v="0"/>
    <x v="1"/>
    <n v="70372"/>
  </r>
  <r>
    <x v="271"/>
    <x v="0"/>
    <x v="0"/>
    <x v="2"/>
    <n v="61257"/>
  </r>
  <r>
    <x v="271"/>
    <x v="0"/>
    <x v="0"/>
    <x v="3"/>
    <n v="500"/>
  </r>
  <r>
    <x v="271"/>
    <x v="0"/>
    <x v="0"/>
    <x v="4"/>
    <n v="1000"/>
  </r>
  <r>
    <x v="271"/>
    <x v="0"/>
    <x v="0"/>
    <x v="5"/>
    <n v="500"/>
  </r>
  <r>
    <x v="271"/>
    <x v="0"/>
    <x v="13"/>
    <x v="1"/>
    <n v="500"/>
  </r>
  <r>
    <x v="271"/>
    <x v="0"/>
    <x v="1"/>
    <x v="0"/>
    <n v="1586691"/>
  </r>
  <r>
    <x v="271"/>
    <x v="0"/>
    <x v="1"/>
    <x v="2"/>
    <n v="453961"/>
  </r>
  <r>
    <x v="271"/>
    <x v="0"/>
    <x v="1"/>
    <x v="3"/>
    <n v="12500"/>
  </r>
  <r>
    <x v="271"/>
    <x v="0"/>
    <x v="1"/>
    <x v="4"/>
    <n v="450000"/>
  </r>
  <r>
    <x v="271"/>
    <x v="0"/>
    <x v="1"/>
    <x v="5"/>
    <n v="150"/>
  </r>
  <r>
    <x v="271"/>
    <x v="0"/>
    <x v="2"/>
    <x v="6"/>
    <n v="6000"/>
  </r>
  <r>
    <x v="271"/>
    <x v="0"/>
    <x v="2"/>
    <x v="0"/>
    <n v="1813356"/>
  </r>
  <r>
    <x v="271"/>
    <x v="0"/>
    <x v="2"/>
    <x v="1"/>
    <n v="1664395"/>
  </r>
  <r>
    <x v="271"/>
    <x v="0"/>
    <x v="2"/>
    <x v="2"/>
    <n v="1224985"/>
  </r>
  <r>
    <x v="271"/>
    <x v="0"/>
    <x v="2"/>
    <x v="3"/>
    <n v="23712"/>
  </r>
  <r>
    <x v="271"/>
    <x v="0"/>
    <x v="2"/>
    <x v="4"/>
    <n v="295000"/>
  </r>
  <r>
    <x v="271"/>
    <x v="0"/>
    <x v="2"/>
    <x v="5"/>
    <n v="300"/>
  </r>
  <r>
    <x v="271"/>
    <x v="0"/>
    <x v="8"/>
    <x v="4"/>
    <n v="5000"/>
  </r>
  <r>
    <x v="271"/>
    <x v="0"/>
    <x v="3"/>
    <x v="0"/>
    <n v="334395"/>
  </r>
  <r>
    <x v="271"/>
    <x v="0"/>
    <x v="3"/>
    <x v="2"/>
    <n v="53391"/>
  </r>
  <r>
    <x v="271"/>
    <x v="0"/>
    <x v="3"/>
    <x v="4"/>
    <n v="1000"/>
  </r>
  <r>
    <x v="271"/>
    <x v="0"/>
    <x v="6"/>
    <x v="0"/>
    <n v="52832"/>
  </r>
  <r>
    <x v="271"/>
    <x v="0"/>
    <x v="6"/>
    <x v="2"/>
    <n v="8304"/>
  </r>
  <r>
    <x v="272"/>
    <x v="0"/>
    <x v="0"/>
    <x v="0"/>
    <n v="760549"/>
  </r>
  <r>
    <x v="272"/>
    <x v="0"/>
    <x v="0"/>
    <x v="1"/>
    <n v="188245"/>
  </r>
  <r>
    <x v="272"/>
    <x v="0"/>
    <x v="0"/>
    <x v="2"/>
    <n v="269964"/>
  </r>
  <r>
    <x v="272"/>
    <x v="0"/>
    <x v="0"/>
    <x v="3"/>
    <n v="72000"/>
  </r>
  <r>
    <x v="272"/>
    <x v="0"/>
    <x v="0"/>
    <x v="4"/>
    <n v="29950"/>
  </r>
  <r>
    <x v="272"/>
    <x v="0"/>
    <x v="0"/>
    <x v="5"/>
    <n v="8400"/>
  </r>
  <r>
    <x v="272"/>
    <x v="0"/>
    <x v="1"/>
    <x v="0"/>
    <n v="3779780"/>
  </r>
  <r>
    <x v="272"/>
    <x v="0"/>
    <x v="1"/>
    <x v="1"/>
    <n v="164207"/>
  </r>
  <r>
    <x v="272"/>
    <x v="0"/>
    <x v="1"/>
    <x v="2"/>
    <n v="1183232"/>
  </r>
  <r>
    <x v="271"/>
    <x v="1"/>
    <x v="2"/>
    <x v="0"/>
    <n v="13827"/>
  </r>
  <r>
    <x v="271"/>
    <x v="1"/>
    <x v="2"/>
    <x v="2"/>
    <n v="3303"/>
  </r>
  <r>
    <x v="271"/>
    <x v="1"/>
    <x v="2"/>
    <x v="4"/>
    <n v="627966"/>
  </r>
  <r>
    <x v="271"/>
    <x v="1"/>
    <x v="3"/>
    <x v="0"/>
    <n v="1983"/>
  </r>
  <r>
    <x v="271"/>
    <x v="1"/>
    <x v="3"/>
    <x v="2"/>
    <n v="244"/>
  </r>
  <r>
    <x v="272"/>
    <x v="0"/>
    <x v="1"/>
    <x v="3"/>
    <n v="17750"/>
  </r>
  <r>
    <x v="272"/>
    <x v="0"/>
    <x v="1"/>
    <x v="4"/>
    <n v="705400"/>
  </r>
  <r>
    <x v="272"/>
    <x v="0"/>
    <x v="2"/>
    <x v="6"/>
    <n v="2870"/>
  </r>
  <r>
    <x v="272"/>
    <x v="0"/>
    <x v="2"/>
    <x v="0"/>
    <n v="6537528"/>
  </r>
  <r>
    <x v="272"/>
    <x v="0"/>
    <x v="2"/>
    <x v="1"/>
    <n v="7177864"/>
  </r>
  <r>
    <x v="272"/>
    <x v="0"/>
    <x v="2"/>
    <x v="2"/>
    <n v="6489947"/>
  </r>
  <r>
    <x v="272"/>
    <x v="0"/>
    <x v="2"/>
    <x v="3"/>
    <n v="81826"/>
  </r>
  <r>
    <x v="272"/>
    <x v="0"/>
    <x v="2"/>
    <x v="4"/>
    <n v="3474000"/>
  </r>
  <r>
    <x v="272"/>
    <x v="0"/>
    <x v="2"/>
    <x v="5"/>
    <n v="1000"/>
  </r>
  <r>
    <x v="272"/>
    <x v="0"/>
    <x v="10"/>
    <x v="4"/>
    <n v="2500"/>
  </r>
  <r>
    <x v="272"/>
    <x v="0"/>
    <x v="10"/>
    <x v="5"/>
    <n v="1850"/>
  </r>
  <r>
    <x v="272"/>
    <x v="0"/>
    <x v="5"/>
    <x v="0"/>
    <n v="30000"/>
  </r>
  <r>
    <x v="272"/>
    <x v="0"/>
    <x v="5"/>
    <x v="2"/>
    <n v="3924"/>
  </r>
  <r>
    <x v="272"/>
    <x v="0"/>
    <x v="5"/>
    <x v="3"/>
    <n v="50500"/>
  </r>
  <r>
    <x v="272"/>
    <x v="0"/>
    <x v="5"/>
    <x v="4"/>
    <n v="15000"/>
  </r>
  <r>
    <x v="273"/>
    <x v="0"/>
    <x v="0"/>
    <x v="0"/>
    <n v="668166"/>
  </r>
  <r>
    <x v="273"/>
    <x v="0"/>
    <x v="0"/>
    <x v="1"/>
    <n v="179059"/>
  </r>
  <r>
    <x v="273"/>
    <x v="0"/>
    <x v="0"/>
    <x v="2"/>
    <n v="288738"/>
  </r>
  <r>
    <x v="273"/>
    <x v="0"/>
    <x v="0"/>
    <x v="3"/>
    <n v="4925"/>
  </r>
  <r>
    <x v="273"/>
    <x v="0"/>
    <x v="0"/>
    <x v="4"/>
    <n v="900"/>
  </r>
  <r>
    <x v="273"/>
    <x v="0"/>
    <x v="9"/>
    <x v="1"/>
    <n v="39520"/>
  </r>
  <r>
    <x v="273"/>
    <x v="0"/>
    <x v="9"/>
    <x v="2"/>
    <n v="22380"/>
  </r>
  <r>
    <x v="273"/>
    <x v="0"/>
    <x v="1"/>
    <x v="0"/>
    <n v="3147643"/>
  </r>
  <r>
    <x v="273"/>
    <x v="0"/>
    <x v="1"/>
    <x v="1"/>
    <n v="95590"/>
  </r>
  <r>
    <x v="273"/>
    <x v="0"/>
    <x v="1"/>
    <x v="2"/>
    <n v="1045668"/>
  </r>
  <r>
    <x v="273"/>
    <x v="0"/>
    <x v="1"/>
    <x v="3"/>
    <n v="31000"/>
  </r>
  <r>
    <x v="273"/>
    <x v="0"/>
    <x v="1"/>
    <x v="4"/>
    <n v="961829"/>
  </r>
  <r>
    <x v="273"/>
    <x v="0"/>
    <x v="1"/>
    <x v="5"/>
    <n v="3000"/>
  </r>
  <r>
    <x v="273"/>
    <x v="0"/>
    <x v="2"/>
    <x v="6"/>
    <n v="5500"/>
  </r>
  <r>
    <x v="273"/>
    <x v="0"/>
    <x v="2"/>
    <x v="0"/>
    <n v="4046447"/>
  </r>
  <r>
    <x v="273"/>
    <x v="0"/>
    <x v="2"/>
    <x v="1"/>
    <n v="3376927"/>
  </r>
  <r>
    <x v="273"/>
    <x v="0"/>
    <x v="2"/>
    <x v="2"/>
    <n v="3858729"/>
  </r>
  <r>
    <x v="273"/>
    <x v="0"/>
    <x v="2"/>
    <x v="3"/>
    <n v="58800"/>
  </r>
  <r>
    <x v="273"/>
    <x v="0"/>
    <x v="2"/>
    <x v="4"/>
    <n v="99190"/>
  </r>
  <r>
    <x v="273"/>
    <x v="0"/>
    <x v="2"/>
    <x v="5"/>
    <n v="66000"/>
  </r>
  <r>
    <x v="273"/>
    <x v="0"/>
    <x v="3"/>
    <x v="0"/>
    <n v="85414"/>
  </r>
  <r>
    <x v="273"/>
    <x v="0"/>
    <x v="3"/>
    <x v="1"/>
    <n v="10369"/>
  </r>
  <r>
    <x v="273"/>
    <x v="0"/>
    <x v="3"/>
    <x v="2"/>
    <n v="15845"/>
  </r>
  <r>
    <x v="273"/>
    <x v="0"/>
    <x v="3"/>
    <x v="4"/>
    <n v="17700"/>
  </r>
  <r>
    <x v="273"/>
    <x v="0"/>
    <x v="3"/>
    <x v="5"/>
    <n v="1500"/>
  </r>
  <r>
    <x v="273"/>
    <x v="0"/>
    <x v="4"/>
    <x v="3"/>
    <n v="2000"/>
  </r>
  <r>
    <x v="273"/>
    <x v="0"/>
    <x v="5"/>
    <x v="3"/>
    <n v="88920"/>
  </r>
  <r>
    <x v="273"/>
    <x v="0"/>
    <x v="6"/>
    <x v="0"/>
    <n v="112196"/>
  </r>
  <r>
    <x v="273"/>
    <x v="0"/>
    <x v="6"/>
    <x v="2"/>
    <n v="18741"/>
  </r>
  <r>
    <x v="272"/>
    <x v="1"/>
    <x v="0"/>
    <x v="4"/>
    <n v="16500"/>
  </r>
  <r>
    <x v="272"/>
    <x v="1"/>
    <x v="1"/>
    <x v="0"/>
    <n v="115133"/>
  </r>
  <r>
    <x v="272"/>
    <x v="1"/>
    <x v="1"/>
    <x v="2"/>
    <n v="32401"/>
  </r>
  <r>
    <x v="272"/>
    <x v="1"/>
    <x v="1"/>
    <x v="4"/>
    <n v="80000"/>
  </r>
  <r>
    <x v="272"/>
    <x v="1"/>
    <x v="2"/>
    <x v="0"/>
    <n v="315932"/>
  </r>
  <r>
    <x v="272"/>
    <x v="1"/>
    <x v="2"/>
    <x v="1"/>
    <n v="173920"/>
  </r>
  <r>
    <x v="272"/>
    <x v="1"/>
    <x v="2"/>
    <x v="2"/>
    <n v="208272"/>
  </r>
  <r>
    <x v="272"/>
    <x v="1"/>
    <x v="2"/>
    <x v="4"/>
    <n v="1530020"/>
  </r>
  <r>
    <x v="273"/>
    <x v="1"/>
    <x v="0"/>
    <x v="0"/>
    <n v="30504"/>
  </r>
  <r>
    <x v="273"/>
    <x v="1"/>
    <x v="0"/>
    <x v="2"/>
    <n v="8130"/>
  </r>
  <r>
    <x v="273"/>
    <x v="1"/>
    <x v="2"/>
    <x v="0"/>
    <n v="521908"/>
  </r>
  <r>
    <x v="273"/>
    <x v="1"/>
    <x v="2"/>
    <x v="1"/>
    <n v="467317"/>
  </r>
  <r>
    <x v="273"/>
    <x v="1"/>
    <x v="2"/>
    <x v="2"/>
    <n v="484248"/>
  </r>
  <r>
    <x v="273"/>
    <x v="1"/>
    <x v="2"/>
    <x v="3"/>
    <n v="70957"/>
  </r>
  <r>
    <x v="273"/>
    <x v="1"/>
    <x v="2"/>
    <x v="4"/>
    <n v="79938"/>
  </r>
  <r>
    <x v="273"/>
    <x v="1"/>
    <x v="3"/>
    <x v="0"/>
    <n v="14129"/>
  </r>
  <r>
    <x v="273"/>
    <x v="1"/>
    <x v="3"/>
    <x v="2"/>
    <n v="2294"/>
  </r>
  <r>
    <x v="274"/>
    <x v="0"/>
    <x v="0"/>
    <x v="0"/>
    <n v="5416"/>
  </r>
  <r>
    <x v="274"/>
    <x v="0"/>
    <x v="0"/>
    <x v="2"/>
    <n v="874"/>
  </r>
  <r>
    <x v="274"/>
    <x v="0"/>
    <x v="1"/>
    <x v="4"/>
    <n v="47421"/>
  </r>
  <r>
    <x v="274"/>
    <x v="0"/>
    <x v="2"/>
    <x v="0"/>
    <n v="93079"/>
  </r>
  <r>
    <x v="274"/>
    <x v="0"/>
    <x v="2"/>
    <x v="1"/>
    <n v="46055"/>
  </r>
  <r>
    <x v="274"/>
    <x v="0"/>
    <x v="2"/>
    <x v="2"/>
    <n v="73525"/>
  </r>
  <r>
    <x v="274"/>
    <x v="0"/>
    <x v="2"/>
    <x v="3"/>
    <n v="10000"/>
  </r>
  <r>
    <x v="274"/>
    <x v="1"/>
    <x v="1"/>
    <x v="4"/>
    <n v="25498"/>
  </r>
  <r>
    <x v="274"/>
    <x v="1"/>
    <x v="1"/>
    <x v="5"/>
    <n v="1000"/>
  </r>
  <r>
    <x v="275"/>
    <x v="0"/>
    <x v="1"/>
    <x v="4"/>
    <n v="20000"/>
  </r>
  <r>
    <x v="275"/>
    <x v="0"/>
    <x v="2"/>
    <x v="0"/>
    <n v="215536"/>
  </r>
  <r>
    <x v="275"/>
    <x v="0"/>
    <x v="2"/>
    <x v="1"/>
    <n v="133694"/>
  </r>
  <r>
    <x v="275"/>
    <x v="0"/>
    <x v="2"/>
    <x v="2"/>
    <n v="174054"/>
  </r>
  <r>
    <x v="275"/>
    <x v="0"/>
    <x v="2"/>
    <x v="3"/>
    <n v="5000"/>
  </r>
  <r>
    <x v="275"/>
    <x v="0"/>
    <x v="2"/>
    <x v="4"/>
    <n v="9800"/>
  </r>
  <r>
    <x v="275"/>
    <x v="1"/>
    <x v="1"/>
    <x v="4"/>
    <n v="54000"/>
  </r>
  <r>
    <x v="276"/>
    <x v="0"/>
    <x v="0"/>
    <x v="0"/>
    <n v="155210"/>
  </r>
  <r>
    <x v="276"/>
    <x v="0"/>
    <x v="0"/>
    <x v="1"/>
    <n v="45158"/>
  </r>
  <r>
    <x v="276"/>
    <x v="0"/>
    <x v="0"/>
    <x v="2"/>
    <n v="63004"/>
  </r>
  <r>
    <x v="276"/>
    <x v="0"/>
    <x v="0"/>
    <x v="4"/>
    <n v="10000"/>
  </r>
  <r>
    <x v="276"/>
    <x v="0"/>
    <x v="0"/>
    <x v="5"/>
    <n v="1000"/>
  </r>
  <r>
    <x v="276"/>
    <x v="0"/>
    <x v="11"/>
    <x v="1"/>
    <n v="16856"/>
  </r>
  <r>
    <x v="276"/>
    <x v="0"/>
    <x v="11"/>
    <x v="2"/>
    <n v="10565"/>
  </r>
  <r>
    <x v="276"/>
    <x v="0"/>
    <x v="1"/>
    <x v="0"/>
    <n v="1350753"/>
  </r>
  <r>
    <x v="276"/>
    <x v="0"/>
    <x v="1"/>
    <x v="1"/>
    <n v="58314"/>
  </r>
  <r>
    <x v="276"/>
    <x v="0"/>
    <x v="1"/>
    <x v="2"/>
    <n v="462146"/>
  </r>
  <r>
    <x v="276"/>
    <x v="0"/>
    <x v="1"/>
    <x v="3"/>
    <n v="5000"/>
  </r>
  <r>
    <x v="276"/>
    <x v="0"/>
    <x v="1"/>
    <x v="4"/>
    <n v="240000"/>
  </r>
  <r>
    <x v="276"/>
    <x v="0"/>
    <x v="2"/>
    <x v="0"/>
    <n v="1727238"/>
  </r>
  <r>
    <x v="276"/>
    <x v="0"/>
    <x v="2"/>
    <x v="1"/>
    <n v="1241198"/>
  </r>
  <r>
    <x v="276"/>
    <x v="0"/>
    <x v="2"/>
    <x v="2"/>
    <n v="1391197"/>
  </r>
  <r>
    <x v="276"/>
    <x v="0"/>
    <x v="2"/>
    <x v="3"/>
    <n v="145000"/>
  </r>
  <r>
    <x v="276"/>
    <x v="0"/>
    <x v="2"/>
    <x v="4"/>
    <n v="442000"/>
  </r>
  <r>
    <x v="276"/>
    <x v="0"/>
    <x v="2"/>
    <x v="5"/>
    <n v="3000"/>
  </r>
  <r>
    <x v="276"/>
    <x v="0"/>
    <x v="3"/>
    <x v="4"/>
    <n v="2000"/>
  </r>
  <r>
    <x v="276"/>
    <x v="0"/>
    <x v="4"/>
    <x v="3"/>
    <n v="25000"/>
  </r>
  <r>
    <x v="276"/>
    <x v="0"/>
    <x v="6"/>
    <x v="0"/>
    <n v="48986"/>
  </r>
  <r>
    <x v="276"/>
    <x v="0"/>
    <x v="6"/>
    <x v="2"/>
    <n v="16031"/>
  </r>
  <r>
    <x v="276"/>
    <x v="1"/>
    <x v="2"/>
    <x v="0"/>
    <n v="465355"/>
  </r>
  <r>
    <x v="276"/>
    <x v="1"/>
    <x v="2"/>
    <x v="1"/>
    <n v="111701"/>
  </r>
  <r>
    <x v="276"/>
    <x v="1"/>
    <x v="2"/>
    <x v="2"/>
    <n v="232318"/>
  </r>
  <r>
    <x v="276"/>
    <x v="1"/>
    <x v="3"/>
    <x v="0"/>
    <n v="7541"/>
  </r>
  <r>
    <x v="276"/>
    <x v="1"/>
    <x v="3"/>
    <x v="2"/>
    <n v="2489"/>
  </r>
  <r>
    <x v="277"/>
    <x v="0"/>
    <x v="1"/>
    <x v="4"/>
    <n v="33254"/>
  </r>
  <r>
    <x v="277"/>
    <x v="0"/>
    <x v="2"/>
    <x v="0"/>
    <n v="151245"/>
  </r>
  <r>
    <x v="277"/>
    <x v="0"/>
    <x v="2"/>
    <x v="1"/>
    <n v="168130"/>
  </r>
  <r>
    <x v="277"/>
    <x v="0"/>
    <x v="2"/>
    <x v="2"/>
    <n v="164457"/>
  </r>
  <r>
    <x v="277"/>
    <x v="0"/>
    <x v="2"/>
    <x v="3"/>
    <n v="8400"/>
  </r>
  <r>
    <x v="277"/>
    <x v="0"/>
    <x v="2"/>
    <x v="4"/>
    <n v="30000"/>
  </r>
  <r>
    <x v="277"/>
    <x v="0"/>
    <x v="6"/>
    <x v="0"/>
    <n v="3263"/>
  </r>
  <r>
    <x v="277"/>
    <x v="0"/>
    <x v="6"/>
    <x v="2"/>
    <n v="535"/>
  </r>
  <r>
    <x v="277"/>
    <x v="1"/>
    <x v="1"/>
    <x v="4"/>
    <n v="40473"/>
  </r>
  <r>
    <x v="278"/>
    <x v="0"/>
    <x v="0"/>
    <x v="0"/>
    <n v="186719"/>
  </r>
  <r>
    <x v="278"/>
    <x v="0"/>
    <x v="0"/>
    <x v="1"/>
    <n v="227302"/>
  </r>
  <r>
    <x v="278"/>
    <x v="0"/>
    <x v="0"/>
    <x v="2"/>
    <n v="127131"/>
  </r>
  <r>
    <x v="278"/>
    <x v="0"/>
    <x v="0"/>
    <x v="3"/>
    <n v="6500"/>
  </r>
  <r>
    <x v="278"/>
    <x v="0"/>
    <x v="0"/>
    <x v="4"/>
    <n v="4000"/>
  </r>
  <r>
    <x v="278"/>
    <x v="0"/>
    <x v="7"/>
    <x v="1"/>
    <n v="100828"/>
  </r>
  <r>
    <x v="278"/>
    <x v="0"/>
    <x v="7"/>
    <x v="2"/>
    <n v="56826"/>
  </r>
  <r>
    <x v="278"/>
    <x v="0"/>
    <x v="7"/>
    <x v="5"/>
    <n v="25000"/>
  </r>
  <r>
    <x v="278"/>
    <x v="0"/>
    <x v="1"/>
    <x v="0"/>
    <n v="2475915"/>
  </r>
  <r>
    <x v="278"/>
    <x v="0"/>
    <x v="1"/>
    <x v="1"/>
    <n v="732503"/>
  </r>
  <r>
    <x v="278"/>
    <x v="0"/>
    <x v="1"/>
    <x v="2"/>
    <n v="1083428"/>
  </r>
  <r>
    <x v="278"/>
    <x v="0"/>
    <x v="1"/>
    <x v="3"/>
    <n v="29200"/>
  </r>
  <r>
    <x v="278"/>
    <x v="0"/>
    <x v="1"/>
    <x v="4"/>
    <n v="92600"/>
  </r>
  <r>
    <x v="278"/>
    <x v="0"/>
    <x v="1"/>
    <x v="5"/>
    <n v="2750"/>
  </r>
  <r>
    <x v="278"/>
    <x v="0"/>
    <x v="2"/>
    <x v="0"/>
    <n v="4606750"/>
  </r>
  <r>
    <x v="278"/>
    <x v="0"/>
    <x v="2"/>
    <x v="1"/>
    <n v="3069561"/>
  </r>
  <r>
    <x v="278"/>
    <x v="0"/>
    <x v="2"/>
    <x v="2"/>
    <n v="3154715"/>
  </r>
  <r>
    <x v="278"/>
    <x v="0"/>
    <x v="2"/>
    <x v="3"/>
    <n v="118400"/>
  </r>
  <r>
    <x v="278"/>
    <x v="0"/>
    <x v="2"/>
    <x v="4"/>
    <n v="152000"/>
  </r>
  <r>
    <x v="278"/>
    <x v="0"/>
    <x v="2"/>
    <x v="5"/>
    <n v="1700"/>
  </r>
  <r>
    <x v="278"/>
    <x v="0"/>
    <x v="3"/>
    <x v="0"/>
    <n v="268368"/>
  </r>
  <r>
    <x v="278"/>
    <x v="0"/>
    <x v="3"/>
    <x v="2"/>
    <n v="74665"/>
  </r>
  <r>
    <x v="278"/>
    <x v="1"/>
    <x v="1"/>
    <x v="0"/>
    <n v="380984"/>
  </r>
  <r>
    <x v="278"/>
    <x v="1"/>
    <x v="1"/>
    <x v="2"/>
    <n v="124775"/>
  </r>
  <r>
    <x v="278"/>
    <x v="1"/>
    <x v="1"/>
    <x v="3"/>
    <n v="10000"/>
  </r>
  <r>
    <x v="278"/>
    <x v="1"/>
    <x v="1"/>
    <x v="4"/>
    <n v="580000"/>
  </r>
  <r>
    <x v="278"/>
    <x v="1"/>
    <x v="2"/>
    <x v="0"/>
    <n v="204750"/>
  </r>
  <r>
    <x v="278"/>
    <x v="1"/>
    <x v="2"/>
    <x v="1"/>
    <n v="34373"/>
  </r>
  <r>
    <x v="278"/>
    <x v="1"/>
    <x v="2"/>
    <x v="2"/>
    <n v="93131"/>
  </r>
  <r>
    <x v="278"/>
    <x v="1"/>
    <x v="2"/>
    <x v="3"/>
    <n v="22500"/>
  </r>
  <r>
    <x v="278"/>
    <x v="1"/>
    <x v="2"/>
    <x v="4"/>
    <n v="123487"/>
  </r>
  <r>
    <x v="278"/>
    <x v="1"/>
    <x v="3"/>
    <x v="4"/>
    <n v="30000"/>
  </r>
  <r>
    <x v="278"/>
    <x v="1"/>
    <x v="4"/>
    <x v="4"/>
    <n v="6500"/>
  </r>
  <r>
    <x v="278"/>
    <x v="1"/>
    <x v="5"/>
    <x v="3"/>
    <n v="15500"/>
  </r>
  <r>
    <x v="279"/>
    <x v="0"/>
    <x v="0"/>
    <x v="0"/>
    <n v="15000"/>
  </r>
  <r>
    <x v="279"/>
    <x v="0"/>
    <x v="0"/>
    <x v="2"/>
    <n v="6251"/>
  </r>
  <r>
    <x v="279"/>
    <x v="0"/>
    <x v="7"/>
    <x v="1"/>
    <n v="15831"/>
  </r>
  <r>
    <x v="279"/>
    <x v="0"/>
    <x v="7"/>
    <x v="2"/>
    <n v="19522"/>
  </r>
  <r>
    <x v="279"/>
    <x v="0"/>
    <x v="2"/>
    <x v="0"/>
    <n v="263149"/>
  </r>
  <r>
    <x v="279"/>
    <x v="0"/>
    <x v="2"/>
    <x v="1"/>
    <n v="425814"/>
  </r>
  <r>
    <x v="279"/>
    <x v="0"/>
    <x v="2"/>
    <x v="2"/>
    <n v="424158"/>
  </r>
  <r>
    <x v="279"/>
    <x v="0"/>
    <x v="2"/>
    <x v="3"/>
    <n v="50600"/>
  </r>
  <r>
    <x v="279"/>
    <x v="0"/>
    <x v="2"/>
    <x v="4"/>
    <n v="540000"/>
  </r>
  <r>
    <x v="279"/>
    <x v="0"/>
    <x v="8"/>
    <x v="4"/>
    <n v="330000"/>
  </r>
  <r>
    <x v="279"/>
    <x v="1"/>
    <x v="8"/>
    <x v="4"/>
    <n v="200721"/>
  </r>
  <r>
    <x v="280"/>
    <x v="0"/>
    <x v="0"/>
    <x v="1"/>
    <n v="13789"/>
  </r>
  <r>
    <x v="280"/>
    <x v="0"/>
    <x v="0"/>
    <x v="2"/>
    <n v="5741"/>
  </r>
  <r>
    <x v="280"/>
    <x v="0"/>
    <x v="1"/>
    <x v="4"/>
    <n v="110000"/>
  </r>
  <r>
    <x v="280"/>
    <x v="0"/>
    <x v="2"/>
    <x v="0"/>
    <n v="292123"/>
  </r>
  <r>
    <x v="280"/>
    <x v="0"/>
    <x v="2"/>
    <x v="1"/>
    <n v="139839"/>
  </r>
  <r>
    <x v="280"/>
    <x v="0"/>
    <x v="2"/>
    <x v="2"/>
    <n v="208108"/>
  </r>
  <r>
    <x v="280"/>
    <x v="0"/>
    <x v="2"/>
    <x v="3"/>
    <n v="3499"/>
  </r>
  <r>
    <x v="280"/>
    <x v="0"/>
    <x v="2"/>
    <x v="4"/>
    <n v="114000"/>
  </r>
  <r>
    <x v="280"/>
    <x v="0"/>
    <x v="6"/>
    <x v="0"/>
    <n v="8044"/>
  </r>
  <r>
    <x v="280"/>
    <x v="0"/>
    <x v="6"/>
    <x v="2"/>
    <n v="1417"/>
  </r>
  <r>
    <x v="280"/>
    <x v="1"/>
    <x v="1"/>
    <x v="4"/>
    <n v="83078"/>
  </r>
  <r>
    <x v="281"/>
    <x v="0"/>
    <x v="0"/>
    <x v="0"/>
    <n v="312783"/>
  </r>
  <r>
    <x v="281"/>
    <x v="0"/>
    <x v="0"/>
    <x v="1"/>
    <n v="120398"/>
  </r>
  <r>
    <x v="281"/>
    <x v="0"/>
    <x v="0"/>
    <x v="2"/>
    <n v="125349"/>
  </r>
  <r>
    <x v="281"/>
    <x v="0"/>
    <x v="9"/>
    <x v="0"/>
    <n v="151907"/>
  </r>
  <r>
    <x v="281"/>
    <x v="0"/>
    <x v="9"/>
    <x v="2"/>
    <n v="54769"/>
  </r>
  <r>
    <x v="281"/>
    <x v="0"/>
    <x v="1"/>
    <x v="0"/>
    <n v="1024837"/>
  </r>
  <r>
    <x v="281"/>
    <x v="0"/>
    <x v="1"/>
    <x v="1"/>
    <n v="772601"/>
  </r>
  <r>
    <x v="281"/>
    <x v="0"/>
    <x v="1"/>
    <x v="2"/>
    <n v="733162"/>
  </r>
  <r>
    <x v="281"/>
    <x v="0"/>
    <x v="2"/>
    <x v="0"/>
    <n v="1951020"/>
  </r>
  <r>
    <x v="281"/>
    <x v="0"/>
    <x v="2"/>
    <x v="1"/>
    <n v="1786029"/>
  </r>
  <r>
    <x v="281"/>
    <x v="0"/>
    <x v="2"/>
    <x v="2"/>
    <n v="1658602"/>
  </r>
  <r>
    <x v="281"/>
    <x v="0"/>
    <x v="2"/>
    <x v="3"/>
    <n v="53872"/>
  </r>
  <r>
    <x v="281"/>
    <x v="0"/>
    <x v="2"/>
    <x v="4"/>
    <n v="704000"/>
  </r>
  <r>
    <x v="281"/>
    <x v="0"/>
    <x v="3"/>
    <x v="0"/>
    <n v="73231"/>
  </r>
  <r>
    <x v="281"/>
    <x v="0"/>
    <x v="3"/>
    <x v="2"/>
    <n v="12525"/>
  </r>
  <r>
    <x v="281"/>
    <x v="0"/>
    <x v="3"/>
    <x v="5"/>
    <n v="5000"/>
  </r>
  <r>
    <x v="281"/>
    <x v="0"/>
    <x v="6"/>
    <x v="0"/>
    <n v="65681"/>
  </r>
  <r>
    <x v="281"/>
    <x v="0"/>
    <x v="6"/>
    <x v="2"/>
    <n v="11247"/>
  </r>
  <r>
    <x v="281"/>
    <x v="1"/>
    <x v="1"/>
    <x v="0"/>
    <n v="72115"/>
  </r>
  <r>
    <x v="281"/>
    <x v="1"/>
    <x v="1"/>
    <x v="2"/>
    <n v="26563"/>
  </r>
  <r>
    <x v="281"/>
    <x v="1"/>
    <x v="2"/>
    <x v="0"/>
    <n v="744378"/>
  </r>
  <r>
    <x v="281"/>
    <x v="1"/>
    <x v="2"/>
    <x v="1"/>
    <n v="20449"/>
  </r>
  <r>
    <x v="281"/>
    <x v="1"/>
    <x v="2"/>
    <x v="2"/>
    <n v="238339"/>
  </r>
  <r>
    <x v="281"/>
    <x v="1"/>
    <x v="3"/>
    <x v="0"/>
    <n v="37300"/>
  </r>
  <r>
    <x v="281"/>
    <x v="1"/>
    <x v="3"/>
    <x v="2"/>
    <n v="6552"/>
  </r>
  <r>
    <x v="282"/>
    <x v="0"/>
    <x v="0"/>
    <x v="0"/>
    <n v="72494"/>
  </r>
  <r>
    <x v="282"/>
    <x v="0"/>
    <x v="0"/>
    <x v="1"/>
    <n v="41236"/>
  </r>
  <r>
    <x v="282"/>
    <x v="0"/>
    <x v="0"/>
    <x v="2"/>
    <n v="32267"/>
  </r>
  <r>
    <x v="282"/>
    <x v="0"/>
    <x v="0"/>
    <x v="3"/>
    <n v="10000"/>
  </r>
  <r>
    <x v="282"/>
    <x v="0"/>
    <x v="0"/>
    <x v="5"/>
    <n v="500"/>
  </r>
  <r>
    <x v="282"/>
    <x v="0"/>
    <x v="1"/>
    <x v="0"/>
    <n v="77611"/>
  </r>
  <r>
    <x v="282"/>
    <x v="0"/>
    <x v="1"/>
    <x v="1"/>
    <n v="49263"/>
  </r>
  <r>
    <x v="282"/>
    <x v="0"/>
    <x v="1"/>
    <x v="2"/>
    <n v="46181"/>
  </r>
  <r>
    <x v="282"/>
    <x v="0"/>
    <x v="1"/>
    <x v="3"/>
    <n v="191"/>
  </r>
  <r>
    <x v="282"/>
    <x v="0"/>
    <x v="1"/>
    <x v="4"/>
    <n v="367500"/>
  </r>
  <r>
    <x v="282"/>
    <x v="0"/>
    <x v="2"/>
    <x v="0"/>
    <n v="650023"/>
  </r>
  <r>
    <x v="282"/>
    <x v="0"/>
    <x v="2"/>
    <x v="1"/>
    <n v="598782"/>
  </r>
  <r>
    <x v="282"/>
    <x v="0"/>
    <x v="2"/>
    <x v="2"/>
    <n v="596873"/>
  </r>
  <r>
    <x v="282"/>
    <x v="0"/>
    <x v="2"/>
    <x v="3"/>
    <n v="5000"/>
  </r>
  <r>
    <x v="282"/>
    <x v="0"/>
    <x v="2"/>
    <x v="4"/>
    <n v="338000"/>
  </r>
  <r>
    <x v="282"/>
    <x v="0"/>
    <x v="2"/>
    <x v="5"/>
    <n v="2000"/>
  </r>
  <r>
    <x v="282"/>
    <x v="0"/>
    <x v="3"/>
    <x v="4"/>
    <n v="1500"/>
  </r>
  <r>
    <x v="282"/>
    <x v="0"/>
    <x v="3"/>
    <x v="5"/>
    <n v="2000"/>
  </r>
  <r>
    <x v="282"/>
    <x v="0"/>
    <x v="5"/>
    <x v="3"/>
    <n v="8250"/>
  </r>
  <r>
    <x v="282"/>
    <x v="0"/>
    <x v="5"/>
    <x v="4"/>
    <n v="9000"/>
  </r>
  <r>
    <x v="282"/>
    <x v="0"/>
    <x v="6"/>
    <x v="0"/>
    <n v="16925"/>
  </r>
  <r>
    <x v="282"/>
    <x v="0"/>
    <x v="6"/>
    <x v="2"/>
    <n v="2736"/>
  </r>
  <r>
    <x v="282"/>
    <x v="1"/>
    <x v="2"/>
    <x v="0"/>
    <n v="33017"/>
  </r>
  <r>
    <x v="282"/>
    <x v="1"/>
    <x v="2"/>
    <x v="1"/>
    <n v="170906"/>
  </r>
  <r>
    <x v="282"/>
    <x v="1"/>
    <x v="2"/>
    <x v="2"/>
    <n v="111466"/>
  </r>
  <r>
    <x v="283"/>
    <x v="0"/>
    <x v="0"/>
    <x v="0"/>
    <n v="36401"/>
  </r>
  <r>
    <x v="283"/>
    <x v="0"/>
    <x v="0"/>
    <x v="2"/>
    <n v="11500"/>
  </r>
  <r>
    <x v="283"/>
    <x v="0"/>
    <x v="2"/>
    <x v="0"/>
    <n v="68269"/>
  </r>
  <r>
    <x v="283"/>
    <x v="0"/>
    <x v="2"/>
    <x v="1"/>
    <n v="76221"/>
  </r>
  <r>
    <x v="283"/>
    <x v="0"/>
    <x v="2"/>
    <x v="2"/>
    <n v="84505"/>
  </r>
  <r>
    <x v="283"/>
    <x v="0"/>
    <x v="2"/>
    <x v="3"/>
    <n v="3500"/>
  </r>
  <r>
    <x v="283"/>
    <x v="0"/>
    <x v="2"/>
    <x v="4"/>
    <n v="55000"/>
  </r>
  <r>
    <x v="283"/>
    <x v="0"/>
    <x v="3"/>
    <x v="5"/>
    <n v="1000"/>
  </r>
  <r>
    <x v="283"/>
    <x v="0"/>
    <x v="4"/>
    <x v="4"/>
    <n v="2500"/>
  </r>
  <r>
    <x v="283"/>
    <x v="0"/>
    <x v="6"/>
    <x v="0"/>
    <n v="1138"/>
  </r>
  <r>
    <x v="283"/>
    <x v="0"/>
    <x v="6"/>
    <x v="2"/>
    <n v="193"/>
  </r>
  <r>
    <x v="283"/>
    <x v="1"/>
    <x v="1"/>
    <x v="4"/>
    <n v="36421"/>
  </r>
  <r>
    <x v="283"/>
    <x v="1"/>
    <x v="2"/>
    <x v="3"/>
    <n v="3086"/>
  </r>
  <r>
    <x v="284"/>
    <x v="0"/>
    <x v="0"/>
    <x v="0"/>
    <n v="444855"/>
  </r>
  <r>
    <x v="284"/>
    <x v="0"/>
    <x v="0"/>
    <x v="1"/>
    <n v="112814"/>
  </r>
  <r>
    <x v="284"/>
    <x v="0"/>
    <x v="0"/>
    <x v="2"/>
    <n v="165939"/>
  </r>
  <r>
    <x v="284"/>
    <x v="0"/>
    <x v="0"/>
    <x v="3"/>
    <n v="15000"/>
  </r>
  <r>
    <x v="284"/>
    <x v="0"/>
    <x v="0"/>
    <x v="4"/>
    <n v="36650"/>
  </r>
  <r>
    <x v="285"/>
    <x v="0"/>
    <x v="0"/>
    <x v="0"/>
    <n v="1000"/>
  </r>
  <r>
    <x v="285"/>
    <x v="0"/>
    <x v="0"/>
    <x v="2"/>
    <n v="1325"/>
  </r>
  <r>
    <x v="285"/>
    <x v="0"/>
    <x v="7"/>
    <x v="3"/>
    <n v="300"/>
  </r>
  <r>
    <x v="285"/>
    <x v="0"/>
    <x v="1"/>
    <x v="0"/>
    <n v="58016"/>
  </r>
  <r>
    <x v="285"/>
    <x v="0"/>
    <x v="1"/>
    <x v="1"/>
    <n v="24568"/>
  </r>
  <r>
    <x v="285"/>
    <x v="0"/>
    <x v="1"/>
    <x v="2"/>
    <n v="72151"/>
  </r>
  <r>
    <x v="285"/>
    <x v="0"/>
    <x v="1"/>
    <x v="4"/>
    <n v="107000"/>
  </r>
  <r>
    <x v="285"/>
    <x v="0"/>
    <x v="2"/>
    <x v="0"/>
    <n v="239208"/>
  </r>
  <r>
    <x v="285"/>
    <x v="0"/>
    <x v="2"/>
    <x v="1"/>
    <n v="139262"/>
  </r>
  <r>
    <x v="285"/>
    <x v="0"/>
    <x v="2"/>
    <x v="2"/>
    <n v="204965"/>
  </r>
  <r>
    <x v="285"/>
    <x v="0"/>
    <x v="2"/>
    <x v="3"/>
    <n v="8500"/>
  </r>
  <r>
    <x v="285"/>
    <x v="0"/>
    <x v="2"/>
    <x v="4"/>
    <n v="7850"/>
  </r>
  <r>
    <x v="285"/>
    <x v="0"/>
    <x v="3"/>
    <x v="0"/>
    <n v="2854"/>
  </r>
  <r>
    <x v="285"/>
    <x v="0"/>
    <x v="3"/>
    <x v="2"/>
    <n v="822"/>
  </r>
  <r>
    <x v="285"/>
    <x v="0"/>
    <x v="3"/>
    <x v="4"/>
    <n v="20000"/>
  </r>
  <r>
    <x v="285"/>
    <x v="0"/>
    <x v="3"/>
    <x v="5"/>
    <n v="3000"/>
  </r>
  <r>
    <x v="285"/>
    <x v="0"/>
    <x v="4"/>
    <x v="3"/>
    <n v="1250"/>
  </r>
  <r>
    <x v="284"/>
    <x v="0"/>
    <x v="0"/>
    <x v="5"/>
    <n v="4000"/>
  </r>
  <r>
    <x v="284"/>
    <x v="0"/>
    <x v="7"/>
    <x v="1"/>
    <n v="235034"/>
  </r>
  <r>
    <x v="284"/>
    <x v="0"/>
    <x v="7"/>
    <x v="2"/>
    <n v="181049"/>
  </r>
  <r>
    <x v="284"/>
    <x v="0"/>
    <x v="1"/>
    <x v="0"/>
    <n v="2807655"/>
  </r>
  <r>
    <x v="284"/>
    <x v="0"/>
    <x v="1"/>
    <x v="1"/>
    <n v="117017"/>
  </r>
  <r>
    <x v="284"/>
    <x v="0"/>
    <x v="1"/>
    <x v="2"/>
    <n v="921777"/>
  </r>
  <r>
    <x v="284"/>
    <x v="0"/>
    <x v="1"/>
    <x v="3"/>
    <n v="43500"/>
  </r>
  <r>
    <x v="284"/>
    <x v="0"/>
    <x v="1"/>
    <x v="4"/>
    <n v="285000"/>
  </r>
  <r>
    <x v="284"/>
    <x v="0"/>
    <x v="1"/>
    <x v="5"/>
    <n v="3000"/>
  </r>
  <r>
    <x v="284"/>
    <x v="0"/>
    <x v="2"/>
    <x v="6"/>
    <n v="5000"/>
  </r>
  <r>
    <x v="284"/>
    <x v="0"/>
    <x v="2"/>
    <x v="0"/>
    <n v="3709073"/>
  </r>
  <r>
    <x v="284"/>
    <x v="0"/>
    <x v="2"/>
    <x v="1"/>
    <n v="3932070"/>
  </r>
  <r>
    <x v="284"/>
    <x v="0"/>
    <x v="2"/>
    <x v="2"/>
    <n v="3834188"/>
  </r>
  <r>
    <x v="284"/>
    <x v="0"/>
    <x v="2"/>
    <x v="3"/>
    <n v="33995"/>
  </r>
  <r>
    <x v="284"/>
    <x v="0"/>
    <x v="2"/>
    <x v="4"/>
    <n v="1715700"/>
  </r>
  <r>
    <x v="284"/>
    <x v="0"/>
    <x v="2"/>
    <x v="5"/>
    <n v="12000"/>
  </r>
  <r>
    <x v="284"/>
    <x v="0"/>
    <x v="3"/>
    <x v="4"/>
    <n v="17500"/>
  </r>
  <r>
    <x v="284"/>
    <x v="0"/>
    <x v="3"/>
    <x v="5"/>
    <n v="3000"/>
  </r>
  <r>
    <x v="284"/>
    <x v="0"/>
    <x v="4"/>
    <x v="3"/>
    <n v="23000"/>
  </r>
  <r>
    <x v="284"/>
    <x v="0"/>
    <x v="4"/>
    <x v="4"/>
    <n v="500"/>
  </r>
  <r>
    <x v="284"/>
    <x v="0"/>
    <x v="5"/>
    <x v="3"/>
    <n v="43000"/>
  </r>
  <r>
    <x v="284"/>
    <x v="0"/>
    <x v="5"/>
    <x v="4"/>
    <n v="5500"/>
  </r>
  <r>
    <x v="285"/>
    <x v="0"/>
    <x v="6"/>
    <x v="0"/>
    <n v="6909"/>
  </r>
  <r>
    <x v="285"/>
    <x v="0"/>
    <x v="6"/>
    <x v="2"/>
    <n v="1456"/>
  </r>
  <r>
    <x v="285"/>
    <x v="0"/>
    <x v="6"/>
    <x v="4"/>
    <n v="3000"/>
  </r>
  <r>
    <x v="284"/>
    <x v="1"/>
    <x v="2"/>
    <x v="0"/>
    <n v="833492"/>
  </r>
  <r>
    <x v="284"/>
    <x v="1"/>
    <x v="2"/>
    <x v="2"/>
    <n v="282650"/>
  </r>
  <r>
    <x v="285"/>
    <x v="1"/>
    <x v="0"/>
    <x v="3"/>
    <n v="5000"/>
  </r>
  <r>
    <x v="285"/>
    <x v="1"/>
    <x v="1"/>
    <x v="2"/>
    <n v="1500"/>
  </r>
  <r>
    <x v="285"/>
    <x v="1"/>
    <x v="2"/>
    <x v="0"/>
    <n v="500"/>
  </r>
  <r>
    <x v="285"/>
    <x v="1"/>
    <x v="2"/>
    <x v="1"/>
    <n v="23115"/>
  </r>
  <r>
    <x v="285"/>
    <x v="1"/>
    <x v="2"/>
    <x v="2"/>
    <n v="16463"/>
  </r>
  <r>
    <x v="285"/>
    <x v="1"/>
    <x v="2"/>
    <x v="3"/>
    <n v="75000"/>
  </r>
  <r>
    <x v="286"/>
    <x v="0"/>
    <x v="11"/>
    <x v="1"/>
    <n v="4054"/>
  </r>
  <r>
    <x v="286"/>
    <x v="0"/>
    <x v="11"/>
    <x v="2"/>
    <n v="2932"/>
  </r>
  <r>
    <x v="286"/>
    <x v="0"/>
    <x v="2"/>
    <x v="0"/>
    <n v="29559"/>
  </r>
  <r>
    <x v="286"/>
    <x v="0"/>
    <x v="2"/>
    <x v="1"/>
    <n v="246543"/>
  </r>
  <r>
    <x v="286"/>
    <x v="0"/>
    <x v="2"/>
    <x v="2"/>
    <n v="161595"/>
  </r>
  <r>
    <x v="286"/>
    <x v="0"/>
    <x v="2"/>
    <x v="4"/>
    <n v="1332373"/>
  </r>
  <r>
    <x v="287"/>
    <x v="0"/>
    <x v="11"/>
    <x v="0"/>
    <n v="53252"/>
  </r>
  <r>
    <x v="287"/>
    <x v="0"/>
    <x v="11"/>
    <x v="2"/>
    <n v="9691"/>
  </r>
  <r>
    <x v="288"/>
    <x v="0"/>
    <x v="8"/>
    <x v="4"/>
    <n v="261388"/>
  </r>
  <r>
    <x v="287"/>
    <x v="0"/>
    <x v="1"/>
    <x v="2"/>
    <n v="24290"/>
  </r>
  <r>
    <x v="287"/>
    <x v="0"/>
    <x v="1"/>
    <x v="3"/>
    <n v="500"/>
  </r>
  <r>
    <x v="287"/>
    <x v="0"/>
    <x v="1"/>
    <x v="4"/>
    <n v="80000"/>
  </r>
  <r>
    <x v="287"/>
    <x v="0"/>
    <x v="2"/>
    <x v="0"/>
    <n v="112456"/>
  </r>
  <r>
    <x v="287"/>
    <x v="0"/>
    <x v="2"/>
    <x v="1"/>
    <n v="39307"/>
  </r>
  <r>
    <x v="287"/>
    <x v="0"/>
    <x v="2"/>
    <x v="2"/>
    <n v="49442"/>
  </r>
  <r>
    <x v="287"/>
    <x v="0"/>
    <x v="2"/>
    <x v="3"/>
    <n v="3950"/>
  </r>
  <r>
    <x v="287"/>
    <x v="0"/>
    <x v="2"/>
    <x v="4"/>
    <n v="31300"/>
  </r>
  <r>
    <x v="287"/>
    <x v="0"/>
    <x v="2"/>
    <x v="5"/>
    <n v="4500"/>
  </r>
  <r>
    <x v="287"/>
    <x v="0"/>
    <x v="2"/>
    <x v="7"/>
    <n v="5000"/>
  </r>
  <r>
    <x v="289"/>
    <x v="0"/>
    <x v="0"/>
    <x v="0"/>
    <n v="65104"/>
  </r>
  <r>
    <x v="289"/>
    <x v="0"/>
    <x v="0"/>
    <x v="2"/>
    <n v="14125"/>
  </r>
  <r>
    <x v="289"/>
    <x v="0"/>
    <x v="0"/>
    <x v="4"/>
    <n v="5000"/>
  </r>
  <r>
    <x v="289"/>
    <x v="0"/>
    <x v="1"/>
    <x v="3"/>
    <n v="20000"/>
  </r>
  <r>
    <x v="289"/>
    <x v="0"/>
    <x v="2"/>
    <x v="0"/>
    <n v="552684"/>
  </r>
  <r>
    <x v="289"/>
    <x v="0"/>
    <x v="2"/>
    <x v="1"/>
    <n v="318482"/>
  </r>
  <r>
    <x v="289"/>
    <x v="0"/>
    <x v="2"/>
    <x v="2"/>
    <n v="338537"/>
  </r>
  <r>
    <x v="289"/>
    <x v="0"/>
    <x v="2"/>
    <x v="3"/>
    <n v="490000"/>
  </r>
  <r>
    <x v="289"/>
    <x v="0"/>
    <x v="2"/>
    <x v="4"/>
    <n v="115000"/>
  </r>
  <r>
    <x v="289"/>
    <x v="0"/>
    <x v="2"/>
    <x v="5"/>
    <n v="2000"/>
  </r>
  <r>
    <x v="289"/>
    <x v="0"/>
    <x v="3"/>
    <x v="4"/>
    <n v="5000"/>
  </r>
  <r>
    <x v="287"/>
    <x v="1"/>
    <x v="2"/>
    <x v="1"/>
    <n v="4597"/>
  </r>
  <r>
    <x v="287"/>
    <x v="1"/>
    <x v="2"/>
    <x v="2"/>
    <n v="4076"/>
  </r>
  <r>
    <x v="289"/>
    <x v="1"/>
    <x v="2"/>
    <x v="0"/>
    <n v="57177"/>
  </r>
  <r>
    <x v="289"/>
    <x v="1"/>
    <x v="2"/>
    <x v="1"/>
    <n v="90914"/>
  </r>
  <r>
    <x v="289"/>
    <x v="1"/>
    <x v="2"/>
    <x v="2"/>
    <n v="91290"/>
  </r>
  <r>
    <x v="290"/>
    <x v="0"/>
    <x v="0"/>
    <x v="6"/>
    <n v="200"/>
  </r>
  <r>
    <x v="290"/>
    <x v="0"/>
    <x v="0"/>
    <x v="0"/>
    <n v="491408"/>
  </r>
  <r>
    <x v="290"/>
    <x v="0"/>
    <x v="0"/>
    <x v="1"/>
    <n v="185566"/>
  </r>
  <r>
    <x v="290"/>
    <x v="0"/>
    <x v="0"/>
    <x v="2"/>
    <n v="193553"/>
  </r>
  <r>
    <x v="290"/>
    <x v="0"/>
    <x v="0"/>
    <x v="3"/>
    <n v="6300"/>
  </r>
  <r>
    <x v="290"/>
    <x v="0"/>
    <x v="0"/>
    <x v="4"/>
    <n v="39200"/>
  </r>
  <r>
    <x v="290"/>
    <x v="0"/>
    <x v="0"/>
    <x v="5"/>
    <n v="2200"/>
  </r>
  <r>
    <x v="290"/>
    <x v="0"/>
    <x v="9"/>
    <x v="3"/>
    <n v="9100"/>
  </r>
  <r>
    <x v="290"/>
    <x v="0"/>
    <x v="9"/>
    <x v="4"/>
    <n v="3300"/>
  </r>
  <r>
    <x v="290"/>
    <x v="0"/>
    <x v="7"/>
    <x v="6"/>
    <n v="4200"/>
  </r>
  <r>
    <x v="290"/>
    <x v="0"/>
    <x v="1"/>
    <x v="0"/>
    <n v="1629935"/>
  </r>
  <r>
    <x v="290"/>
    <x v="0"/>
    <x v="1"/>
    <x v="1"/>
    <n v="312413"/>
  </r>
  <r>
    <x v="290"/>
    <x v="0"/>
    <x v="1"/>
    <x v="2"/>
    <n v="626991"/>
  </r>
  <r>
    <x v="290"/>
    <x v="0"/>
    <x v="1"/>
    <x v="3"/>
    <n v="12600"/>
  </r>
  <r>
    <x v="290"/>
    <x v="0"/>
    <x v="1"/>
    <x v="4"/>
    <n v="36800"/>
  </r>
  <r>
    <x v="290"/>
    <x v="0"/>
    <x v="1"/>
    <x v="5"/>
    <n v="600"/>
  </r>
  <r>
    <x v="290"/>
    <x v="0"/>
    <x v="2"/>
    <x v="6"/>
    <n v="19200"/>
  </r>
  <r>
    <x v="290"/>
    <x v="0"/>
    <x v="2"/>
    <x v="0"/>
    <n v="3499711"/>
  </r>
  <r>
    <x v="290"/>
    <x v="0"/>
    <x v="2"/>
    <x v="1"/>
    <n v="2794538"/>
  </r>
  <r>
    <x v="290"/>
    <x v="0"/>
    <x v="2"/>
    <x v="2"/>
    <n v="2557249"/>
  </r>
  <r>
    <x v="290"/>
    <x v="0"/>
    <x v="2"/>
    <x v="3"/>
    <n v="17600"/>
  </r>
  <r>
    <x v="290"/>
    <x v="0"/>
    <x v="2"/>
    <x v="4"/>
    <n v="1006200"/>
  </r>
  <r>
    <x v="290"/>
    <x v="0"/>
    <x v="2"/>
    <x v="5"/>
    <n v="1700"/>
  </r>
  <r>
    <x v="290"/>
    <x v="0"/>
    <x v="8"/>
    <x v="4"/>
    <n v="80000"/>
  </r>
  <r>
    <x v="290"/>
    <x v="0"/>
    <x v="3"/>
    <x v="6"/>
    <n v="200"/>
  </r>
  <r>
    <x v="290"/>
    <x v="0"/>
    <x v="3"/>
    <x v="0"/>
    <n v="15525"/>
  </r>
  <r>
    <x v="290"/>
    <x v="0"/>
    <x v="3"/>
    <x v="1"/>
    <n v="9400"/>
  </r>
  <r>
    <x v="290"/>
    <x v="0"/>
    <x v="3"/>
    <x v="2"/>
    <n v="4726"/>
  </r>
  <r>
    <x v="290"/>
    <x v="0"/>
    <x v="3"/>
    <x v="3"/>
    <n v="100"/>
  </r>
  <r>
    <x v="290"/>
    <x v="0"/>
    <x v="3"/>
    <x v="4"/>
    <n v="9100"/>
  </r>
  <r>
    <x v="290"/>
    <x v="0"/>
    <x v="3"/>
    <x v="5"/>
    <n v="500"/>
  </r>
  <r>
    <x v="290"/>
    <x v="0"/>
    <x v="4"/>
    <x v="3"/>
    <n v="3200"/>
  </r>
  <r>
    <x v="290"/>
    <x v="0"/>
    <x v="4"/>
    <x v="4"/>
    <n v="2200"/>
  </r>
  <r>
    <x v="290"/>
    <x v="0"/>
    <x v="5"/>
    <x v="3"/>
    <n v="21200"/>
  </r>
  <r>
    <x v="290"/>
    <x v="0"/>
    <x v="6"/>
    <x v="0"/>
    <n v="34080"/>
  </r>
  <r>
    <x v="290"/>
    <x v="0"/>
    <x v="6"/>
    <x v="2"/>
    <n v="10333"/>
  </r>
  <r>
    <x v="290"/>
    <x v="1"/>
    <x v="0"/>
    <x v="4"/>
    <n v="16300"/>
  </r>
  <r>
    <x v="290"/>
    <x v="1"/>
    <x v="1"/>
    <x v="0"/>
    <n v="601158"/>
  </r>
  <r>
    <x v="290"/>
    <x v="1"/>
    <x v="1"/>
    <x v="2"/>
    <n v="165346"/>
  </r>
  <r>
    <x v="290"/>
    <x v="1"/>
    <x v="1"/>
    <x v="4"/>
    <n v="100000"/>
  </r>
  <r>
    <x v="290"/>
    <x v="1"/>
    <x v="2"/>
    <x v="1"/>
    <n v="101215"/>
  </r>
  <r>
    <x v="290"/>
    <x v="1"/>
    <x v="2"/>
    <x v="2"/>
    <n v="55258"/>
  </r>
  <r>
    <x v="290"/>
    <x v="1"/>
    <x v="2"/>
    <x v="4"/>
    <n v="297312"/>
  </r>
  <r>
    <x v="290"/>
    <x v="1"/>
    <x v="8"/>
    <x v="4"/>
    <n v="12300"/>
  </r>
  <r>
    <x v="290"/>
    <x v="1"/>
    <x v="3"/>
    <x v="0"/>
    <n v="788"/>
  </r>
  <r>
    <x v="290"/>
    <x v="1"/>
    <x v="3"/>
    <x v="2"/>
    <n v="1274"/>
  </r>
  <r>
    <x v="290"/>
    <x v="2"/>
    <x v="1"/>
    <x v="4"/>
    <n v="13160"/>
  </r>
  <r>
    <x v="290"/>
    <x v="2"/>
    <x v="2"/>
    <x v="4"/>
    <n v="1500"/>
  </r>
  <r>
    <x v="291"/>
    <x v="0"/>
    <x v="0"/>
    <x v="0"/>
    <n v="14248"/>
  </r>
  <r>
    <x v="291"/>
    <x v="0"/>
    <x v="0"/>
    <x v="2"/>
    <n v="3869"/>
  </r>
  <r>
    <x v="291"/>
    <x v="0"/>
    <x v="11"/>
    <x v="0"/>
    <n v="11964"/>
  </r>
  <r>
    <x v="291"/>
    <x v="0"/>
    <x v="11"/>
    <x v="2"/>
    <n v="3579"/>
  </r>
  <r>
    <x v="291"/>
    <x v="0"/>
    <x v="7"/>
    <x v="1"/>
    <n v="39752"/>
  </r>
  <r>
    <x v="291"/>
    <x v="0"/>
    <x v="7"/>
    <x v="2"/>
    <n v="18939"/>
  </r>
  <r>
    <x v="291"/>
    <x v="0"/>
    <x v="1"/>
    <x v="4"/>
    <n v="600000"/>
  </r>
  <r>
    <x v="291"/>
    <x v="0"/>
    <x v="2"/>
    <x v="0"/>
    <n v="565659"/>
  </r>
  <r>
    <x v="291"/>
    <x v="0"/>
    <x v="2"/>
    <x v="1"/>
    <n v="502088"/>
  </r>
  <r>
    <x v="291"/>
    <x v="0"/>
    <x v="2"/>
    <x v="2"/>
    <n v="496445"/>
  </r>
  <r>
    <x v="291"/>
    <x v="0"/>
    <x v="2"/>
    <x v="3"/>
    <n v="7750"/>
  </r>
  <r>
    <x v="291"/>
    <x v="0"/>
    <x v="2"/>
    <x v="4"/>
    <n v="213700"/>
  </r>
  <r>
    <x v="291"/>
    <x v="0"/>
    <x v="5"/>
    <x v="3"/>
    <n v="1500"/>
  </r>
  <r>
    <x v="292"/>
    <x v="0"/>
    <x v="2"/>
    <x v="4"/>
    <n v="81851"/>
  </r>
  <r>
    <x v="291"/>
    <x v="1"/>
    <x v="1"/>
    <x v="4"/>
    <n v="192600"/>
  </r>
  <r>
    <x v="293"/>
    <x v="0"/>
    <x v="0"/>
    <x v="0"/>
    <n v="120012"/>
  </r>
  <r>
    <x v="293"/>
    <x v="0"/>
    <x v="0"/>
    <x v="1"/>
    <n v="11670"/>
  </r>
  <r>
    <x v="293"/>
    <x v="0"/>
    <x v="0"/>
    <x v="2"/>
    <n v="38358"/>
  </r>
  <r>
    <x v="293"/>
    <x v="0"/>
    <x v="0"/>
    <x v="3"/>
    <n v="50"/>
  </r>
  <r>
    <x v="293"/>
    <x v="0"/>
    <x v="0"/>
    <x v="4"/>
    <n v="1516"/>
  </r>
  <r>
    <x v="293"/>
    <x v="0"/>
    <x v="11"/>
    <x v="1"/>
    <n v="50064"/>
  </r>
  <r>
    <x v="293"/>
    <x v="0"/>
    <x v="11"/>
    <x v="2"/>
    <n v="23829"/>
  </r>
  <r>
    <x v="293"/>
    <x v="0"/>
    <x v="11"/>
    <x v="3"/>
    <n v="1430"/>
  </r>
  <r>
    <x v="293"/>
    <x v="0"/>
    <x v="11"/>
    <x v="4"/>
    <n v="500"/>
  </r>
  <r>
    <x v="293"/>
    <x v="0"/>
    <x v="11"/>
    <x v="5"/>
    <n v="1616"/>
  </r>
  <r>
    <x v="293"/>
    <x v="0"/>
    <x v="1"/>
    <x v="0"/>
    <n v="174482"/>
  </r>
  <r>
    <x v="293"/>
    <x v="0"/>
    <x v="1"/>
    <x v="2"/>
    <n v="59952"/>
  </r>
  <r>
    <x v="293"/>
    <x v="0"/>
    <x v="1"/>
    <x v="3"/>
    <n v="6293"/>
  </r>
  <r>
    <x v="293"/>
    <x v="0"/>
    <x v="1"/>
    <x v="4"/>
    <n v="297600"/>
  </r>
  <r>
    <x v="293"/>
    <x v="0"/>
    <x v="1"/>
    <x v="5"/>
    <n v="1200"/>
  </r>
  <r>
    <x v="293"/>
    <x v="0"/>
    <x v="2"/>
    <x v="0"/>
    <n v="374984"/>
  </r>
  <r>
    <x v="293"/>
    <x v="0"/>
    <x v="2"/>
    <x v="1"/>
    <n v="232133"/>
  </r>
  <r>
    <x v="293"/>
    <x v="0"/>
    <x v="2"/>
    <x v="2"/>
    <n v="259057"/>
  </r>
  <r>
    <x v="293"/>
    <x v="0"/>
    <x v="2"/>
    <x v="3"/>
    <n v="6150"/>
  </r>
  <r>
    <x v="293"/>
    <x v="0"/>
    <x v="3"/>
    <x v="1"/>
    <n v="2309"/>
  </r>
  <r>
    <x v="293"/>
    <x v="0"/>
    <x v="3"/>
    <x v="2"/>
    <n v="1047"/>
  </r>
  <r>
    <x v="293"/>
    <x v="0"/>
    <x v="3"/>
    <x v="3"/>
    <n v="300"/>
  </r>
  <r>
    <x v="293"/>
    <x v="0"/>
    <x v="3"/>
    <x v="4"/>
    <n v="3750"/>
  </r>
  <r>
    <x v="293"/>
    <x v="0"/>
    <x v="3"/>
    <x v="5"/>
    <n v="2500"/>
  </r>
  <r>
    <x v="293"/>
    <x v="0"/>
    <x v="4"/>
    <x v="3"/>
    <n v="4900"/>
  </r>
  <r>
    <x v="293"/>
    <x v="0"/>
    <x v="5"/>
    <x v="3"/>
    <n v="21740"/>
  </r>
  <r>
    <x v="293"/>
    <x v="0"/>
    <x v="6"/>
    <x v="0"/>
    <n v="6879"/>
  </r>
  <r>
    <x v="293"/>
    <x v="0"/>
    <x v="6"/>
    <x v="2"/>
    <n v="1170"/>
  </r>
  <r>
    <x v="293"/>
    <x v="0"/>
    <x v="6"/>
    <x v="3"/>
    <n v="263"/>
  </r>
  <r>
    <x v="293"/>
    <x v="0"/>
    <x v="6"/>
    <x v="4"/>
    <n v="1750"/>
  </r>
  <r>
    <x v="293"/>
    <x v="0"/>
    <x v="6"/>
    <x v="5"/>
    <n v="1773"/>
  </r>
  <r>
    <x v="294"/>
    <x v="0"/>
    <x v="0"/>
    <x v="0"/>
    <n v="87564"/>
  </r>
  <r>
    <x v="294"/>
    <x v="0"/>
    <x v="0"/>
    <x v="1"/>
    <n v="44167"/>
  </r>
  <r>
    <x v="294"/>
    <x v="0"/>
    <x v="0"/>
    <x v="2"/>
    <n v="39885"/>
  </r>
  <r>
    <x v="294"/>
    <x v="0"/>
    <x v="0"/>
    <x v="3"/>
    <n v="1000"/>
  </r>
  <r>
    <x v="294"/>
    <x v="0"/>
    <x v="0"/>
    <x v="4"/>
    <n v="12400"/>
  </r>
  <r>
    <x v="294"/>
    <x v="0"/>
    <x v="0"/>
    <x v="5"/>
    <n v="1000"/>
  </r>
  <r>
    <x v="294"/>
    <x v="0"/>
    <x v="1"/>
    <x v="1"/>
    <n v="87061"/>
  </r>
  <r>
    <x v="294"/>
    <x v="0"/>
    <x v="1"/>
    <x v="2"/>
    <n v="47249"/>
  </r>
  <r>
    <x v="294"/>
    <x v="0"/>
    <x v="1"/>
    <x v="3"/>
    <n v="400"/>
  </r>
  <r>
    <x v="294"/>
    <x v="0"/>
    <x v="1"/>
    <x v="4"/>
    <n v="200"/>
  </r>
  <r>
    <x v="294"/>
    <x v="0"/>
    <x v="2"/>
    <x v="0"/>
    <n v="305951"/>
  </r>
  <r>
    <x v="294"/>
    <x v="0"/>
    <x v="2"/>
    <x v="1"/>
    <n v="349373"/>
  </r>
  <r>
    <x v="294"/>
    <x v="0"/>
    <x v="2"/>
    <x v="2"/>
    <n v="333417"/>
  </r>
  <r>
    <x v="294"/>
    <x v="0"/>
    <x v="2"/>
    <x v="3"/>
    <n v="240547"/>
  </r>
  <r>
    <x v="294"/>
    <x v="0"/>
    <x v="2"/>
    <x v="4"/>
    <n v="268700"/>
  </r>
  <r>
    <x v="294"/>
    <x v="0"/>
    <x v="2"/>
    <x v="5"/>
    <n v="2000"/>
  </r>
  <r>
    <x v="293"/>
    <x v="1"/>
    <x v="1"/>
    <x v="4"/>
    <n v="1657"/>
  </r>
  <r>
    <x v="293"/>
    <x v="1"/>
    <x v="2"/>
    <x v="0"/>
    <n v="86025"/>
  </r>
  <r>
    <x v="293"/>
    <x v="1"/>
    <x v="2"/>
    <x v="1"/>
    <n v="15146"/>
  </r>
  <r>
    <x v="293"/>
    <x v="1"/>
    <x v="2"/>
    <x v="2"/>
    <n v="38844"/>
  </r>
  <r>
    <x v="293"/>
    <x v="1"/>
    <x v="3"/>
    <x v="0"/>
    <n v="1492"/>
  </r>
  <r>
    <x v="293"/>
    <x v="1"/>
    <x v="3"/>
    <x v="1"/>
    <n v="1303"/>
  </r>
  <r>
    <x v="293"/>
    <x v="1"/>
    <x v="3"/>
    <x v="2"/>
    <n v="775"/>
  </r>
  <r>
    <x v="293"/>
    <x v="1"/>
    <x v="3"/>
    <x v="4"/>
    <n v="71000"/>
  </r>
  <r>
    <x v="293"/>
    <x v="1"/>
    <x v="3"/>
    <x v="5"/>
    <n v="3000"/>
  </r>
  <r>
    <x v="294"/>
    <x v="0"/>
    <x v="3"/>
    <x v="4"/>
    <n v="19500"/>
  </r>
  <r>
    <x v="294"/>
    <x v="0"/>
    <x v="3"/>
    <x v="5"/>
    <n v="4000"/>
  </r>
  <r>
    <x v="294"/>
    <x v="0"/>
    <x v="4"/>
    <x v="3"/>
    <n v="12000"/>
  </r>
  <r>
    <x v="294"/>
    <x v="0"/>
    <x v="4"/>
    <x v="4"/>
    <n v="3000"/>
  </r>
  <r>
    <x v="294"/>
    <x v="0"/>
    <x v="5"/>
    <x v="3"/>
    <n v="200"/>
  </r>
  <r>
    <x v="294"/>
    <x v="0"/>
    <x v="6"/>
    <x v="0"/>
    <n v="4825"/>
  </r>
  <r>
    <x v="294"/>
    <x v="0"/>
    <x v="6"/>
    <x v="2"/>
    <n v="790"/>
  </r>
  <r>
    <x v="293"/>
    <x v="1"/>
    <x v="5"/>
    <x v="3"/>
    <n v="2500"/>
  </r>
  <r>
    <x v="294"/>
    <x v="1"/>
    <x v="2"/>
    <x v="0"/>
    <n v="173739"/>
  </r>
  <r>
    <x v="294"/>
    <x v="1"/>
    <x v="2"/>
    <x v="1"/>
    <n v="6373"/>
  </r>
  <r>
    <x v="294"/>
    <x v="1"/>
    <x v="2"/>
    <x v="2"/>
    <n v="72127"/>
  </r>
  <r>
    <x v="294"/>
    <x v="1"/>
    <x v="2"/>
    <x v="3"/>
    <n v="869"/>
  </r>
  <r>
    <x v="294"/>
    <x v="1"/>
    <x v="3"/>
    <x v="0"/>
    <n v="2750"/>
  </r>
  <r>
    <x v="294"/>
    <x v="1"/>
    <x v="3"/>
    <x v="2"/>
    <n v="450"/>
  </r>
  <r>
    <x v="295"/>
    <x v="0"/>
    <x v="0"/>
    <x v="0"/>
    <n v="1053245"/>
  </r>
  <r>
    <x v="295"/>
    <x v="0"/>
    <x v="0"/>
    <x v="1"/>
    <n v="571940"/>
  </r>
  <r>
    <x v="295"/>
    <x v="0"/>
    <x v="0"/>
    <x v="2"/>
    <n v="504461"/>
  </r>
  <r>
    <x v="295"/>
    <x v="0"/>
    <x v="0"/>
    <x v="3"/>
    <n v="1500"/>
  </r>
  <r>
    <x v="295"/>
    <x v="0"/>
    <x v="0"/>
    <x v="4"/>
    <n v="6500"/>
  </r>
  <r>
    <x v="295"/>
    <x v="0"/>
    <x v="0"/>
    <x v="5"/>
    <n v="22500"/>
  </r>
  <r>
    <x v="295"/>
    <x v="0"/>
    <x v="11"/>
    <x v="0"/>
    <n v="183050"/>
  </r>
  <r>
    <x v="295"/>
    <x v="0"/>
    <x v="11"/>
    <x v="1"/>
    <n v="100086"/>
  </r>
  <r>
    <x v="295"/>
    <x v="0"/>
    <x v="11"/>
    <x v="2"/>
    <n v="92686"/>
  </r>
  <r>
    <x v="295"/>
    <x v="0"/>
    <x v="1"/>
    <x v="0"/>
    <n v="12361951"/>
  </r>
  <r>
    <x v="295"/>
    <x v="0"/>
    <x v="1"/>
    <x v="1"/>
    <n v="288358"/>
  </r>
  <r>
    <x v="295"/>
    <x v="0"/>
    <x v="1"/>
    <x v="2"/>
    <n v="4165528"/>
  </r>
  <r>
    <x v="295"/>
    <x v="0"/>
    <x v="1"/>
    <x v="3"/>
    <n v="55500"/>
  </r>
  <r>
    <x v="295"/>
    <x v="0"/>
    <x v="1"/>
    <x v="4"/>
    <n v="809222"/>
  </r>
  <r>
    <x v="295"/>
    <x v="0"/>
    <x v="1"/>
    <x v="5"/>
    <n v="5000"/>
  </r>
  <r>
    <x v="295"/>
    <x v="0"/>
    <x v="2"/>
    <x v="6"/>
    <n v="5000"/>
  </r>
  <r>
    <x v="295"/>
    <x v="0"/>
    <x v="2"/>
    <x v="0"/>
    <n v="15785601"/>
  </r>
  <r>
    <x v="295"/>
    <x v="0"/>
    <x v="2"/>
    <x v="1"/>
    <n v="27268909"/>
  </r>
  <r>
    <x v="295"/>
    <x v="0"/>
    <x v="2"/>
    <x v="2"/>
    <n v="21980988"/>
  </r>
  <r>
    <x v="295"/>
    <x v="0"/>
    <x v="2"/>
    <x v="3"/>
    <n v="61300"/>
  </r>
  <r>
    <x v="295"/>
    <x v="0"/>
    <x v="2"/>
    <x v="4"/>
    <n v="4777120"/>
  </r>
  <r>
    <x v="295"/>
    <x v="0"/>
    <x v="2"/>
    <x v="5"/>
    <n v="8000"/>
  </r>
  <r>
    <x v="295"/>
    <x v="0"/>
    <x v="3"/>
    <x v="0"/>
    <n v="1164601"/>
  </r>
  <r>
    <x v="295"/>
    <x v="0"/>
    <x v="3"/>
    <x v="1"/>
    <n v="36000"/>
  </r>
  <r>
    <x v="295"/>
    <x v="0"/>
    <x v="3"/>
    <x v="2"/>
    <n v="337006"/>
  </r>
  <r>
    <x v="295"/>
    <x v="0"/>
    <x v="3"/>
    <x v="3"/>
    <n v="5000"/>
  </r>
  <r>
    <x v="295"/>
    <x v="0"/>
    <x v="3"/>
    <x v="4"/>
    <n v="40000"/>
  </r>
  <r>
    <x v="295"/>
    <x v="0"/>
    <x v="3"/>
    <x v="5"/>
    <n v="12500"/>
  </r>
  <r>
    <x v="295"/>
    <x v="0"/>
    <x v="5"/>
    <x v="3"/>
    <n v="100000"/>
  </r>
  <r>
    <x v="295"/>
    <x v="0"/>
    <x v="5"/>
    <x v="4"/>
    <n v="35000"/>
  </r>
  <r>
    <x v="295"/>
    <x v="0"/>
    <x v="6"/>
    <x v="0"/>
    <n v="375000"/>
  </r>
  <r>
    <x v="295"/>
    <x v="0"/>
    <x v="6"/>
    <x v="2"/>
    <n v="46217"/>
  </r>
  <r>
    <x v="295"/>
    <x v="1"/>
    <x v="2"/>
    <x v="0"/>
    <n v="3650447"/>
  </r>
  <r>
    <x v="295"/>
    <x v="1"/>
    <x v="2"/>
    <x v="1"/>
    <n v="40299"/>
  </r>
  <r>
    <x v="295"/>
    <x v="1"/>
    <x v="2"/>
    <x v="2"/>
    <n v="1190011"/>
  </r>
  <r>
    <x v="296"/>
    <x v="0"/>
    <x v="0"/>
    <x v="0"/>
    <n v="560558"/>
  </r>
  <r>
    <x v="296"/>
    <x v="0"/>
    <x v="0"/>
    <x v="1"/>
    <n v="120160"/>
  </r>
  <r>
    <x v="296"/>
    <x v="0"/>
    <x v="0"/>
    <x v="2"/>
    <n v="174365"/>
  </r>
  <r>
    <x v="296"/>
    <x v="0"/>
    <x v="0"/>
    <x v="3"/>
    <n v="8000"/>
  </r>
  <r>
    <x v="296"/>
    <x v="0"/>
    <x v="0"/>
    <x v="4"/>
    <n v="5800"/>
  </r>
  <r>
    <x v="296"/>
    <x v="0"/>
    <x v="7"/>
    <x v="4"/>
    <n v="28000"/>
  </r>
  <r>
    <x v="296"/>
    <x v="0"/>
    <x v="1"/>
    <x v="0"/>
    <n v="2509667"/>
  </r>
  <r>
    <x v="296"/>
    <x v="0"/>
    <x v="1"/>
    <x v="1"/>
    <n v="112879"/>
  </r>
  <r>
    <x v="296"/>
    <x v="0"/>
    <x v="1"/>
    <x v="2"/>
    <n v="841436"/>
  </r>
  <r>
    <x v="296"/>
    <x v="0"/>
    <x v="1"/>
    <x v="4"/>
    <n v="1067000"/>
  </r>
  <r>
    <x v="296"/>
    <x v="0"/>
    <x v="2"/>
    <x v="0"/>
    <n v="3262607"/>
  </r>
  <r>
    <x v="296"/>
    <x v="0"/>
    <x v="2"/>
    <x v="1"/>
    <n v="4204883"/>
  </r>
  <r>
    <x v="296"/>
    <x v="0"/>
    <x v="2"/>
    <x v="2"/>
    <n v="3283054"/>
  </r>
  <r>
    <x v="296"/>
    <x v="0"/>
    <x v="2"/>
    <x v="4"/>
    <n v="1835700"/>
  </r>
  <r>
    <x v="296"/>
    <x v="0"/>
    <x v="3"/>
    <x v="0"/>
    <n v="54977"/>
  </r>
  <r>
    <x v="296"/>
    <x v="0"/>
    <x v="3"/>
    <x v="2"/>
    <n v="17770"/>
  </r>
  <r>
    <x v="296"/>
    <x v="0"/>
    <x v="3"/>
    <x v="4"/>
    <n v="2000"/>
  </r>
  <r>
    <x v="296"/>
    <x v="0"/>
    <x v="5"/>
    <x v="4"/>
    <n v="210"/>
  </r>
  <r>
    <x v="296"/>
    <x v="0"/>
    <x v="6"/>
    <x v="0"/>
    <n v="84683"/>
  </r>
  <r>
    <x v="296"/>
    <x v="0"/>
    <x v="6"/>
    <x v="2"/>
    <n v="27610"/>
  </r>
  <r>
    <x v="297"/>
    <x v="0"/>
    <x v="0"/>
    <x v="0"/>
    <n v="113022"/>
  </r>
  <r>
    <x v="297"/>
    <x v="0"/>
    <x v="0"/>
    <x v="1"/>
    <n v="94444"/>
  </r>
  <r>
    <x v="297"/>
    <x v="0"/>
    <x v="0"/>
    <x v="2"/>
    <n v="66205"/>
  </r>
  <r>
    <x v="297"/>
    <x v="0"/>
    <x v="0"/>
    <x v="3"/>
    <n v="4000"/>
  </r>
  <r>
    <x v="297"/>
    <x v="0"/>
    <x v="0"/>
    <x v="4"/>
    <n v="7500"/>
  </r>
  <r>
    <x v="297"/>
    <x v="0"/>
    <x v="0"/>
    <x v="5"/>
    <n v="6000"/>
  </r>
  <r>
    <x v="297"/>
    <x v="0"/>
    <x v="1"/>
    <x v="0"/>
    <n v="795463"/>
  </r>
  <r>
    <x v="297"/>
    <x v="0"/>
    <x v="1"/>
    <x v="1"/>
    <n v="19622"/>
  </r>
  <r>
    <x v="297"/>
    <x v="0"/>
    <x v="1"/>
    <x v="2"/>
    <n v="262377"/>
  </r>
  <r>
    <x v="297"/>
    <x v="0"/>
    <x v="1"/>
    <x v="3"/>
    <n v="9100"/>
  </r>
  <r>
    <x v="297"/>
    <x v="0"/>
    <x v="1"/>
    <x v="4"/>
    <n v="175100"/>
  </r>
  <r>
    <x v="297"/>
    <x v="0"/>
    <x v="1"/>
    <x v="5"/>
    <n v="3300"/>
  </r>
  <r>
    <x v="297"/>
    <x v="0"/>
    <x v="2"/>
    <x v="6"/>
    <n v="2000"/>
  </r>
  <r>
    <x v="297"/>
    <x v="0"/>
    <x v="2"/>
    <x v="0"/>
    <n v="1346168"/>
  </r>
  <r>
    <x v="297"/>
    <x v="0"/>
    <x v="2"/>
    <x v="1"/>
    <n v="2127392"/>
  </r>
  <r>
    <x v="297"/>
    <x v="0"/>
    <x v="2"/>
    <x v="2"/>
    <n v="1792550"/>
  </r>
  <r>
    <x v="297"/>
    <x v="0"/>
    <x v="2"/>
    <x v="3"/>
    <n v="35200"/>
  </r>
  <r>
    <x v="297"/>
    <x v="0"/>
    <x v="2"/>
    <x v="4"/>
    <n v="964100"/>
  </r>
  <r>
    <x v="297"/>
    <x v="0"/>
    <x v="2"/>
    <x v="5"/>
    <n v="500"/>
  </r>
  <r>
    <x v="297"/>
    <x v="0"/>
    <x v="8"/>
    <x v="4"/>
    <n v="15000"/>
  </r>
  <r>
    <x v="297"/>
    <x v="0"/>
    <x v="3"/>
    <x v="0"/>
    <n v="85850"/>
  </r>
  <r>
    <x v="297"/>
    <x v="0"/>
    <x v="3"/>
    <x v="2"/>
    <n v="13481"/>
  </r>
  <r>
    <x v="297"/>
    <x v="0"/>
    <x v="3"/>
    <x v="4"/>
    <n v="3000"/>
  </r>
  <r>
    <x v="297"/>
    <x v="0"/>
    <x v="4"/>
    <x v="3"/>
    <n v="5000"/>
  </r>
  <r>
    <x v="297"/>
    <x v="0"/>
    <x v="5"/>
    <x v="3"/>
    <n v="5000"/>
  </r>
  <r>
    <x v="297"/>
    <x v="0"/>
    <x v="5"/>
    <x v="4"/>
    <n v="14000"/>
  </r>
  <r>
    <x v="297"/>
    <x v="0"/>
    <x v="6"/>
    <x v="0"/>
    <n v="16707"/>
  </r>
  <r>
    <x v="297"/>
    <x v="0"/>
    <x v="6"/>
    <x v="2"/>
    <n v="5794"/>
  </r>
  <r>
    <x v="297"/>
    <x v="1"/>
    <x v="2"/>
    <x v="0"/>
    <n v="236676"/>
  </r>
  <r>
    <x v="297"/>
    <x v="1"/>
    <x v="2"/>
    <x v="1"/>
    <n v="97846"/>
  </r>
  <r>
    <x v="297"/>
    <x v="1"/>
    <x v="2"/>
    <x v="2"/>
    <n v="137257"/>
  </r>
  <r>
    <x v="298"/>
    <x v="0"/>
    <x v="0"/>
    <x v="0"/>
    <n v="130835"/>
  </r>
  <r>
    <x v="298"/>
    <x v="0"/>
    <x v="0"/>
    <x v="1"/>
    <n v="52348"/>
  </r>
  <r>
    <x v="298"/>
    <x v="0"/>
    <x v="0"/>
    <x v="2"/>
    <n v="54664"/>
  </r>
  <r>
    <x v="298"/>
    <x v="0"/>
    <x v="0"/>
    <x v="3"/>
    <n v="1000"/>
  </r>
  <r>
    <x v="298"/>
    <x v="0"/>
    <x v="0"/>
    <x v="4"/>
    <n v="9250"/>
  </r>
  <r>
    <x v="298"/>
    <x v="0"/>
    <x v="1"/>
    <x v="0"/>
    <n v="97622"/>
  </r>
  <r>
    <x v="298"/>
    <x v="0"/>
    <x v="1"/>
    <x v="2"/>
    <n v="32601"/>
  </r>
  <r>
    <x v="298"/>
    <x v="0"/>
    <x v="1"/>
    <x v="3"/>
    <n v="9000"/>
  </r>
  <r>
    <x v="298"/>
    <x v="0"/>
    <x v="1"/>
    <x v="4"/>
    <n v="182000"/>
  </r>
  <r>
    <x v="298"/>
    <x v="0"/>
    <x v="2"/>
    <x v="0"/>
    <n v="789757"/>
  </r>
  <r>
    <x v="298"/>
    <x v="0"/>
    <x v="2"/>
    <x v="1"/>
    <n v="816491"/>
  </r>
  <r>
    <x v="298"/>
    <x v="0"/>
    <x v="2"/>
    <x v="2"/>
    <n v="728375"/>
  </r>
  <r>
    <x v="298"/>
    <x v="0"/>
    <x v="2"/>
    <x v="4"/>
    <n v="500000"/>
  </r>
  <r>
    <x v="298"/>
    <x v="0"/>
    <x v="3"/>
    <x v="4"/>
    <n v="2100"/>
  </r>
  <r>
    <x v="298"/>
    <x v="1"/>
    <x v="0"/>
    <x v="0"/>
    <n v="17445"/>
  </r>
  <r>
    <x v="298"/>
    <x v="1"/>
    <x v="0"/>
    <x v="2"/>
    <n v="4339"/>
  </r>
  <r>
    <x v="298"/>
    <x v="1"/>
    <x v="1"/>
    <x v="4"/>
    <n v="220000"/>
  </r>
  <r>
    <x v="298"/>
    <x v="1"/>
    <x v="2"/>
    <x v="0"/>
    <n v="88701"/>
  </r>
  <r>
    <x v="298"/>
    <x v="1"/>
    <x v="2"/>
    <x v="2"/>
    <n v="31694"/>
  </r>
  <r>
    <x v="298"/>
    <x v="1"/>
    <x v="3"/>
    <x v="4"/>
    <n v="1000"/>
  </r>
  <r>
    <x v="299"/>
    <x v="0"/>
    <x v="0"/>
    <x v="0"/>
    <n v="828967"/>
  </r>
  <r>
    <x v="299"/>
    <x v="0"/>
    <x v="0"/>
    <x v="1"/>
    <n v="343665"/>
  </r>
  <r>
    <x v="299"/>
    <x v="0"/>
    <x v="0"/>
    <x v="2"/>
    <n v="363506"/>
  </r>
  <r>
    <x v="299"/>
    <x v="0"/>
    <x v="0"/>
    <x v="3"/>
    <n v="17501"/>
  </r>
  <r>
    <x v="299"/>
    <x v="0"/>
    <x v="0"/>
    <x v="4"/>
    <n v="32500"/>
  </r>
  <r>
    <x v="299"/>
    <x v="0"/>
    <x v="0"/>
    <x v="5"/>
    <n v="4400"/>
  </r>
  <r>
    <x v="299"/>
    <x v="0"/>
    <x v="11"/>
    <x v="0"/>
    <n v="193382"/>
  </r>
  <r>
    <x v="299"/>
    <x v="0"/>
    <x v="11"/>
    <x v="1"/>
    <n v="70195"/>
  </r>
  <r>
    <x v="299"/>
    <x v="0"/>
    <x v="11"/>
    <x v="2"/>
    <n v="82946"/>
  </r>
  <r>
    <x v="299"/>
    <x v="0"/>
    <x v="11"/>
    <x v="3"/>
    <n v="3500"/>
  </r>
  <r>
    <x v="299"/>
    <x v="0"/>
    <x v="11"/>
    <x v="4"/>
    <n v="1000"/>
  </r>
  <r>
    <x v="299"/>
    <x v="0"/>
    <x v="11"/>
    <x v="5"/>
    <n v="3300"/>
  </r>
  <r>
    <x v="299"/>
    <x v="0"/>
    <x v="7"/>
    <x v="1"/>
    <n v="62650"/>
  </r>
  <r>
    <x v="299"/>
    <x v="0"/>
    <x v="7"/>
    <x v="2"/>
    <n v="27681"/>
  </r>
  <r>
    <x v="299"/>
    <x v="0"/>
    <x v="1"/>
    <x v="0"/>
    <n v="5246976"/>
  </r>
  <r>
    <x v="299"/>
    <x v="0"/>
    <x v="1"/>
    <x v="1"/>
    <n v="1792598"/>
  </r>
  <r>
    <x v="299"/>
    <x v="0"/>
    <x v="1"/>
    <x v="2"/>
    <n v="2388160"/>
  </r>
  <r>
    <x v="299"/>
    <x v="0"/>
    <x v="1"/>
    <x v="3"/>
    <n v="68000"/>
  </r>
  <r>
    <x v="299"/>
    <x v="0"/>
    <x v="1"/>
    <x v="4"/>
    <n v="1915000"/>
  </r>
  <r>
    <x v="299"/>
    <x v="0"/>
    <x v="1"/>
    <x v="5"/>
    <n v="13500"/>
  </r>
  <r>
    <x v="299"/>
    <x v="0"/>
    <x v="2"/>
    <x v="6"/>
    <n v="7000"/>
  </r>
  <r>
    <x v="299"/>
    <x v="0"/>
    <x v="2"/>
    <x v="0"/>
    <n v="11016082"/>
  </r>
  <r>
    <x v="299"/>
    <x v="0"/>
    <x v="2"/>
    <x v="1"/>
    <n v="8286228"/>
  </r>
  <r>
    <x v="299"/>
    <x v="0"/>
    <x v="2"/>
    <x v="2"/>
    <n v="8245637"/>
  </r>
  <r>
    <x v="299"/>
    <x v="0"/>
    <x v="2"/>
    <x v="3"/>
    <n v="175000"/>
  </r>
  <r>
    <x v="299"/>
    <x v="0"/>
    <x v="2"/>
    <x v="4"/>
    <n v="327100"/>
  </r>
  <r>
    <x v="299"/>
    <x v="0"/>
    <x v="2"/>
    <x v="5"/>
    <n v="16500"/>
  </r>
  <r>
    <x v="299"/>
    <x v="0"/>
    <x v="3"/>
    <x v="0"/>
    <n v="124352"/>
  </r>
  <r>
    <x v="299"/>
    <x v="0"/>
    <x v="3"/>
    <x v="2"/>
    <n v="37488"/>
  </r>
  <r>
    <x v="299"/>
    <x v="0"/>
    <x v="3"/>
    <x v="4"/>
    <n v="9000"/>
  </r>
  <r>
    <x v="299"/>
    <x v="0"/>
    <x v="3"/>
    <x v="5"/>
    <n v="2000"/>
  </r>
  <r>
    <x v="299"/>
    <x v="0"/>
    <x v="4"/>
    <x v="3"/>
    <n v="10000"/>
  </r>
  <r>
    <x v="299"/>
    <x v="0"/>
    <x v="5"/>
    <x v="3"/>
    <n v="43000"/>
  </r>
  <r>
    <x v="299"/>
    <x v="0"/>
    <x v="6"/>
    <x v="0"/>
    <n v="221210"/>
  </r>
  <r>
    <x v="299"/>
    <x v="0"/>
    <x v="6"/>
    <x v="2"/>
    <n v="36431"/>
  </r>
  <r>
    <x v="299"/>
    <x v="1"/>
    <x v="1"/>
    <x v="0"/>
    <n v="169687"/>
  </r>
  <r>
    <x v="299"/>
    <x v="1"/>
    <x v="1"/>
    <x v="2"/>
    <n v="55444"/>
  </r>
  <r>
    <x v="299"/>
    <x v="1"/>
    <x v="2"/>
    <x v="0"/>
    <n v="1015479"/>
  </r>
  <r>
    <x v="299"/>
    <x v="1"/>
    <x v="2"/>
    <x v="1"/>
    <n v="2264016"/>
  </r>
  <r>
    <x v="299"/>
    <x v="1"/>
    <x v="2"/>
    <x v="2"/>
    <n v="1580632"/>
  </r>
  <r>
    <x v="299"/>
    <x v="1"/>
    <x v="2"/>
    <x v="3"/>
    <n v="1500"/>
  </r>
  <r>
    <x v="299"/>
    <x v="1"/>
    <x v="3"/>
    <x v="0"/>
    <n v="16289"/>
  </r>
  <r>
    <x v="299"/>
    <x v="1"/>
    <x v="3"/>
    <x v="2"/>
    <n v="2687"/>
  </r>
  <r>
    <x v="299"/>
    <x v="1"/>
    <x v="3"/>
    <x v="3"/>
    <n v="47535"/>
  </r>
  <r>
    <x v="299"/>
    <x v="1"/>
    <x v="3"/>
    <x v="4"/>
    <n v="865"/>
  </r>
  <r>
    <x v="299"/>
    <x v="1"/>
    <x v="3"/>
    <x v="5"/>
    <n v="3500"/>
  </r>
  <r>
    <x v="300"/>
    <x v="0"/>
    <x v="2"/>
    <x v="4"/>
    <n v="1009116"/>
  </r>
  <r>
    <x v="296"/>
    <x v="1"/>
    <x v="1"/>
    <x v="0"/>
    <n v="139123"/>
  </r>
  <r>
    <x v="296"/>
    <x v="1"/>
    <x v="1"/>
    <x v="2"/>
    <n v="38209"/>
  </r>
  <r>
    <x v="296"/>
    <x v="1"/>
    <x v="2"/>
    <x v="0"/>
    <n v="803146"/>
  </r>
  <r>
    <x v="296"/>
    <x v="1"/>
    <x v="2"/>
    <x v="2"/>
    <n v="227943"/>
  </r>
  <r>
    <x v="296"/>
    <x v="1"/>
    <x v="3"/>
    <x v="0"/>
    <n v="23667"/>
  </r>
  <r>
    <x v="296"/>
    <x v="1"/>
    <x v="3"/>
    <x v="2"/>
    <n v="7032"/>
  </r>
  <r>
    <x v="301"/>
    <x v="0"/>
    <x v="0"/>
    <x v="6"/>
    <n v="450"/>
  </r>
  <r>
    <x v="301"/>
    <x v="0"/>
    <x v="0"/>
    <x v="0"/>
    <n v="733436"/>
  </r>
  <r>
    <x v="301"/>
    <x v="0"/>
    <x v="0"/>
    <x v="1"/>
    <n v="942309"/>
  </r>
  <r>
    <x v="301"/>
    <x v="0"/>
    <x v="0"/>
    <x v="2"/>
    <n v="379446"/>
  </r>
  <r>
    <x v="301"/>
    <x v="0"/>
    <x v="0"/>
    <x v="3"/>
    <n v="13500"/>
  </r>
  <r>
    <x v="301"/>
    <x v="0"/>
    <x v="0"/>
    <x v="4"/>
    <n v="9300"/>
  </r>
  <r>
    <x v="301"/>
    <x v="0"/>
    <x v="0"/>
    <x v="5"/>
    <n v="34500"/>
  </r>
  <r>
    <x v="301"/>
    <x v="0"/>
    <x v="11"/>
    <x v="0"/>
    <n v="211526"/>
  </r>
  <r>
    <x v="301"/>
    <x v="0"/>
    <x v="11"/>
    <x v="1"/>
    <n v="75400"/>
  </r>
  <r>
    <x v="301"/>
    <x v="0"/>
    <x v="11"/>
    <x v="2"/>
    <n v="74135"/>
  </r>
  <r>
    <x v="301"/>
    <x v="0"/>
    <x v="9"/>
    <x v="0"/>
    <n v="369233"/>
  </r>
  <r>
    <x v="301"/>
    <x v="0"/>
    <x v="9"/>
    <x v="2"/>
    <n v="121224"/>
  </r>
  <r>
    <x v="301"/>
    <x v="0"/>
    <x v="1"/>
    <x v="0"/>
    <n v="12904390"/>
  </r>
  <r>
    <x v="301"/>
    <x v="0"/>
    <x v="1"/>
    <x v="1"/>
    <n v="355227"/>
  </r>
  <r>
    <x v="301"/>
    <x v="0"/>
    <x v="1"/>
    <x v="2"/>
    <n v="3874325"/>
  </r>
  <r>
    <x v="301"/>
    <x v="0"/>
    <x v="1"/>
    <x v="3"/>
    <n v="74000"/>
  </r>
  <r>
    <x v="301"/>
    <x v="0"/>
    <x v="1"/>
    <x v="4"/>
    <n v="1184575"/>
  </r>
  <r>
    <x v="301"/>
    <x v="0"/>
    <x v="1"/>
    <x v="5"/>
    <n v="8000"/>
  </r>
  <r>
    <x v="301"/>
    <x v="0"/>
    <x v="2"/>
    <x v="6"/>
    <n v="178010"/>
  </r>
  <r>
    <x v="301"/>
    <x v="0"/>
    <x v="2"/>
    <x v="0"/>
    <n v="23817156"/>
  </r>
  <r>
    <x v="301"/>
    <x v="0"/>
    <x v="2"/>
    <x v="1"/>
    <n v="17327201"/>
  </r>
  <r>
    <x v="301"/>
    <x v="0"/>
    <x v="2"/>
    <x v="2"/>
    <n v="17032692"/>
  </r>
  <r>
    <x v="301"/>
    <x v="0"/>
    <x v="2"/>
    <x v="3"/>
    <n v="189900"/>
  </r>
  <r>
    <x v="301"/>
    <x v="0"/>
    <x v="2"/>
    <x v="4"/>
    <n v="12782670"/>
  </r>
  <r>
    <x v="301"/>
    <x v="0"/>
    <x v="2"/>
    <x v="5"/>
    <n v="51000"/>
  </r>
  <r>
    <x v="301"/>
    <x v="0"/>
    <x v="10"/>
    <x v="0"/>
    <n v="7261"/>
  </r>
  <r>
    <x v="301"/>
    <x v="0"/>
    <x v="10"/>
    <x v="2"/>
    <n v="1173"/>
  </r>
  <r>
    <x v="301"/>
    <x v="0"/>
    <x v="8"/>
    <x v="4"/>
    <n v="2270000"/>
  </r>
  <r>
    <x v="301"/>
    <x v="0"/>
    <x v="3"/>
    <x v="0"/>
    <n v="5400"/>
  </r>
  <r>
    <x v="301"/>
    <x v="0"/>
    <x v="3"/>
    <x v="1"/>
    <n v="4000"/>
  </r>
  <r>
    <x v="301"/>
    <x v="0"/>
    <x v="3"/>
    <x v="4"/>
    <n v="2900"/>
  </r>
  <r>
    <x v="301"/>
    <x v="0"/>
    <x v="5"/>
    <x v="3"/>
    <n v="455000"/>
  </r>
  <r>
    <x v="301"/>
    <x v="0"/>
    <x v="5"/>
    <x v="4"/>
    <n v="114100"/>
  </r>
  <r>
    <x v="301"/>
    <x v="1"/>
    <x v="1"/>
    <x v="0"/>
    <n v="5848211"/>
  </r>
  <r>
    <x v="301"/>
    <x v="1"/>
    <x v="1"/>
    <x v="2"/>
    <n v="1710810"/>
  </r>
  <r>
    <x v="301"/>
    <x v="1"/>
    <x v="2"/>
    <x v="3"/>
    <n v="150000"/>
  </r>
  <r>
    <x v="301"/>
    <x v="1"/>
    <x v="2"/>
    <x v="4"/>
    <n v="30000"/>
  </r>
  <r>
    <x v="301"/>
    <x v="1"/>
    <x v="5"/>
    <x v="3"/>
    <n v="19250"/>
  </r>
  <r>
    <x v="302"/>
    <x v="0"/>
    <x v="0"/>
    <x v="0"/>
    <n v="27012"/>
  </r>
  <r>
    <x v="302"/>
    <x v="0"/>
    <x v="0"/>
    <x v="1"/>
    <n v="43468"/>
  </r>
  <r>
    <x v="302"/>
    <x v="0"/>
    <x v="0"/>
    <x v="2"/>
    <n v="23085"/>
  </r>
  <r>
    <x v="302"/>
    <x v="0"/>
    <x v="0"/>
    <x v="3"/>
    <n v="250"/>
  </r>
  <r>
    <x v="302"/>
    <x v="0"/>
    <x v="0"/>
    <x v="4"/>
    <n v="5170"/>
  </r>
  <r>
    <x v="302"/>
    <x v="0"/>
    <x v="0"/>
    <x v="5"/>
    <n v="750"/>
  </r>
  <r>
    <x v="302"/>
    <x v="0"/>
    <x v="7"/>
    <x v="1"/>
    <n v="63640"/>
  </r>
  <r>
    <x v="302"/>
    <x v="0"/>
    <x v="7"/>
    <x v="2"/>
    <n v="39745"/>
  </r>
  <r>
    <x v="302"/>
    <x v="0"/>
    <x v="1"/>
    <x v="0"/>
    <n v="406597"/>
  </r>
  <r>
    <x v="302"/>
    <x v="0"/>
    <x v="1"/>
    <x v="1"/>
    <n v="34913"/>
  </r>
  <r>
    <x v="302"/>
    <x v="0"/>
    <x v="1"/>
    <x v="2"/>
    <n v="152898"/>
  </r>
  <r>
    <x v="302"/>
    <x v="0"/>
    <x v="1"/>
    <x v="3"/>
    <n v="3800"/>
  </r>
  <r>
    <x v="302"/>
    <x v="0"/>
    <x v="1"/>
    <x v="4"/>
    <n v="231720"/>
  </r>
  <r>
    <x v="302"/>
    <x v="0"/>
    <x v="2"/>
    <x v="6"/>
    <n v="5000"/>
  </r>
  <r>
    <x v="302"/>
    <x v="0"/>
    <x v="2"/>
    <x v="0"/>
    <n v="1041322"/>
  </r>
  <r>
    <x v="302"/>
    <x v="0"/>
    <x v="2"/>
    <x v="1"/>
    <n v="826123"/>
  </r>
  <r>
    <x v="302"/>
    <x v="0"/>
    <x v="2"/>
    <x v="2"/>
    <n v="850573"/>
  </r>
  <r>
    <x v="302"/>
    <x v="0"/>
    <x v="2"/>
    <x v="3"/>
    <n v="600"/>
  </r>
  <r>
    <x v="302"/>
    <x v="0"/>
    <x v="10"/>
    <x v="1"/>
    <n v="15000"/>
  </r>
  <r>
    <x v="302"/>
    <x v="0"/>
    <x v="10"/>
    <x v="2"/>
    <n v="2427"/>
  </r>
  <r>
    <x v="302"/>
    <x v="0"/>
    <x v="3"/>
    <x v="3"/>
    <n v="50"/>
  </r>
  <r>
    <x v="302"/>
    <x v="0"/>
    <x v="6"/>
    <x v="0"/>
    <n v="15083"/>
  </r>
  <r>
    <x v="302"/>
    <x v="0"/>
    <x v="6"/>
    <x v="2"/>
    <n v="2578"/>
  </r>
  <r>
    <x v="302"/>
    <x v="1"/>
    <x v="7"/>
    <x v="1"/>
    <n v="8920"/>
  </r>
  <r>
    <x v="302"/>
    <x v="1"/>
    <x v="7"/>
    <x v="2"/>
    <n v="6018"/>
  </r>
  <r>
    <x v="302"/>
    <x v="1"/>
    <x v="1"/>
    <x v="0"/>
    <n v="119091"/>
  </r>
  <r>
    <x v="302"/>
    <x v="1"/>
    <x v="1"/>
    <x v="2"/>
    <n v="35712"/>
  </r>
  <r>
    <x v="302"/>
    <x v="1"/>
    <x v="2"/>
    <x v="0"/>
    <n v="58203"/>
  </r>
  <r>
    <x v="302"/>
    <x v="1"/>
    <x v="2"/>
    <x v="1"/>
    <n v="42903"/>
  </r>
  <r>
    <x v="302"/>
    <x v="1"/>
    <x v="2"/>
    <x v="2"/>
    <n v="46515"/>
  </r>
  <r>
    <x v="303"/>
    <x v="0"/>
    <x v="0"/>
    <x v="0"/>
    <n v="40032"/>
  </r>
  <r>
    <x v="303"/>
    <x v="0"/>
    <x v="0"/>
    <x v="1"/>
    <n v="23278"/>
  </r>
  <r>
    <x v="303"/>
    <x v="0"/>
    <x v="0"/>
    <x v="2"/>
    <n v="22834"/>
  </r>
  <r>
    <x v="303"/>
    <x v="0"/>
    <x v="0"/>
    <x v="4"/>
    <n v="500"/>
  </r>
  <r>
    <x v="303"/>
    <x v="0"/>
    <x v="0"/>
    <x v="5"/>
    <n v="400"/>
  </r>
  <r>
    <x v="303"/>
    <x v="0"/>
    <x v="11"/>
    <x v="1"/>
    <n v="19844"/>
  </r>
  <r>
    <x v="303"/>
    <x v="0"/>
    <x v="11"/>
    <x v="2"/>
    <n v="16973"/>
  </r>
  <r>
    <x v="303"/>
    <x v="0"/>
    <x v="1"/>
    <x v="0"/>
    <n v="40032"/>
  </r>
  <r>
    <x v="303"/>
    <x v="0"/>
    <x v="1"/>
    <x v="1"/>
    <n v="32123"/>
  </r>
  <r>
    <x v="303"/>
    <x v="0"/>
    <x v="1"/>
    <x v="2"/>
    <n v="35221"/>
  </r>
  <r>
    <x v="303"/>
    <x v="0"/>
    <x v="1"/>
    <x v="4"/>
    <n v="191300"/>
  </r>
  <r>
    <x v="303"/>
    <x v="0"/>
    <x v="2"/>
    <x v="0"/>
    <n v="493491"/>
  </r>
  <r>
    <x v="303"/>
    <x v="0"/>
    <x v="2"/>
    <x v="1"/>
    <n v="660782"/>
  </r>
  <r>
    <x v="303"/>
    <x v="0"/>
    <x v="2"/>
    <x v="2"/>
    <n v="578630"/>
  </r>
  <r>
    <x v="303"/>
    <x v="0"/>
    <x v="3"/>
    <x v="0"/>
    <n v="2779"/>
  </r>
  <r>
    <x v="303"/>
    <x v="0"/>
    <x v="3"/>
    <x v="2"/>
    <n v="437"/>
  </r>
  <r>
    <x v="303"/>
    <x v="0"/>
    <x v="6"/>
    <x v="0"/>
    <n v="8368"/>
  </r>
  <r>
    <x v="303"/>
    <x v="0"/>
    <x v="6"/>
    <x v="2"/>
    <n v="1315"/>
  </r>
  <r>
    <x v="303"/>
    <x v="1"/>
    <x v="2"/>
    <x v="0"/>
    <n v="42225"/>
  </r>
  <r>
    <x v="303"/>
    <x v="1"/>
    <x v="2"/>
    <x v="1"/>
    <n v="161133"/>
  </r>
  <r>
    <x v="303"/>
    <x v="1"/>
    <x v="2"/>
    <x v="2"/>
    <n v="112562"/>
  </r>
  <r>
    <x v="304"/>
    <x v="0"/>
    <x v="1"/>
    <x v="4"/>
    <n v="500"/>
  </r>
  <r>
    <x v="304"/>
    <x v="0"/>
    <x v="2"/>
    <x v="0"/>
    <n v="200349"/>
  </r>
  <r>
    <x v="304"/>
    <x v="0"/>
    <x v="2"/>
    <x v="1"/>
    <n v="349553"/>
  </r>
  <r>
    <x v="304"/>
    <x v="0"/>
    <x v="2"/>
    <x v="2"/>
    <n v="338757"/>
  </r>
  <r>
    <x v="304"/>
    <x v="0"/>
    <x v="2"/>
    <x v="3"/>
    <n v="7000"/>
  </r>
  <r>
    <x v="304"/>
    <x v="0"/>
    <x v="2"/>
    <x v="4"/>
    <n v="400000"/>
  </r>
  <r>
    <x v="304"/>
    <x v="0"/>
    <x v="2"/>
    <x v="5"/>
    <n v="800"/>
  </r>
  <r>
    <x v="304"/>
    <x v="0"/>
    <x v="3"/>
    <x v="0"/>
    <n v="1404"/>
  </r>
  <r>
    <x v="304"/>
    <x v="0"/>
    <x v="3"/>
    <x v="2"/>
    <n v="565"/>
  </r>
  <r>
    <x v="304"/>
    <x v="0"/>
    <x v="3"/>
    <x v="4"/>
    <n v="1000"/>
  </r>
  <r>
    <x v="304"/>
    <x v="0"/>
    <x v="3"/>
    <x v="5"/>
    <n v="500"/>
  </r>
  <r>
    <x v="304"/>
    <x v="0"/>
    <x v="6"/>
    <x v="0"/>
    <n v="2807"/>
  </r>
  <r>
    <x v="304"/>
    <x v="0"/>
    <x v="6"/>
    <x v="2"/>
    <n v="1129"/>
  </r>
  <r>
    <x v="304"/>
    <x v="1"/>
    <x v="1"/>
    <x v="4"/>
    <n v="120329"/>
  </r>
  <r>
    <x v="304"/>
    <x v="1"/>
    <x v="2"/>
    <x v="1"/>
    <n v="4437"/>
  </r>
  <r>
    <x v="304"/>
    <x v="1"/>
    <x v="2"/>
    <x v="2"/>
    <n v="3214"/>
  </r>
  <r>
    <x v="305"/>
    <x v="0"/>
    <x v="0"/>
    <x v="0"/>
    <n v="349157"/>
  </r>
  <r>
    <x v="305"/>
    <x v="0"/>
    <x v="0"/>
    <x v="2"/>
    <n v="90272"/>
  </r>
  <r>
    <x v="305"/>
    <x v="0"/>
    <x v="0"/>
    <x v="4"/>
    <n v="11921"/>
  </r>
  <r>
    <x v="305"/>
    <x v="0"/>
    <x v="7"/>
    <x v="1"/>
    <n v="317306"/>
  </r>
  <r>
    <x v="305"/>
    <x v="0"/>
    <x v="7"/>
    <x v="2"/>
    <n v="273165"/>
  </r>
  <r>
    <x v="305"/>
    <x v="0"/>
    <x v="1"/>
    <x v="0"/>
    <n v="4441607"/>
  </r>
  <r>
    <x v="305"/>
    <x v="0"/>
    <x v="1"/>
    <x v="1"/>
    <n v="662541"/>
  </r>
  <r>
    <x v="305"/>
    <x v="0"/>
    <x v="1"/>
    <x v="2"/>
    <n v="1667142"/>
  </r>
  <r>
    <x v="305"/>
    <x v="0"/>
    <x v="1"/>
    <x v="4"/>
    <n v="17000"/>
  </r>
  <r>
    <x v="305"/>
    <x v="0"/>
    <x v="2"/>
    <x v="0"/>
    <n v="4473612"/>
  </r>
  <r>
    <x v="305"/>
    <x v="0"/>
    <x v="2"/>
    <x v="1"/>
    <n v="4824552"/>
  </r>
  <r>
    <x v="305"/>
    <x v="0"/>
    <x v="2"/>
    <x v="2"/>
    <n v="4615174"/>
  </r>
  <r>
    <x v="305"/>
    <x v="0"/>
    <x v="3"/>
    <x v="0"/>
    <n v="57778"/>
  </r>
  <r>
    <x v="305"/>
    <x v="0"/>
    <x v="3"/>
    <x v="2"/>
    <n v="18134"/>
  </r>
  <r>
    <x v="305"/>
    <x v="0"/>
    <x v="6"/>
    <x v="0"/>
    <n v="63396"/>
  </r>
  <r>
    <x v="305"/>
    <x v="0"/>
    <x v="6"/>
    <x v="2"/>
    <n v="11316"/>
  </r>
  <r>
    <x v="305"/>
    <x v="1"/>
    <x v="2"/>
    <x v="0"/>
    <n v="409802"/>
  </r>
  <r>
    <x v="305"/>
    <x v="1"/>
    <x v="2"/>
    <x v="1"/>
    <n v="24672"/>
  </r>
  <r>
    <x v="305"/>
    <x v="1"/>
    <x v="2"/>
    <x v="2"/>
    <n v="123711"/>
  </r>
  <r>
    <x v="305"/>
    <x v="1"/>
    <x v="2"/>
    <x v="3"/>
    <n v="635921"/>
  </r>
  <r>
    <x v="305"/>
    <x v="1"/>
    <x v="2"/>
    <x v="4"/>
    <n v="709200"/>
  </r>
  <r>
    <x v="306"/>
    <x v="0"/>
    <x v="2"/>
    <x v="0"/>
    <n v="331996"/>
  </r>
  <r>
    <x v="306"/>
    <x v="0"/>
    <x v="2"/>
    <x v="1"/>
    <n v="333964"/>
  </r>
  <r>
    <x v="306"/>
    <x v="0"/>
    <x v="2"/>
    <x v="2"/>
    <n v="338043"/>
  </r>
  <r>
    <x v="306"/>
    <x v="0"/>
    <x v="2"/>
    <x v="4"/>
    <n v="621997"/>
  </r>
  <r>
    <x v="306"/>
    <x v="1"/>
    <x v="1"/>
    <x v="4"/>
    <n v="150575"/>
  </r>
  <r>
    <x v="307"/>
    <x v="0"/>
    <x v="0"/>
    <x v="0"/>
    <n v="109554"/>
  </r>
  <r>
    <x v="307"/>
    <x v="0"/>
    <x v="0"/>
    <x v="1"/>
    <n v="47804"/>
  </r>
  <r>
    <x v="307"/>
    <x v="0"/>
    <x v="0"/>
    <x v="2"/>
    <n v="52579"/>
  </r>
  <r>
    <x v="307"/>
    <x v="0"/>
    <x v="0"/>
    <x v="3"/>
    <n v="1000"/>
  </r>
  <r>
    <x v="307"/>
    <x v="0"/>
    <x v="1"/>
    <x v="1"/>
    <n v="122333"/>
  </r>
  <r>
    <x v="307"/>
    <x v="0"/>
    <x v="1"/>
    <x v="2"/>
    <n v="68891"/>
  </r>
  <r>
    <x v="307"/>
    <x v="0"/>
    <x v="1"/>
    <x v="4"/>
    <n v="300000"/>
  </r>
  <r>
    <x v="307"/>
    <x v="0"/>
    <x v="1"/>
    <x v="5"/>
    <n v="3096"/>
  </r>
  <r>
    <x v="307"/>
    <x v="0"/>
    <x v="2"/>
    <x v="0"/>
    <n v="431939"/>
  </r>
  <r>
    <x v="307"/>
    <x v="0"/>
    <x v="2"/>
    <x v="1"/>
    <n v="95171"/>
  </r>
  <r>
    <x v="307"/>
    <x v="0"/>
    <x v="2"/>
    <x v="2"/>
    <n v="207728"/>
  </r>
  <r>
    <x v="307"/>
    <x v="0"/>
    <x v="2"/>
    <x v="3"/>
    <n v="295759"/>
  </r>
  <r>
    <x v="307"/>
    <x v="0"/>
    <x v="2"/>
    <x v="4"/>
    <n v="20000"/>
  </r>
  <r>
    <x v="307"/>
    <x v="1"/>
    <x v="1"/>
    <x v="1"/>
    <n v="48917"/>
  </r>
  <r>
    <x v="307"/>
    <x v="1"/>
    <x v="1"/>
    <x v="2"/>
    <n v="24236"/>
  </r>
  <r>
    <x v="307"/>
    <x v="1"/>
    <x v="1"/>
    <x v="3"/>
    <n v="19611"/>
  </r>
  <r>
    <x v="307"/>
    <x v="1"/>
    <x v="1"/>
    <x v="4"/>
    <n v="66965"/>
  </r>
  <r>
    <x v="307"/>
    <x v="1"/>
    <x v="1"/>
    <x v="5"/>
    <n v="10000"/>
  </r>
  <r>
    <x v="307"/>
    <x v="1"/>
    <x v="2"/>
    <x v="0"/>
    <n v="7457"/>
  </r>
  <r>
    <x v="307"/>
    <x v="1"/>
    <x v="2"/>
    <x v="1"/>
    <n v="50992"/>
  </r>
  <r>
    <x v="307"/>
    <x v="1"/>
    <x v="2"/>
    <x v="2"/>
    <n v="27060"/>
  </r>
  <r>
    <x v="307"/>
    <x v="1"/>
    <x v="2"/>
    <x v="3"/>
    <n v="716"/>
  </r>
  <r>
    <x v="307"/>
    <x v="2"/>
    <x v="2"/>
    <x v="3"/>
    <n v="67600"/>
  </r>
  <r>
    <x v="308"/>
    <x v="0"/>
    <x v="0"/>
    <x v="0"/>
    <n v="73081"/>
  </r>
  <r>
    <x v="308"/>
    <x v="0"/>
    <x v="0"/>
    <x v="1"/>
    <n v="50215"/>
  </r>
  <r>
    <x v="308"/>
    <x v="0"/>
    <x v="0"/>
    <x v="2"/>
    <n v="45501"/>
  </r>
  <r>
    <x v="308"/>
    <x v="0"/>
    <x v="0"/>
    <x v="3"/>
    <n v="370"/>
  </r>
  <r>
    <x v="308"/>
    <x v="0"/>
    <x v="0"/>
    <x v="4"/>
    <n v="993"/>
  </r>
  <r>
    <x v="308"/>
    <x v="0"/>
    <x v="0"/>
    <x v="5"/>
    <n v="750"/>
  </r>
  <r>
    <x v="308"/>
    <x v="0"/>
    <x v="9"/>
    <x v="0"/>
    <n v="1550"/>
  </r>
  <r>
    <x v="308"/>
    <x v="0"/>
    <x v="1"/>
    <x v="0"/>
    <n v="188530"/>
  </r>
  <r>
    <x v="308"/>
    <x v="0"/>
    <x v="1"/>
    <x v="1"/>
    <n v="58893"/>
  </r>
  <r>
    <x v="308"/>
    <x v="0"/>
    <x v="1"/>
    <x v="2"/>
    <n v="60670"/>
  </r>
  <r>
    <x v="308"/>
    <x v="0"/>
    <x v="1"/>
    <x v="3"/>
    <n v="740"/>
  </r>
  <r>
    <x v="308"/>
    <x v="0"/>
    <x v="1"/>
    <x v="4"/>
    <n v="254128"/>
  </r>
  <r>
    <x v="308"/>
    <x v="0"/>
    <x v="2"/>
    <x v="0"/>
    <n v="632360"/>
  </r>
  <r>
    <x v="308"/>
    <x v="0"/>
    <x v="2"/>
    <x v="1"/>
    <n v="332357"/>
  </r>
  <r>
    <x v="308"/>
    <x v="0"/>
    <x v="2"/>
    <x v="2"/>
    <n v="440357"/>
  </r>
  <r>
    <x v="308"/>
    <x v="0"/>
    <x v="2"/>
    <x v="3"/>
    <n v="19406"/>
  </r>
  <r>
    <x v="308"/>
    <x v="0"/>
    <x v="2"/>
    <x v="4"/>
    <n v="152477"/>
  </r>
  <r>
    <x v="308"/>
    <x v="0"/>
    <x v="3"/>
    <x v="0"/>
    <n v="9443"/>
  </r>
  <r>
    <x v="308"/>
    <x v="0"/>
    <x v="3"/>
    <x v="2"/>
    <n v="1828"/>
  </r>
  <r>
    <x v="308"/>
    <x v="0"/>
    <x v="3"/>
    <x v="4"/>
    <n v="2310"/>
  </r>
  <r>
    <x v="308"/>
    <x v="0"/>
    <x v="3"/>
    <x v="5"/>
    <n v="693"/>
  </r>
  <r>
    <x v="308"/>
    <x v="0"/>
    <x v="5"/>
    <x v="3"/>
    <n v="740"/>
  </r>
  <r>
    <x v="308"/>
    <x v="0"/>
    <x v="6"/>
    <x v="0"/>
    <n v="13576"/>
  </r>
  <r>
    <x v="308"/>
    <x v="0"/>
    <x v="6"/>
    <x v="2"/>
    <n v="2633"/>
  </r>
  <r>
    <x v="308"/>
    <x v="1"/>
    <x v="1"/>
    <x v="0"/>
    <n v="58188"/>
  </r>
  <r>
    <x v="308"/>
    <x v="1"/>
    <x v="1"/>
    <x v="1"/>
    <n v="71465"/>
  </r>
  <r>
    <x v="308"/>
    <x v="1"/>
    <x v="1"/>
    <x v="2"/>
    <n v="61981"/>
  </r>
  <r>
    <x v="308"/>
    <x v="1"/>
    <x v="2"/>
    <x v="1"/>
    <n v="25235"/>
  </r>
  <r>
    <x v="308"/>
    <x v="1"/>
    <x v="2"/>
    <x v="2"/>
    <n v="166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788C081-65E8-4F5A-9260-C38309C37443}"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3:K2039" firstHeaderRow="1" firstDataRow="2" firstDataCol="3"/>
  <pivotFields count="5">
    <pivotField axis="axisRow" compact="0" outline="0" showAll="0" defaultSubtotal="0">
      <items count="309">
        <item x="254"/>
        <item x="158"/>
        <item x="138"/>
        <item x="193"/>
        <item x="33"/>
        <item x="2"/>
        <item x="152"/>
        <item x="186"/>
        <item x="308"/>
        <item x="72"/>
        <item x="177"/>
        <item x="238"/>
        <item x="125"/>
        <item x="83"/>
        <item x="97"/>
        <item x="20"/>
        <item x="22"/>
        <item x="273"/>
        <item x="148"/>
        <item x="163"/>
        <item x="43"/>
        <item x="203"/>
        <item x="19"/>
        <item x="187"/>
        <item x="295"/>
        <item x="99"/>
        <item x="80"/>
        <item x="69"/>
        <item x="250"/>
        <item x="111"/>
        <item x="24"/>
        <item x="3"/>
        <item x="190"/>
        <item x="217"/>
        <item x="53"/>
        <item x="232"/>
        <item x="76"/>
        <item x="257"/>
        <item x="25"/>
        <item x="119"/>
        <item x="297"/>
        <item x="130"/>
        <item x="143"/>
        <item x="8"/>
        <item x="164"/>
        <item x="55"/>
        <item x="120"/>
        <item x="260"/>
        <item x="126"/>
        <item x="51"/>
        <item x="189"/>
        <item x="78"/>
        <item x="234"/>
        <item x="175"/>
        <item x="142"/>
        <item x="239"/>
        <item x="113"/>
        <item x="159"/>
        <item x="245"/>
        <item x="197"/>
        <item x="265"/>
        <item x="46"/>
        <item x="225"/>
        <item x="196"/>
        <item x="305"/>
        <item x="93"/>
        <item x="274"/>
        <item x="107"/>
        <item x="0"/>
        <item x="112"/>
        <item x="137"/>
        <item x="100"/>
        <item x="302"/>
        <item x="70"/>
        <item x="268"/>
        <item x="103"/>
        <item x="40"/>
        <item x="207"/>
        <item x="283"/>
        <item x="145"/>
        <item x="188"/>
        <item x="180"/>
        <item x="50"/>
        <item x="231"/>
        <item x="195"/>
        <item x="10"/>
        <item x="182"/>
        <item x="28"/>
        <item x="167"/>
        <item x="211"/>
        <item x="124"/>
        <item x="87"/>
        <item x="241"/>
        <item x="92"/>
        <item x="298"/>
        <item x="230"/>
        <item x="221"/>
        <item x="5"/>
        <item x="271"/>
        <item x="205"/>
        <item x="7"/>
        <item x="272"/>
        <item x="220"/>
        <item x="104"/>
        <item x="215"/>
        <item x="115"/>
        <item x="301"/>
        <item x="176"/>
        <item x="246"/>
        <item x="242"/>
        <item x="204"/>
        <item x="213"/>
        <item x="129"/>
        <item x="133"/>
        <item x="270"/>
        <item x="116"/>
        <item x="11"/>
        <item x="18"/>
        <item x="146"/>
        <item x="27"/>
        <item x="222"/>
        <item x="29"/>
        <item x="49"/>
        <item x="60"/>
        <item x="287"/>
        <item x="64"/>
        <item x="71"/>
        <item x="37"/>
        <item x="288"/>
        <item x="79"/>
        <item x="23"/>
        <item x="264"/>
        <item x="94"/>
        <item x="74"/>
        <item x="214"/>
        <item x="101"/>
        <item x="267"/>
        <item x="102"/>
        <item x="156"/>
        <item x="98"/>
        <item x="306"/>
        <item x="304"/>
        <item x="6"/>
        <item x="279"/>
        <item x="4"/>
        <item x="291"/>
        <item x="168"/>
        <item x="192"/>
        <item x="26"/>
        <item x="259"/>
        <item x="38"/>
        <item x="240"/>
        <item x="223"/>
        <item x="12"/>
        <item x="48"/>
        <item x="149"/>
        <item x="275"/>
        <item x="81"/>
        <item x="61"/>
        <item x="235"/>
        <item x="128"/>
        <item x="216"/>
        <item x="131"/>
        <item x="154"/>
        <item x="150"/>
        <item x="106"/>
        <item x="166"/>
        <item x="165"/>
        <item x="155"/>
        <item x="14"/>
        <item x="181"/>
        <item x="286"/>
        <item x="294"/>
        <item x="147"/>
        <item x="139"/>
        <item x="218"/>
        <item x="229"/>
        <item x="161"/>
        <item x="280"/>
        <item x="157"/>
        <item x="169"/>
        <item x="44"/>
        <item x="212"/>
        <item x="243"/>
        <item x="191"/>
        <item x="263"/>
        <item x="21"/>
        <item x="290"/>
        <item x="255"/>
        <item x="59"/>
        <item x="153"/>
        <item x="30"/>
        <item x="198"/>
        <item x="77"/>
        <item x="15"/>
        <item x="66"/>
        <item x="262"/>
        <item x="67"/>
        <item x="123"/>
        <item x="210"/>
        <item x="178"/>
        <item x="90"/>
        <item x="200"/>
        <item x="45"/>
        <item x="17"/>
        <item x="202"/>
        <item x="13"/>
        <item x="86"/>
        <item x="52"/>
        <item x="140"/>
        <item x="219"/>
        <item x="136"/>
        <item x="292"/>
        <item x="244"/>
        <item x="105"/>
        <item x="109"/>
        <item x="144"/>
        <item x="57"/>
        <item x="16"/>
        <item x="141"/>
        <item x="89"/>
        <item x="296"/>
        <item x="226"/>
        <item x="121"/>
        <item x="248"/>
        <item x="56"/>
        <item x="122"/>
        <item x="233"/>
        <item x="236"/>
        <item x="184"/>
        <item x="65"/>
        <item x="174"/>
        <item x="201"/>
        <item x="194"/>
        <item x="32"/>
        <item x="84"/>
        <item x="31"/>
        <item x="63"/>
        <item x="132"/>
        <item x="276"/>
        <item x="54"/>
        <item x="199"/>
        <item x="228"/>
        <item x="95"/>
        <item x="96"/>
        <item x="173"/>
        <item x="36"/>
        <item x="266"/>
        <item x="293"/>
        <item x="39"/>
        <item x="82"/>
        <item x="249"/>
        <item x="118"/>
        <item x="42"/>
        <item x="135"/>
        <item x="171"/>
        <item x="303"/>
        <item x="284"/>
        <item x="160"/>
        <item x="278"/>
        <item x="162"/>
        <item x="208"/>
        <item x="73"/>
        <item x="209"/>
        <item x="282"/>
        <item x="300"/>
        <item x="58"/>
        <item x="256"/>
        <item x="41"/>
        <item x="252"/>
        <item x="47"/>
        <item x="251"/>
        <item x="172"/>
        <item x="9"/>
        <item x="62"/>
        <item x="1"/>
        <item x="108"/>
        <item x="269"/>
        <item x="179"/>
        <item x="134"/>
        <item x="253"/>
        <item x="91"/>
        <item x="127"/>
        <item x="277"/>
        <item x="185"/>
        <item x="34"/>
        <item x="170"/>
        <item x="88"/>
        <item x="237"/>
        <item x="35"/>
        <item x="75"/>
        <item x="224"/>
        <item x="227"/>
        <item x="183"/>
        <item x="285"/>
        <item x="151"/>
        <item x="299"/>
        <item x="68"/>
        <item x="206"/>
        <item x="114"/>
        <item x="110"/>
        <item x="258"/>
        <item x="247"/>
        <item x="85"/>
        <item x="117"/>
        <item x="289"/>
        <item x="261"/>
        <item x="281"/>
        <item x="307"/>
      </items>
      <extLst>
        <ext xmlns:x14="http://schemas.microsoft.com/office/spreadsheetml/2009/9/main" uri="{2946ED86-A175-432a-8AC1-64E0C546D7DE}">
          <x14:pivotField fillDownLabels="1"/>
        </ext>
      </extLst>
    </pivotField>
    <pivotField axis="axisRow" compact="0" outline="0" showAll="0" defaultSubtotal="0">
      <items count="4">
        <item x="0"/>
        <item x="1"/>
        <item x="3"/>
        <item x="2"/>
      </items>
      <extLst>
        <ext xmlns:x14="http://schemas.microsoft.com/office/spreadsheetml/2009/9/main" uri="{2946ED86-A175-432a-8AC1-64E0C546D7DE}">
          <x14:pivotField fillDownLabels="1"/>
        </ext>
      </extLst>
    </pivotField>
    <pivotField axis="axisRow" compact="0" outline="0" showAll="0" defaultSubtotal="0">
      <items count="14">
        <item x="0"/>
        <item x="13"/>
        <item x="11"/>
        <item x="9"/>
        <item x="7"/>
        <item x="1"/>
        <item x="2"/>
        <item x="10"/>
        <item x="8"/>
        <item x="3"/>
        <item x="4"/>
        <item x="5"/>
        <item x="6"/>
        <item x="12"/>
      </items>
      <extLst>
        <ext xmlns:x14="http://schemas.microsoft.com/office/spreadsheetml/2009/9/main" uri="{2946ED86-A175-432a-8AC1-64E0C546D7DE}">
          <x14:pivotField fillDownLabels="1"/>
        </ext>
      </extLst>
    </pivotField>
    <pivotField axis="axisCol" compact="0" outline="0" showAll="0" defaultSubtotal="0">
      <items count="8">
        <item x="6"/>
        <item x="0"/>
        <item x="1"/>
        <item x="2"/>
        <item x="3"/>
        <item x="4"/>
        <item x="5"/>
        <item x="7"/>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s>
  <rowFields count="3">
    <field x="0"/>
    <field x="1"/>
    <field x="2"/>
  </rowFields>
  <rowItems count="2035">
    <i>
      <x/>
      <x/>
      <x v="5"/>
    </i>
    <i r="2">
      <x v="6"/>
    </i>
    <i r="2">
      <x v="12"/>
    </i>
    <i r="1">
      <x v="1"/>
      <x v="5"/>
    </i>
    <i>
      <x v="1"/>
      <x/>
      <x/>
    </i>
    <i r="2">
      <x v="4"/>
    </i>
    <i r="2">
      <x v="5"/>
    </i>
    <i r="2">
      <x v="6"/>
    </i>
    <i r="2">
      <x v="7"/>
    </i>
    <i r="2">
      <x v="9"/>
    </i>
    <i r="2">
      <x v="11"/>
    </i>
    <i r="2">
      <x v="12"/>
    </i>
    <i r="1">
      <x v="1"/>
      <x/>
    </i>
    <i r="2">
      <x v="5"/>
    </i>
    <i r="2">
      <x v="6"/>
    </i>
    <i>
      <x v="2"/>
      <x/>
      <x v="5"/>
    </i>
    <i r="2">
      <x v="6"/>
    </i>
    <i r="2">
      <x v="11"/>
    </i>
    <i r="1">
      <x v="1"/>
      <x v="5"/>
    </i>
    <i>
      <x v="3"/>
      <x/>
      <x v="5"/>
    </i>
    <i r="2">
      <x v="6"/>
    </i>
    <i r="2">
      <x v="11"/>
    </i>
    <i r="1">
      <x v="1"/>
      <x v="5"/>
    </i>
    <i r="2">
      <x v="6"/>
    </i>
    <i r="2">
      <x v="9"/>
    </i>
    <i>
      <x v="4"/>
      <x/>
      <x/>
    </i>
    <i r="2">
      <x v="2"/>
    </i>
    <i r="2">
      <x v="3"/>
    </i>
    <i r="2">
      <x v="4"/>
    </i>
    <i r="2">
      <x v="5"/>
    </i>
    <i r="2">
      <x v="6"/>
    </i>
    <i r="2">
      <x v="9"/>
    </i>
    <i r="1">
      <x v="1"/>
      <x v="6"/>
    </i>
    <i r="2">
      <x v="9"/>
    </i>
    <i>
      <x v="5"/>
      <x/>
      <x/>
    </i>
    <i r="2">
      <x v="5"/>
    </i>
    <i r="2">
      <x v="6"/>
    </i>
    <i r="2">
      <x v="9"/>
    </i>
    <i r="2">
      <x v="12"/>
    </i>
    <i r="1">
      <x v="1"/>
      <x/>
    </i>
    <i r="2">
      <x v="6"/>
    </i>
    <i>
      <x v="6"/>
      <x/>
      <x/>
    </i>
    <i r="2">
      <x v="2"/>
    </i>
    <i r="2">
      <x v="4"/>
    </i>
    <i r="2">
      <x v="5"/>
    </i>
    <i r="2">
      <x v="6"/>
    </i>
    <i r="2">
      <x v="9"/>
    </i>
    <i r="2">
      <x v="11"/>
    </i>
    <i r="2">
      <x v="12"/>
    </i>
    <i r="1">
      <x v="1"/>
      <x/>
    </i>
    <i r="2">
      <x v="5"/>
    </i>
    <i r="2">
      <x v="6"/>
    </i>
    <i r="2">
      <x v="9"/>
    </i>
    <i r="2">
      <x v="10"/>
    </i>
    <i r="2">
      <x v="11"/>
    </i>
    <i r="1">
      <x v="3"/>
      <x v="6"/>
    </i>
    <i>
      <x v="7"/>
      <x/>
      <x/>
    </i>
    <i r="2">
      <x v="2"/>
    </i>
    <i r="2">
      <x v="5"/>
    </i>
    <i r="2">
      <x v="6"/>
    </i>
    <i r="2">
      <x v="10"/>
    </i>
    <i r="1">
      <x v="1"/>
      <x v="5"/>
    </i>
    <i r="2">
      <x v="6"/>
    </i>
    <i>
      <x v="8"/>
      <x/>
      <x/>
    </i>
    <i r="2">
      <x v="3"/>
    </i>
    <i r="2">
      <x v="5"/>
    </i>
    <i r="2">
      <x v="6"/>
    </i>
    <i r="2">
      <x v="9"/>
    </i>
    <i r="2">
      <x v="11"/>
    </i>
    <i r="2">
      <x v="12"/>
    </i>
    <i r="1">
      <x v="1"/>
      <x v="5"/>
    </i>
    <i r="2">
      <x v="6"/>
    </i>
    <i>
      <x v="9"/>
      <x/>
      <x/>
    </i>
    <i r="2">
      <x v="5"/>
    </i>
    <i r="2">
      <x v="6"/>
    </i>
    <i r="2">
      <x v="9"/>
    </i>
    <i r="1">
      <x v="1"/>
      <x v="6"/>
    </i>
    <i>
      <x v="10"/>
      <x/>
      <x/>
    </i>
    <i r="2">
      <x v="5"/>
    </i>
    <i r="2">
      <x v="6"/>
    </i>
    <i r="2">
      <x v="9"/>
    </i>
    <i r="1">
      <x v="1"/>
      <x v="6"/>
    </i>
    <i>
      <x v="11"/>
      <x/>
      <x/>
    </i>
    <i r="2">
      <x v="3"/>
    </i>
    <i r="2">
      <x v="4"/>
    </i>
    <i r="2">
      <x v="5"/>
    </i>
    <i r="2">
      <x v="6"/>
    </i>
    <i r="2">
      <x v="9"/>
    </i>
    <i r="2">
      <x v="10"/>
    </i>
    <i r="2">
      <x v="11"/>
    </i>
    <i r="1">
      <x v="1"/>
      <x v="6"/>
    </i>
    <i r="2">
      <x v="10"/>
    </i>
    <i r="2">
      <x v="11"/>
    </i>
    <i>
      <x v="12"/>
      <x/>
      <x v="6"/>
    </i>
    <i>
      <x v="13"/>
      <x/>
      <x v="8"/>
    </i>
    <i>
      <x v="14"/>
      <x/>
      <x/>
    </i>
    <i r="2">
      <x v="4"/>
    </i>
    <i r="2">
      <x v="5"/>
    </i>
    <i r="2">
      <x v="6"/>
    </i>
    <i r="2">
      <x v="9"/>
    </i>
    <i r="2">
      <x v="10"/>
    </i>
    <i r="2">
      <x v="11"/>
    </i>
    <i r="2">
      <x v="12"/>
    </i>
    <i r="1">
      <x v="1"/>
      <x v="6"/>
    </i>
    <i>
      <x v="15"/>
      <x/>
      <x/>
    </i>
    <i r="2">
      <x v="5"/>
    </i>
    <i r="2">
      <x v="6"/>
    </i>
    <i r="2">
      <x v="9"/>
    </i>
    <i r="2">
      <x v="10"/>
    </i>
    <i r="1">
      <x v="1"/>
      <x v="6"/>
    </i>
    <i>
      <x v="16"/>
      <x/>
      <x v="5"/>
    </i>
    <i r="2">
      <x v="6"/>
    </i>
    <i r="2">
      <x v="12"/>
    </i>
    <i r="1">
      <x v="1"/>
      <x v="6"/>
    </i>
    <i>
      <x v="17"/>
      <x/>
      <x/>
    </i>
    <i r="2">
      <x v="3"/>
    </i>
    <i r="2">
      <x v="5"/>
    </i>
    <i r="2">
      <x v="6"/>
    </i>
    <i r="2">
      <x v="9"/>
    </i>
    <i r="2">
      <x v="10"/>
    </i>
    <i r="2">
      <x v="11"/>
    </i>
    <i r="2">
      <x v="12"/>
    </i>
    <i r="1">
      <x v="1"/>
      <x/>
    </i>
    <i r="2">
      <x v="6"/>
    </i>
    <i r="2">
      <x v="9"/>
    </i>
    <i>
      <x v="18"/>
      <x/>
      <x/>
    </i>
    <i r="2">
      <x v="3"/>
    </i>
    <i r="2">
      <x v="5"/>
    </i>
    <i r="2">
      <x v="6"/>
    </i>
    <i r="1">
      <x v="1"/>
      <x v="6"/>
    </i>
    <i>
      <x v="19"/>
      <x/>
      <x/>
    </i>
    <i r="2">
      <x v="5"/>
    </i>
    <i r="2">
      <x v="6"/>
    </i>
    <i r="2">
      <x v="12"/>
    </i>
    <i r="1">
      <x v="1"/>
      <x v="6"/>
    </i>
    <i>
      <x v="20"/>
      <x/>
      <x v="2"/>
    </i>
    <i r="2">
      <x v="6"/>
    </i>
    <i r="1">
      <x v="1"/>
      <x v="6"/>
    </i>
    <i>
      <x v="21"/>
      <x/>
      <x/>
    </i>
    <i r="2">
      <x v="4"/>
    </i>
    <i r="2">
      <x v="5"/>
    </i>
    <i r="2">
      <x v="6"/>
    </i>
    <i r="2">
      <x v="9"/>
    </i>
    <i r="2">
      <x v="12"/>
    </i>
    <i r="1">
      <x v="1"/>
      <x v="6"/>
    </i>
    <i r="2">
      <x v="9"/>
    </i>
    <i>
      <x v="22"/>
      <x/>
      <x/>
    </i>
    <i r="2">
      <x v="5"/>
    </i>
    <i r="2">
      <x v="6"/>
    </i>
    <i r="2">
      <x v="10"/>
    </i>
    <i r="2">
      <x v="12"/>
    </i>
    <i r="1">
      <x v="1"/>
      <x v="5"/>
    </i>
    <i r="1">
      <x v="3"/>
      <x v="5"/>
    </i>
    <i>
      <x v="23"/>
      <x/>
      <x/>
    </i>
    <i r="2">
      <x v="3"/>
    </i>
    <i r="2">
      <x v="5"/>
    </i>
    <i r="2">
      <x v="6"/>
    </i>
    <i r="2">
      <x v="9"/>
    </i>
    <i r="2">
      <x v="10"/>
    </i>
    <i r="2">
      <x v="11"/>
    </i>
    <i r="2">
      <x v="12"/>
    </i>
    <i r="1">
      <x v="1"/>
      <x v="6"/>
    </i>
    <i>
      <x v="24"/>
      <x/>
      <x/>
    </i>
    <i r="2">
      <x v="2"/>
    </i>
    <i r="2">
      <x v="5"/>
    </i>
    <i r="2">
      <x v="6"/>
    </i>
    <i r="2">
      <x v="9"/>
    </i>
    <i r="2">
      <x v="11"/>
    </i>
    <i r="2">
      <x v="12"/>
    </i>
    <i r="1">
      <x v="1"/>
      <x v="6"/>
    </i>
    <i>
      <x v="25"/>
      <x/>
      <x/>
    </i>
    <i r="2">
      <x v="3"/>
    </i>
    <i r="2">
      <x v="5"/>
    </i>
    <i r="2">
      <x v="6"/>
    </i>
    <i r="2">
      <x v="9"/>
    </i>
    <i r="2">
      <x v="11"/>
    </i>
    <i r="1">
      <x v="1"/>
      <x v="6"/>
    </i>
    <i>
      <x v="26"/>
      <x/>
      <x/>
    </i>
    <i r="2">
      <x v="5"/>
    </i>
    <i r="2">
      <x v="6"/>
    </i>
    <i r="2">
      <x v="8"/>
    </i>
    <i r="2">
      <x v="9"/>
    </i>
    <i r="2">
      <x v="11"/>
    </i>
    <i r="1">
      <x v="1"/>
      <x v="5"/>
    </i>
    <i r="2">
      <x v="6"/>
    </i>
    <i r="2">
      <x v="8"/>
    </i>
    <i>
      <x v="27"/>
      <x/>
      <x v="8"/>
    </i>
    <i>
      <x v="28"/>
      <x/>
      <x/>
    </i>
    <i r="2">
      <x v="5"/>
    </i>
    <i r="2">
      <x v="6"/>
    </i>
    <i r="2">
      <x v="9"/>
    </i>
    <i r="2">
      <x v="12"/>
    </i>
    <i r="1">
      <x v="1"/>
      <x v="5"/>
    </i>
    <i r="2">
      <x v="6"/>
    </i>
    <i>
      <x v="29"/>
      <x/>
      <x/>
    </i>
    <i r="2">
      <x v="2"/>
    </i>
    <i r="2">
      <x v="4"/>
    </i>
    <i r="2">
      <x v="5"/>
    </i>
    <i r="2">
      <x v="6"/>
    </i>
    <i r="2">
      <x v="9"/>
    </i>
    <i r="2">
      <x v="10"/>
    </i>
    <i r="2">
      <x v="12"/>
    </i>
    <i r="1">
      <x v="1"/>
      <x v="6"/>
    </i>
    <i>
      <x v="30"/>
      <x/>
      <x/>
    </i>
    <i r="2">
      <x v="4"/>
    </i>
    <i r="2">
      <x v="5"/>
    </i>
    <i r="2">
      <x v="6"/>
    </i>
    <i r="2">
      <x v="8"/>
    </i>
    <i r="2">
      <x v="9"/>
    </i>
    <i r="1">
      <x v="1"/>
      <x v="6"/>
    </i>
    <i>
      <x v="31"/>
      <x/>
      <x/>
    </i>
    <i r="2">
      <x v="4"/>
    </i>
    <i r="2">
      <x v="5"/>
    </i>
    <i r="2">
      <x v="6"/>
    </i>
    <i r="2">
      <x v="9"/>
    </i>
    <i r="2">
      <x v="11"/>
    </i>
    <i r="2">
      <x v="12"/>
    </i>
    <i r="1">
      <x v="1"/>
      <x v="6"/>
    </i>
    <i>
      <x v="32"/>
      <x/>
      <x/>
    </i>
    <i r="2">
      <x v="5"/>
    </i>
    <i r="2">
      <x v="6"/>
    </i>
    <i r="2">
      <x v="8"/>
    </i>
    <i r="2">
      <x v="9"/>
    </i>
    <i r="2">
      <x v="10"/>
    </i>
    <i r="2">
      <x v="11"/>
    </i>
    <i r="2">
      <x v="12"/>
    </i>
    <i r="1">
      <x v="1"/>
      <x v="6"/>
    </i>
    <i>
      <x v="33"/>
      <x/>
      <x v="3"/>
    </i>
    <i r="2">
      <x v="5"/>
    </i>
    <i r="2">
      <x v="6"/>
    </i>
    <i r="1">
      <x v="1"/>
      <x v="6"/>
    </i>
    <i>
      <x v="34"/>
      <x/>
      <x v="8"/>
    </i>
    <i>
      <x v="35"/>
      <x/>
      <x/>
    </i>
    <i r="2">
      <x v="6"/>
    </i>
    <i>
      <x v="36"/>
      <x/>
      <x/>
    </i>
    <i r="2">
      <x v="2"/>
    </i>
    <i r="2">
      <x v="5"/>
    </i>
    <i r="2">
      <x v="6"/>
    </i>
    <i r="2">
      <x v="8"/>
    </i>
    <i r="2">
      <x v="9"/>
    </i>
    <i r="2">
      <x v="10"/>
    </i>
    <i r="2">
      <x v="12"/>
    </i>
    <i r="1">
      <x v="1"/>
      <x v="6"/>
    </i>
    <i r="2">
      <x v="9"/>
    </i>
    <i>
      <x v="37"/>
      <x/>
      <x v="8"/>
    </i>
    <i>
      <x v="38"/>
      <x/>
      <x/>
    </i>
    <i r="2">
      <x v="5"/>
    </i>
    <i r="2">
      <x v="6"/>
    </i>
    <i r="2">
      <x v="12"/>
    </i>
    <i r="1">
      <x v="1"/>
      <x v="5"/>
    </i>
    <i r="2">
      <x v="6"/>
    </i>
    <i>
      <x v="39"/>
      <x/>
      <x v="8"/>
    </i>
    <i>
      <x v="40"/>
      <x/>
      <x/>
    </i>
    <i r="2">
      <x v="5"/>
    </i>
    <i r="2">
      <x v="6"/>
    </i>
    <i r="2">
      <x v="8"/>
    </i>
    <i r="2">
      <x v="9"/>
    </i>
    <i r="2">
      <x v="10"/>
    </i>
    <i r="2">
      <x v="11"/>
    </i>
    <i r="2">
      <x v="12"/>
    </i>
    <i r="1">
      <x v="1"/>
      <x v="6"/>
    </i>
    <i>
      <x v="41"/>
      <x/>
      <x/>
    </i>
    <i r="2">
      <x v="4"/>
    </i>
    <i r="2">
      <x v="5"/>
    </i>
    <i r="2">
      <x v="6"/>
    </i>
    <i r="2">
      <x v="9"/>
    </i>
    <i r="2">
      <x v="10"/>
    </i>
    <i r="2">
      <x v="11"/>
    </i>
    <i r="2">
      <x v="12"/>
    </i>
    <i r="1">
      <x v="1"/>
      <x v="6"/>
    </i>
    <i>
      <x v="42"/>
      <x/>
      <x v="8"/>
    </i>
    <i>
      <x v="43"/>
      <x/>
      <x/>
    </i>
    <i r="2">
      <x v="6"/>
    </i>
    <i r="2">
      <x v="9"/>
    </i>
    <i r="2">
      <x v="10"/>
    </i>
    <i r="1">
      <x v="1"/>
      <x v="6"/>
    </i>
    <i>
      <x v="44"/>
      <x/>
      <x v="6"/>
    </i>
    <i r="1">
      <x v="1"/>
      <x v="9"/>
    </i>
    <i>
      <x v="45"/>
      <x/>
      <x/>
    </i>
    <i r="2">
      <x v="4"/>
    </i>
    <i r="2">
      <x v="5"/>
    </i>
    <i r="2">
      <x v="6"/>
    </i>
    <i r="2">
      <x v="9"/>
    </i>
    <i r="2">
      <x v="12"/>
    </i>
    <i r="1">
      <x v="1"/>
      <x v="6"/>
    </i>
    <i>
      <x v="46"/>
      <x/>
      <x v="6"/>
    </i>
    <i>
      <x v="47"/>
      <x/>
      <x v="8"/>
    </i>
    <i>
      <x v="48"/>
      <x/>
      <x v="6"/>
    </i>
    <i r="1">
      <x v="1"/>
      <x v="6"/>
    </i>
    <i r="1">
      <x v="3"/>
      <x v="5"/>
    </i>
    <i r="2">
      <x v="8"/>
    </i>
    <i>
      <x v="49"/>
      <x/>
      <x v="5"/>
    </i>
    <i r="2">
      <x v="6"/>
    </i>
    <i r="1">
      <x v="1"/>
      <x v="5"/>
    </i>
    <i>
      <x v="50"/>
      <x/>
      <x v="5"/>
    </i>
    <i r="2">
      <x v="6"/>
    </i>
    <i r="2">
      <x v="11"/>
    </i>
    <i r="1">
      <x v="1"/>
      <x v="5"/>
    </i>
    <i>
      <x v="51"/>
      <x/>
      <x v="5"/>
    </i>
    <i r="2">
      <x v="6"/>
    </i>
    <i r="1">
      <x v="1"/>
      <x v="5"/>
    </i>
    <i r="1">
      <x v="3"/>
      <x v="5"/>
    </i>
    <i>
      <x v="52"/>
      <x/>
      <x v="2"/>
    </i>
    <i r="2">
      <x v="5"/>
    </i>
    <i r="2">
      <x v="6"/>
    </i>
    <i r="2">
      <x v="10"/>
    </i>
    <i r="2">
      <x v="11"/>
    </i>
    <i r="2">
      <x v="12"/>
    </i>
    <i r="1">
      <x v="1"/>
      <x v="6"/>
    </i>
    <i>
      <x v="53"/>
      <x/>
      <x/>
    </i>
    <i r="2">
      <x v="4"/>
    </i>
    <i r="2">
      <x v="5"/>
    </i>
    <i r="2">
      <x v="6"/>
    </i>
    <i r="2">
      <x v="9"/>
    </i>
    <i r="1">
      <x v="1"/>
      <x v="6"/>
    </i>
    <i>
      <x v="54"/>
      <x/>
      <x/>
    </i>
    <i r="2">
      <x v="5"/>
    </i>
    <i r="2">
      <x v="6"/>
    </i>
    <i r="2">
      <x v="9"/>
    </i>
    <i r="2">
      <x v="10"/>
    </i>
    <i r="2">
      <x v="11"/>
    </i>
    <i r="1">
      <x v="1"/>
      <x v="6"/>
    </i>
    <i>
      <x v="55"/>
      <x/>
      <x v="6"/>
    </i>
    <i>
      <x v="56"/>
      <x/>
      <x v="6"/>
    </i>
    <i r="2">
      <x v="8"/>
    </i>
    <i>
      <x v="57"/>
      <x/>
      <x/>
    </i>
    <i r="2">
      <x v="5"/>
    </i>
    <i r="2">
      <x v="6"/>
    </i>
    <i r="2">
      <x v="12"/>
    </i>
    <i r="1">
      <x v="1"/>
      <x v="6"/>
    </i>
    <i>
      <x v="58"/>
      <x/>
      <x/>
    </i>
    <i r="2">
      <x v="5"/>
    </i>
    <i r="2">
      <x v="6"/>
    </i>
    <i r="2">
      <x v="9"/>
    </i>
    <i r="2">
      <x v="10"/>
    </i>
    <i r="2">
      <x v="11"/>
    </i>
    <i r="2">
      <x v="12"/>
    </i>
    <i r="1">
      <x v="1"/>
      <x v="5"/>
    </i>
    <i r="2">
      <x v="6"/>
    </i>
    <i r="2">
      <x v="9"/>
    </i>
    <i>
      <x v="59"/>
      <x/>
      <x/>
    </i>
    <i r="2">
      <x v="4"/>
    </i>
    <i r="2">
      <x v="5"/>
    </i>
    <i r="2">
      <x v="6"/>
    </i>
    <i r="1">
      <x v="1"/>
      <x v="5"/>
    </i>
    <i r="2">
      <x v="6"/>
    </i>
    <i>
      <x v="60"/>
      <x/>
      <x/>
    </i>
    <i r="2">
      <x v="5"/>
    </i>
    <i r="2">
      <x v="6"/>
    </i>
    <i r="2">
      <x v="9"/>
    </i>
    <i r="2">
      <x v="10"/>
    </i>
    <i r="2">
      <x v="11"/>
    </i>
    <i r="1">
      <x v="1"/>
      <x/>
    </i>
    <i r="2">
      <x v="6"/>
    </i>
    <i r="2">
      <x v="9"/>
    </i>
    <i>
      <x v="61"/>
      <x/>
      <x v="2"/>
    </i>
    <i r="2">
      <x v="5"/>
    </i>
    <i r="2">
      <x v="6"/>
    </i>
    <i r="2">
      <x v="8"/>
    </i>
    <i r="2">
      <x v="10"/>
    </i>
    <i r="2">
      <x v="11"/>
    </i>
    <i r="1">
      <x v="1"/>
      <x v="6"/>
    </i>
    <i>
      <x v="62"/>
      <x/>
      <x/>
    </i>
    <i r="2">
      <x v="4"/>
    </i>
    <i r="2">
      <x v="5"/>
    </i>
    <i r="2">
      <x v="6"/>
    </i>
    <i r="2">
      <x v="9"/>
    </i>
    <i r="2">
      <x v="12"/>
    </i>
    <i r="1">
      <x v="1"/>
      <x/>
    </i>
    <i r="2">
      <x v="6"/>
    </i>
    <i r="2">
      <x v="9"/>
    </i>
    <i>
      <x v="63"/>
      <x/>
      <x/>
    </i>
    <i r="2">
      <x v="2"/>
    </i>
    <i r="2">
      <x v="5"/>
    </i>
    <i r="2">
      <x v="6"/>
    </i>
    <i r="2">
      <x v="9"/>
    </i>
    <i r="2">
      <x v="11"/>
    </i>
    <i r="2">
      <x v="12"/>
    </i>
    <i r="1">
      <x v="1"/>
      <x v="6"/>
    </i>
    <i>
      <x v="64"/>
      <x/>
      <x/>
    </i>
    <i r="2">
      <x v="4"/>
    </i>
    <i r="2">
      <x v="5"/>
    </i>
    <i r="2">
      <x v="6"/>
    </i>
    <i r="2">
      <x v="9"/>
    </i>
    <i r="2">
      <x v="12"/>
    </i>
    <i r="1">
      <x v="1"/>
      <x v="6"/>
    </i>
    <i>
      <x v="65"/>
      <x/>
      <x/>
    </i>
    <i r="2">
      <x v="4"/>
    </i>
    <i r="2">
      <x v="5"/>
    </i>
    <i r="2">
      <x v="6"/>
    </i>
    <i r="2">
      <x v="9"/>
    </i>
    <i r="2">
      <x v="10"/>
    </i>
    <i r="2">
      <x v="11"/>
    </i>
    <i r="2">
      <x v="12"/>
    </i>
    <i r="1">
      <x v="1"/>
      <x v="6"/>
    </i>
    <i>
      <x v="66"/>
      <x/>
      <x/>
    </i>
    <i r="2">
      <x v="5"/>
    </i>
    <i r="2">
      <x v="6"/>
    </i>
    <i r="1">
      <x v="1"/>
      <x v="5"/>
    </i>
    <i>
      <x v="67"/>
      <x/>
      <x/>
    </i>
    <i r="2">
      <x v="3"/>
    </i>
    <i r="2">
      <x v="5"/>
    </i>
    <i r="2">
      <x v="6"/>
    </i>
    <i r="2">
      <x v="9"/>
    </i>
    <i r="2">
      <x v="10"/>
    </i>
    <i r="2">
      <x v="12"/>
    </i>
    <i r="1">
      <x v="1"/>
      <x v="5"/>
    </i>
    <i r="2">
      <x v="6"/>
    </i>
    <i r="1">
      <x v="3"/>
      <x v="5"/>
    </i>
    <i>
      <x v="68"/>
      <x/>
      <x/>
    </i>
    <i r="2">
      <x v="5"/>
    </i>
    <i r="2">
      <x v="6"/>
    </i>
    <i r="2">
      <x v="9"/>
    </i>
    <i r="2">
      <x v="10"/>
    </i>
    <i r="2">
      <x v="11"/>
    </i>
    <i r="2">
      <x v="12"/>
    </i>
    <i r="1">
      <x v="1"/>
      <x v="5"/>
    </i>
    <i r="2">
      <x v="6"/>
    </i>
    <i>
      <x v="69"/>
      <x/>
      <x/>
    </i>
    <i r="2">
      <x v="5"/>
    </i>
    <i r="2">
      <x v="6"/>
    </i>
    <i r="2">
      <x v="9"/>
    </i>
    <i r="2">
      <x v="10"/>
    </i>
    <i r="2">
      <x v="11"/>
    </i>
    <i r="2">
      <x v="12"/>
    </i>
    <i r="1">
      <x v="1"/>
      <x v="6"/>
    </i>
    <i>
      <x v="70"/>
      <x/>
      <x/>
    </i>
    <i r="2">
      <x v="5"/>
    </i>
    <i r="2">
      <x v="6"/>
    </i>
    <i r="2">
      <x v="10"/>
    </i>
    <i r="2">
      <x v="11"/>
    </i>
    <i r="2">
      <x v="12"/>
    </i>
    <i r="1">
      <x v="1"/>
      <x v="5"/>
    </i>
    <i r="2">
      <x v="6"/>
    </i>
    <i>
      <x v="71"/>
      <x/>
      <x/>
    </i>
    <i r="2">
      <x v="4"/>
    </i>
    <i r="2">
      <x v="5"/>
    </i>
    <i r="2">
      <x v="6"/>
    </i>
    <i r="2">
      <x v="10"/>
    </i>
    <i r="2">
      <x v="11"/>
    </i>
    <i r="1">
      <x v="1"/>
      <x v="5"/>
    </i>
    <i r="2">
      <x v="6"/>
    </i>
    <i>
      <x v="72"/>
      <x/>
      <x/>
    </i>
    <i r="2">
      <x v="4"/>
    </i>
    <i r="2">
      <x v="5"/>
    </i>
    <i r="2">
      <x v="6"/>
    </i>
    <i r="2">
      <x v="7"/>
    </i>
    <i r="2">
      <x v="9"/>
    </i>
    <i r="2">
      <x v="12"/>
    </i>
    <i r="1">
      <x v="1"/>
      <x v="4"/>
    </i>
    <i r="2">
      <x v="5"/>
    </i>
    <i r="2">
      <x v="6"/>
    </i>
    <i>
      <x v="73"/>
      <x/>
      <x/>
    </i>
    <i r="2">
      <x v="5"/>
    </i>
    <i r="2">
      <x v="6"/>
    </i>
    <i r="2">
      <x v="9"/>
    </i>
    <i r="2">
      <x v="11"/>
    </i>
    <i r="2">
      <x v="12"/>
    </i>
    <i r="1">
      <x v="1"/>
      <x v="6"/>
    </i>
    <i>
      <x v="74"/>
      <x/>
      <x/>
    </i>
    <i r="2">
      <x v="5"/>
    </i>
    <i r="2">
      <x v="6"/>
    </i>
    <i r="1">
      <x v="1"/>
      <x v="5"/>
    </i>
    <i r="1">
      <x v="3"/>
      <x v="6"/>
    </i>
    <i>
      <x v="75"/>
      <x/>
      <x v="8"/>
    </i>
    <i r="1">
      <x v="3"/>
      <x v="8"/>
    </i>
    <i>
      <x v="76"/>
      <x/>
      <x v="5"/>
    </i>
    <i r="2">
      <x v="6"/>
    </i>
    <i r="1">
      <x v="1"/>
      <x v="5"/>
    </i>
    <i>
      <x v="77"/>
      <x/>
      <x v="5"/>
    </i>
    <i r="2">
      <x v="6"/>
    </i>
    <i r="2">
      <x v="8"/>
    </i>
    <i r="1">
      <x v="1"/>
      <x v="6"/>
    </i>
    <i>
      <x v="78"/>
      <x/>
      <x/>
    </i>
    <i r="2">
      <x v="6"/>
    </i>
    <i r="2">
      <x v="9"/>
    </i>
    <i r="2">
      <x v="10"/>
    </i>
    <i r="2">
      <x v="12"/>
    </i>
    <i r="1">
      <x v="1"/>
      <x v="5"/>
    </i>
    <i r="2">
      <x v="6"/>
    </i>
    <i>
      <x v="79"/>
      <x/>
      <x/>
    </i>
    <i r="2">
      <x v="3"/>
    </i>
    <i r="2">
      <x v="4"/>
    </i>
    <i r="2">
      <x v="5"/>
    </i>
    <i r="2">
      <x v="6"/>
    </i>
    <i r="2">
      <x v="9"/>
    </i>
    <i r="1">
      <x v="1"/>
      <x v="5"/>
    </i>
    <i r="2">
      <x v="6"/>
    </i>
    <i>
      <x v="80"/>
      <x/>
      <x v="5"/>
    </i>
    <i r="2">
      <x v="6"/>
    </i>
    <i r="2">
      <x v="12"/>
    </i>
    <i r="1">
      <x v="1"/>
      <x v="5"/>
    </i>
    <i r="1">
      <x v="3"/>
      <x v="5"/>
    </i>
    <i>
      <x v="81"/>
      <x/>
      <x/>
    </i>
    <i r="2">
      <x v="5"/>
    </i>
    <i r="2">
      <x v="6"/>
    </i>
    <i r="2">
      <x v="9"/>
    </i>
    <i r="2">
      <x v="12"/>
    </i>
    <i r="1">
      <x v="1"/>
      <x v="6"/>
    </i>
    <i r="1">
      <x v="3"/>
      <x v="5"/>
    </i>
    <i>
      <x v="82"/>
      <x/>
      <x/>
    </i>
    <i r="2">
      <x v="5"/>
    </i>
    <i r="2">
      <x v="6"/>
    </i>
    <i r="2">
      <x v="8"/>
    </i>
    <i r="2">
      <x v="9"/>
    </i>
    <i r="1">
      <x v="1"/>
      <x v="5"/>
    </i>
    <i r="2">
      <x v="6"/>
    </i>
    <i>
      <x v="83"/>
      <x/>
      <x/>
    </i>
    <i r="2">
      <x v="5"/>
    </i>
    <i r="2">
      <x v="6"/>
    </i>
    <i r="2">
      <x v="12"/>
    </i>
    <i r="1">
      <x v="1"/>
      <x v="5"/>
    </i>
    <i r="2">
      <x v="6"/>
    </i>
    <i>
      <x v="84"/>
      <x/>
      <x v="5"/>
    </i>
    <i r="2">
      <x v="6"/>
    </i>
    <i r="1">
      <x v="1"/>
      <x v="6"/>
    </i>
    <i r="1">
      <x v="3"/>
      <x v="6"/>
    </i>
    <i>
      <x v="85"/>
      <x/>
      <x/>
    </i>
    <i r="2">
      <x v="4"/>
    </i>
    <i r="2">
      <x v="5"/>
    </i>
    <i r="2">
      <x v="6"/>
    </i>
    <i r="2">
      <x v="9"/>
    </i>
    <i r="2">
      <x v="12"/>
    </i>
    <i r="1">
      <x v="1"/>
      <x v="5"/>
    </i>
    <i>
      <x v="86"/>
      <x/>
      <x/>
    </i>
    <i r="2">
      <x v="5"/>
    </i>
    <i r="2">
      <x v="6"/>
    </i>
    <i r="2">
      <x v="11"/>
    </i>
    <i r="2">
      <x v="12"/>
    </i>
    <i r="1">
      <x v="1"/>
      <x v="5"/>
    </i>
    <i>
      <x v="87"/>
      <x/>
      <x/>
    </i>
    <i r="2">
      <x v="4"/>
    </i>
    <i r="2">
      <x v="5"/>
    </i>
    <i r="2">
      <x v="6"/>
    </i>
    <i r="2">
      <x v="9"/>
    </i>
    <i r="2">
      <x v="12"/>
    </i>
    <i r="1">
      <x v="1"/>
      <x v="6"/>
    </i>
    <i r="2">
      <x v="9"/>
    </i>
    <i>
      <x v="88"/>
      <x/>
      <x/>
    </i>
    <i r="2">
      <x v="5"/>
    </i>
    <i r="2">
      <x v="6"/>
    </i>
    <i r="2">
      <x v="9"/>
    </i>
    <i r="2">
      <x v="12"/>
    </i>
    <i r="1">
      <x v="1"/>
      <x v="6"/>
    </i>
    <i r="2">
      <x v="9"/>
    </i>
    <i>
      <x v="89"/>
      <x/>
      <x/>
    </i>
    <i r="2">
      <x v="3"/>
    </i>
    <i r="2">
      <x v="5"/>
    </i>
    <i r="2">
      <x v="6"/>
    </i>
    <i r="2">
      <x v="9"/>
    </i>
    <i r="2">
      <x v="11"/>
    </i>
    <i r="1">
      <x v="1"/>
      <x/>
    </i>
    <i r="2">
      <x v="5"/>
    </i>
    <i r="2">
      <x v="6"/>
    </i>
    <i r="2">
      <x v="9"/>
    </i>
    <i>
      <x v="90"/>
      <x/>
      <x/>
    </i>
    <i r="2">
      <x v="5"/>
    </i>
    <i r="2">
      <x v="6"/>
    </i>
    <i r="2">
      <x v="8"/>
    </i>
    <i r="2">
      <x v="9"/>
    </i>
    <i r="2">
      <x v="10"/>
    </i>
    <i r="2">
      <x v="11"/>
    </i>
    <i r="2">
      <x v="12"/>
    </i>
    <i r="1">
      <x v="1"/>
      <x/>
    </i>
    <i r="2">
      <x v="6"/>
    </i>
    <i r="2">
      <x v="9"/>
    </i>
    <i>
      <x v="91"/>
      <x/>
      <x/>
    </i>
    <i r="2">
      <x v="5"/>
    </i>
    <i r="2">
      <x v="6"/>
    </i>
    <i r="2">
      <x v="9"/>
    </i>
    <i r="2">
      <x v="10"/>
    </i>
    <i r="2">
      <x v="11"/>
    </i>
    <i r="2">
      <x v="12"/>
    </i>
    <i r="1">
      <x v="1"/>
      <x v="5"/>
    </i>
    <i r="2">
      <x v="6"/>
    </i>
    <i r="2">
      <x v="9"/>
    </i>
    <i>
      <x v="92"/>
      <x/>
      <x/>
    </i>
    <i r="2">
      <x v="3"/>
    </i>
    <i r="2">
      <x v="4"/>
    </i>
    <i r="2">
      <x v="5"/>
    </i>
    <i r="2">
      <x v="6"/>
    </i>
    <i r="2">
      <x v="9"/>
    </i>
    <i r="2">
      <x v="11"/>
    </i>
    <i r="2">
      <x v="12"/>
    </i>
    <i r="1">
      <x v="1"/>
      <x v="3"/>
    </i>
    <i r="2">
      <x v="5"/>
    </i>
    <i r="2">
      <x v="6"/>
    </i>
    <i r="2">
      <x v="9"/>
    </i>
    <i>
      <x v="93"/>
      <x/>
      <x/>
    </i>
    <i r="2">
      <x v="3"/>
    </i>
    <i r="2">
      <x v="5"/>
    </i>
    <i r="2">
      <x v="6"/>
    </i>
    <i r="2">
      <x v="7"/>
    </i>
    <i r="2">
      <x v="9"/>
    </i>
    <i r="2">
      <x v="10"/>
    </i>
    <i r="2">
      <x v="11"/>
    </i>
    <i r="2">
      <x v="12"/>
    </i>
    <i r="1">
      <x v="1"/>
      <x/>
    </i>
    <i r="2">
      <x v="6"/>
    </i>
    <i>
      <x v="94"/>
      <x/>
      <x/>
    </i>
    <i r="2">
      <x v="5"/>
    </i>
    <i r="2">
      <x v="6"/>
    </i>
    <i r="2">
      <x v="9"/>
    </i>
    <i r="1">
      <x v="1"/>
      <x/>
    </i>
    <i r="2">
      <x v="5"/>
    </i>
    <i r="2">
      <x v="6"/>
    </i>
    <i r="2">
      <x v="9"/>
    </i>
    <i>
      <x v="95"/>
      <x/>
      <x/>
    </i>
    <i r="2">
      <x v="2"/>
    </i>
    <i r="2">
      <x v="3"/>
    </i>
    <i r="2">
      <x v="4"/>
    </i>
    <i r="2">
      <x v="5"/>
    </i>
    <i r="2">
      <x v="6"/>
    </i>
    <i r="2">
      <x v="9"/>
    </i>
    <i r="2">
      <x v="12"/>
    </i>
    <i r="1">
      <x v="1"/>
      <x v="6"/>
    </i>
    <i r="2">
      <x v="9"/>
    </i>
    <i>
      <x v="96"/>
      <x/>
      <x v="5"/>
    </i>
    <i r="2">
      <x v="6"/>
    </i>
    <i r="2">
      <x v="12"/>
    </i>
    <i r="1">
      <x v="1"/>
      <x v="6"/>
    </i>
    <i>
      <x v="97"/>
      <x/>
      <x/>
    </i>
    <i r="2">
      <x v="3"/>
    </i>
    <i r="2">
      <x v="5"/>
    </i>
    <i r="2">
      <x v="6"/>
    </i>
    <i r="2">
      <x v="9"/>
    </i>
    <i r="2">
      <x v="11"/>
    </i>
    <i r="2">
      <x v="12"/>
    </i>
    <i r="1">
      <x v="1"/>
      <x v="5"/>
    </i>
    <i r="2">
      <x v="6"/>
    </i>
    <i r="2">
      <x v="9"/>
    </i>
    <i>
      <x v="98"/>
      <x/>
      <x/>
    </i>
    <i r="2">
      <x v="1"/>
    </i>
    <i r="2">
      <x v="5"/>
    </i>
    <i r="2">
      <x v="6"/>
    </i>
    <i r="2">
      <x v="8"/>
    </i>
    <i r="2">
      <x v="9"/>
    </i>
    <i r="2">
      <x v="12"/>
    </i>
    <i r="1">
      <x v="1"/>
      <x v="6"/>
    </i>
    <i r="2">
      <x v="9"/>
    </i>
    <i>
      <x v="99"/>
      <x/>
      <x/>
    </i>
    <i r="2">
      <x v="5"/>
    </i>
    <i r="2">
      <x v="6"/>
    </i>
    <i r="2">
      <x v="9"/>
    </i>
    <i r="2">
      <x v="12"/>
    </i>
    <i r="1">
      <x v="1"/>
      <x v="6"/>
    </i>
    <i>
      <x v="100"/>
      <x/>
      <x/>
    </i>
    <i r="2">
      <x v="4"/>
    </i>
    <i r="2">
      <x v="5"/>
    </i>
    <i r="2">
      <x v="6"/>
    </i>
    <i r="2">
      <x v="8"/>
    </i>
    <i r="2">
      <x v="9"/>
    </i>
    <i r="2">
      <x v="10"/>
    </i>
    <i r="2">
      <x v="11"/>
    </i>
    <i r="1">
      <x v="1"/>
      <x/>
    </i>
    <i r="2">
      <x v="5"/>
    </i>
    <i r="2">
      <x v="6"/>
    </i>
    <i r="2">
      <x v="8"/>
    </i>
    <i r="2">
      <x v="9"/>
    </i>
    <i r="1">
      <x v="3"/>
      <x v="6"/>
    </i>
    <i r="2">
      <x v="9"/>
    </i>
    <i>
      <x v="101"/>
      <x/>
      <x/>
    </i>
    <i r="2">
      <x v="5"/>
    </i>
    <i r="2">
      <x v="6"/>
    </i>
    <i r="2">
      <x v="7"/>
    </i>
    <i r="2">
      <x v="11"/>
    </i>
    <i r="1">
      <x v="1"/>
      <x/>
    </i>
    <i r="2">
      <x v="5"/>
    </i>
    <i r="2">
      <x v="6"/>
    </i>
    <i>
      <x v="102"/>
      <x/>
      <x/>
    </i>
    <i r="2">
      <x v="2"/>
    </i>
    <i r="2">
      <x v="5"/>
    </i>
    <i r="2">
      <x v="6"/>
    </i>
    <i r="2">
      <x v="8"/>
    </i>
    <i r="2">
      <x v="9"/>
    </i>
    <i r="2">
      <x v="12"/>
    </i>
    <i r="1">
      <x v="1"/>
      <x v="6"/>
    </i>
    <i r="2">
      <x v="8"/>
    </i>
    <i r="2">
      <x v="9"/>
    </i>
    <i>
      <x v="103"/>
      <x/>
      <x/>
    </i>
    <i r="2">
      <x v="2"/>
    </i>
    <i r="2">
      <x v="5"/>
    </i>
    <i r="2">
      <x v="6"/>
    </i>
    <i r="2">
      <x v="8"/>
    </i>
    <i r="2">
      <x v="11"/>
    </i>
    <i r="1">
      <x v="1"/>
      <x v="5"/>
    </i>
    <i r="2">
      <x v="6"/>
    </i>
    <i r="2">
      <x v="8"/>
    </i>
    <i r="2">
      <x v="9"/>
    </i>
    <i>
      <x v="104"/>
      <x/>
      <x/>
    </i>
    <i r="2">
      <x v="4"/>
    </i>
    <i r="2">
      <x v="5"/>
    </i>
    <i r="2">
      <x v="6"/>
    </i>
    <i r="2">
      <x v="8"/>
    </i>
    <i r="2">
      <x v="9"/>
    </i>
    <i r="2">
      <x v="12"/>
    </i>
    <i r="1">
      <x v="1"/>
      <x v="5"/>
    </i>
    <i r="2">
      <x v="6"/>
    </i>
    <i r="2">
      <x v="9"/>
    </i>
    <i r="1">
      <x v="2"/>
      <x v="6"/>
    </i>
    <i r="2">
      <x v="12"/>
    </i>
    <i>
      <x v="105"/>
      <x/>
      <x/>
    </i>
    <i r="2">
      <x v="2"/>
    </i>
    <i r="2">
      <x v="3"/>
    </i>
    <i r="2">
      <x v="5"/>
    </i>
    <i r="2">
      <x v="6"/>
    </i>
    <i r="2">
      <x v="8"/>
    </i>
    <i r="2">
      <x v="9"/>
    </i>
    <i r="2">
      <x v="11"/>
    </i>
    <i r="1">
      <x v="1"/>
      <x/>
    </i>
    <i r="2">
      <x v="5"/>
    </i>
    <i r="2">
      <x v="6"/>
    </i>
    <i>
      <x v="106"/>
      <x/>
      <x/>
    </i>
    <i r="2">
      <x v="2"/>
    </i>
    <i r="2">
      <x v="3"/>
    </i>
    <i r="2">
      <x v="5"/>
    </i>
    <i r="2">
      <x v="6"/>
    </i>
    <i r="2">
      <x v="7"/>
    </i>
    <i r="2">
      <x v="8"/>
    </i>
    <i r="2">
      <x v="9"/>
    </i>
    <i r="2">
      <x v="11"/>
    </i>
    <i r="1">
      <x v="1"/>
      <x v="5"/>
    </i>
    <i r="2">
      <x v="6"/>
    </i>
    <i r="2">
      <x v="11"/>
    </i>
    <i>
      <x v="107"/>
      <x/>
      <x/>
    </i>
    <i r="2">
      <x v="2"/>
    </i>
    <i r="2">
      <x v="3"/>
    </i>
    <i r="2">
      <x v="5"/>
    </i>
    <i r="2">
      <x v="6"/>
    </i>
    <i r="2">
      <x v="8"/>
    </i>
    <i r="2">
      <x v="9"/>
    </i>
    <i r="2">
      <x v="11"/>
    </i>
    <i r="2">
      <x v="12"/>
    </i>
    <i r="1">
      <x v="1"/>
      <x v="5"/>
    </i>
    <i r="2">
      <x v="6"/>
    </i>
    <i r="2">
      <x v="8"/>
    </i>
    <i r="2">
      <x v="9"/>
    </i>
    <i>
      <x v="108"/>
      <x/>
      <x v="6"/>
    </i>
    <i r="1">
      <x v="1"/>
      <x v="6"/>
    </i>
    <i>
      <x v="109"/>
      <x/>
      <x v="6"/>
    </i>
    <i r="1">
      <x v="1"/>
      <x v="6"/>
    </i>
    <i>
      <x v="110"/>
      <x/>
      <x/>
    </i>
    <i r="2">
      <x v="5"/>
    </i>
    <i r="2">
      <x v="6"/>
    </i>
    <i>
      <x v="111"/>
      <x/>
      <x v="5"/>
    </i>
    <i r="2">
      <x v="6"/>
    </i>
    <i r="1">
      <x v="1"/>
      <x v="6"/>
    </i>
    <i>
      <x v="112"/>
      <x/>
      <x v="5"/>
    </i>
    <i r="2">
      <x v="6"/>
    </i>
    <i r="1">
      <x v="1"/>
      <x v="6"/>
    </i>
    <i>
      <x v="113"/>
      <x/>
      <x v="5"/>
    </i>
    <i r="2">
      <x v="6"/>
    </i>
    <i r="1">
      <x v="1"/>
      <x v="5"/>
    </i>
    <i>
      <x v="114"/>
      <x/>
      <x v="5"/>
    </i>
    <i r="2">
      <x v="6"/>
    </i>
    <i r="1">
      <x v="1"/>
      <x v="6"/>
    </i>
    <i>
      <x v="115"/>
      <x/>
      <x v="5"/>
    </i>
    <i r="2">
      <x v="6"/>
    </i>
    <i r="1">
      <x v="1"/>
      <x v="5"/>
    </i>
    <i r="2">
      <x v="6"/>
    </i>
    <i>
      <x v="116"/>
      <x/>
      <x/>
    </i>
    <i r="2">
      <x v="4"/>
    </i>
    <i r="2">
      <x v="5"/>
    </i>
    <i r="2">
      <x v="6"/>
    </i>
    <i r="2">
      <x v="9"/>
    </i>
    <i r="2">
      <x v="12"/>
    </i>
    <i r="1">
      <x v="1"/>
      <x v="6"/>
    </i>
    <i r="2">
      <x v="9"/>
    </i>
    <i>
      <x v="117"/>
      <x/>
      <x/>
    </i>
    <i r="2">
      <x v="4"/>
    </i>
    <i r="2">
      <x v="5"/>
    </i>
    <i r="2">
      <x v="6"/>
    </i>
    <i r="2">
      <x v="7"/>
    </i>
    <i r="2">
      <x v="9"/>
    </i>
    <i r="2">
      <x v="11"/>
    </i>
    <i r="2">
      <x v="12"/>
    </i>
    <i r="1">
      <x v="1"/>
      <x v="5"/>
    </i>
    <i r="2">
      <x v="6"/>
    </i>
    <i r="2">
      <x v="9"/>
    </i>
    <i>
      <x v="118"/>
      <x/>
      <x/>
    </i>
    <i r="2">
      <x v="4"/>
    </i>
    <i r="2">
      <x v="5"/>
    </i>
    <i r="2">
      <x v="6"/>
    </i>
    <i r="2">
      <x v="8"/>
    </i>
    <i r="2">
      <x v="9"/>
    </i>
    <i r="2">
      <x v="11"/>
    </i>
    <i r="2">
      <x v="12"/>
    </i>
    <i r="1">
      <x v="1"/>
      <x v="6"/>
    </i>
    <i r="1">
      <x v="3"/>
      <x v="6"/>
    </i>
    <i>
      <x v="119"/>
      <x/>
      <x/>
    </i>
    <i r="2">
      <x v="5"/>
    </i>
    <i r="2">
      <x v="6"/>
    </i>
    <i r="2">
      <x v="9"/>
    </i>
    <i r="2">
      <x v="12"/>
    </i>
    <i r="1">
      <x v="1"/>
      <x v="6"/>
    </i>
    <i r="1">
      <x v="3"/>
      <x v="6"/>
    </i>
    <i r="2">
      <x v="9"/>
    </i>
    <i>
      <x v="120"/>
      <x/>
      <x/>
    </i>
    <i r="2">
      <x v="5"/>
    </i>
    <i r="2">
      <x v="6"/>
    </i>
    <i r="2">
      <x v="8"/>
    </i>
    <i r="2">
      <x v="9"/>
    </i>
    <i r="2">
      <x v="10"/>
    </i>
    <i r="2">
      <x v="12"/>
    </i>
    <i r="1">
      <x v="1"/>
      <x v="5"/>
    </i>
    <i>
      <x v="121"/>
      <x/>
      <x/>
    </i>
    <i r="2">
      <x v="5"/>
    </i>
    <i r="2">
      <x v="6"/>
    </i>
    <i r="2">
      <x v="12"/>
    </i>
    <i r="1">
      <x v="1"/>
      <x v="5"/>
    </i>
    <i>
      <x v="122"/>
      <x/>
      <x v="3"/>
    </i>
    <i r="2">
      <x v="5"/>
    </i>
    <i r="2">
      <x v="6"/>
    </i>
    <i r="2">
      <x v="10"/>
    </i>
    <i r="2">
      <x v="11"/>
    </i>
    <i>
      <x v="123"/>
      <x/>
      <x v="5"/>
    </i>
    <i r="2">
      <x v="6"/>
    </i>
    <i r="2">
      <x v="9"/>
    </i>
    <i r="2">
      <x v="11"/>
    </i>
    <i r="1">
      <x v="1"/>
      <x v="5"/>
    </i>
    <i r="2">
      <x v="6"/>
    </i>
    <i>
      <x v="124"/>
      <x/>
      <x v="2"/>
    </i>
    <i r="2">
      <x v="5"/>
    </i>
    <i r="2">
      <x v="6"/>
    </i>
    <i r="1">
      <x v="1"/>
      <x v="6"/>
    </i>
    <i>
      <x v="125"/>
      <x/>
      <x/>
    </i>
    <i r="2">
      <x v="4"/>
    </i>
    <i r="2">
      <x v="5"/>
    </i>
    <i r="2">
      <x v="6"/>
    </i>
    <i r="2">
      <x v="10"/>
    </i>
    <i r="2">
      <x v="11"/>
    </i>
    <i r="2">
      <x v="12"/>
    </i>
    <i r="1">
      <x v="1"/>
      <x v="6"/>
    </i>
    <i>
      <x v="126"/>
      <x/>
      <x/>
    </i>
    <i r="2">
      <x v="4"/>
    </i>
    <i r="2">
      <x v="5"/>
    </i>
    <i r="2">
      <x v="6"/>
    </i>
    <i r="2">
      <x v="9"/>
    </i>
    <i r="2">
      <x v="11"/>
    </i>
    <i r="1">
      <x v="1"/>
      <x v="6"/>
    </i>
    <i>
      <x v="127"/>
      <x/>
      <x/>
    </i>
    <i r="2">
      <x v="2"/>
    </i>
    <i r="2">
      <x v="5"/>
    </i>
    <i r="2">
      <x v="6"/>
    </i>
    <i r="2">
      <x v="9"/>
    </i>
    <i r="2">
      <x v="11"/>
    </i>
    <i r="1">
      <x v="1"/>
      <x v="6"/>
    </i>
    <i>
      <x v="128"/>
      <x/>
      <x v="8"/>
    </i>
    <i>
      <x v="129"/>
      <x/>
      <x v="6"/>
    </i>
    <i>
      <x v="130"/>
      <x/>
      <x v="6"/>
    </i>
    <i>
      <x v="131"/>
      <x/>
      <x v="6"/>
    </i>
    <i>
      <x v="132"/>
      <x/>
      <x v="8"/>
    </i>
    <i>
      <x v="133"/>
      <x/>
      <x v="8"/>
    </i>
    <i>
      <x v="134"/>
      <x/>
      <x v="8"/>
    </i>
    <i>
      <x v="135"/>
      <x/>
      <x v="6"/>
    </i>
    <i>
      <x v="136"/>
      <x/>
      <x v="8"/>
    </i>
    <i>
      <x v="137"/>
      <x/>
      <x v="8"/>
    </i>
    <i>
      <x v="138"/>
      <x/>
      <x/>
    </i>
    <i r="2">
      <x v="4"/>
    </i>
    <i r="2">
      <x v="5"/>
    </i>
    <i r="2">
      <x v="6"/>
    </i>
    <i r="2">
      <x v="8"/>
    </i>
    <i r="2">
      <x v="9"/>
    </i>
    <i r="2">
      <x v="12"/>
    </i>
    <i r="1">
      <x v="1"/>
      <x v="5"/>
    </i>
    <i r="2">
      <x v="6"/>
    </i>
    <i>
      <x v="139"/>
      <x/>
      <x v="6"/>
    </i>
    <i r="2">
      <x v="8"/>
    </i>
    <i r="2">
      <x v="9"/>
    </i>
    <i r="1">
      <x v="1"/>
      <x v="5"/>
    </i>
    <i>
      <x v="140"/>
      <x/>
      <x v="6"/>
    </i>
    <i r="1">
      <x v="1"/>
      <x v="5"/>
    </i>
    <i>
      <x v="141"/>
      <x/>
      <x v="5"/>
    </i>
    <i r="2">
      <x v="6"/>
    </i>
    <i r="2">
      <x v="9"/>
    </i>
    <i r="2">
      <x v="12"/>
    </i>
    <i r="1">
      <x v="1"/>
      <x v="5"/>
    </i>
    <i r="2">
      <x v="6"/>
    </i>
    <i>
      <x v="142"/>
      <x/>
      <x v="5"/>
    </i>
    <i r="2">
      <x v="6"/>
    </i>
    <i r="2">
      <x v="10"/>
    </i>
    <i r="1">
      <x v="1"/>
      <x v="6"/>
    </i>
    <i>
      <x v="143"/>
      <x/>
      <x/>
    </i>
    <i r="2">
      <x v="4"/>
    </i>
    <i r="2">
      <x v="6"/>
    </i>
    <i r="2">
      <x v="8"/>
    </i>
    <i r="1">
      <x v="1"/>
      <x v="8"/>
    </i>
    <i>
      <x v="144"/>
      <x/>
      <x v="4"/>
    </i>
    <i r="2">
      <x v="6"/>
    </i>
    <i r="2">
      <x v="8"/>
    </i>
    <i r="1">
      <x v="1"/>
      <x v="5"/>
    </i>
    <i r="2">
      <x v="6"/>
    </i>
    <i>
      <x v="145"/>
      <x/>
      <x/>
    </i>
    <i r="2">
      <x v="2"/>
    </i>
    <i r="2">
      <x v="4"/>
    </i>
    <i r="2">
      <x v="5"/>
    </i>
    <i r="2">
      <x v="6"/>
    </i>
    <i r="2">
      <x v="11"/>
    </i>
    <i r="1">
      <x v="1"/>
      <x v="5"/>
    </i>
    <i>
      <x v="146"/>
      <x/>
      <x/>
    </i>
    <i r="2">
      <x v="5"/>
    </i>
    <i r="2">
      <x v="6"/>
    </i>
    <i r="2">
      <x v="11"/>
    </i>
    <i r="2">
      <x v="12"/>
    </i>
    <i r="1">
      <x v="1"/>
      <x v="6"/>
    </i>
    <i>
      <x v="147"/>
      <x/>
      <x v="6"/>
    </i>
    <i r="2">
      <x v="8"/>
    </i>
    <i r="2">
      <x v="10"/>
    </i>
    <i r="2">
      <x v="11"/>
    </i>
    <i r="1">
      <x v="1"/>
      <x v="5"/>
    </i>
    <i>
      <x v="148"/>
      <x/>
      <x/>
    </i>
    <i r="2">
      <x v="4"/>
    </i>
    <i r="2">
      <x v="5"/>
    </i>
    <i r="2">
      <x v="6"/>
    </i>
    <i r="2">
      <x v="9"/>
    </i>
    <i r="2">
      <x v="12"/>
    </i>
    <i r="1">
      <x v="1"/>
      <x v="5"/>
    </i>
    <i r="2">
      <x v="6"/>
    </i>
    <i>
      <x v="149"/>
      <x/>
      <x v="5"/>
    </i>
    <i r="2">
      <x v="6"/>
    </i>
    <i r="2">
      <x v="9"/>
    </i>
    <i r="1">
      <x v="1"/>
      <x v="5"/>
    </i>
    <i r="2">
      <x v="6"/>
    </i>
    <i>
      <x v="150"/>
      <x/>
      <x/>
    </i>
    <i r="2">
      <x v="4"/>
    </i>
    <i r="2">
      <x v="5"/>
    </i>
    <i r="2">
      <x v="6"/>
    </i>
    <i r="2">
      <x v="8"/>
    </i>
    <i r="2">
      <x v="9"/>
    </i>
    <i r="2">
      <x v="10"/>
    </i>
    <i r="2">
      <x v="12"/>
    </i>
    <i r="1">
      <x v="1"/>
      <x v="5"/>
    </i>
    <i r="2">
      <x v="6"/>
    </i>
    <i>
      <x v="151"/>
      <x/>
      <x/>
    </i>
    <i r="2">
      <x v="5"/>
    </i>
    <i r="2">
      <x v="6"/>
    </i>
    <i r="1">
      <x v="1"/>
      <x v="5"/>
    </i>
    <i>
      <x v="152"/>
      <x/>
      <x/>
    </i>
    <i r="2">
      <x v="5"/>
    </i>
    <i r="2">
      <x v="6"/>
    </i>
    <i r="2">
      <x v="9"/>
    </i>
    <i r="2">
      <x v="11"/>
    </i>
    <i r="1">
      <x v="1"/>
      <x v="5"/>
    </i>
    <i r="2">
      <x v="6"/>
    </i>
    <i>
      <x v="153"/>
      <x/>
      <x/>
    </i>
    <i r="2">
      <x v="5"/>
    </i>
    <i r="2">
      <x v="6"/>
    </i>
    <i r="2">
      <x v="8"/>
    </i>
    <i r="2">
      <x v="11"/>
    </i>
    <i r="1">
      <x v="1"/>
      <x v="5"/>
    </i>
    <i>
      <x v="154"/>
      <x/>
      <x v="5"/>
    </i>
    <i r="2">
      <x v="6"/>
    </i>
    <i r="2">
      <x v="11"/>
    </i>
    <i r="1">
      <x v="1"/>
      <x v="5"/>
    </i>
    <i>
      <x v="155"/>
      <x/>
      <x/>
    </i>
    <i r="2">
      <x v="2"/>
    </i>
    <i r="2">
      <x v="5"/>
    </i>
    <i r="2">
      <x v="6"/>
    </i>
    <i r="2">
      <x v="9"/>
    </i>
    <i r="2">
      <x v="11"/>
    </i>
    <i r="2">
      <x v="12"/>
    </i>
    <i r="1">
      <x v="1"/>
      <x/>
    </i>
    <i>
      <x v="156"/>
      <x/>
      <x v="5"/>
    </i>
    <i r="2">
      <x v="6"/>
    </i>
    <i r="1">
      <x v="1"/>
      <x v="5"/>
    </i>
    <i>
      <x v="157"/>
      <x/>
      <x v="5"/>
    </i>
    <i r="2">
      <x v="6"/>
    </i>
    <i r="1">
      <x v="1"/>
      <x v="6"/>
    </i>
    <i>
      <x v="158"/>
      <x/>
      <x/>
    </i>
    <i r="2">
      <x v="5"/>
    </i>
    <i r="2">
      <x v="6"/>
    </i>
    <i r="2">
      <x v="9"/>
    </i>
    <i r="2">
      <x v="10"/>
    </i>
    <i r="2">
      <x v="11"/>
    </i>
    <i r="2">
      <x v="12"/>
    </i>
    <i r="1">
      <x v="1"/>
      <x v="5"/>
    </i>
    <i r="2">
      <x v="6"/>
    </i>
    <i>
      <x v="159"/>
      <x/>
      <x v="2"/>
    </i>
    <i r="2">
      <x v="6"/>
    </i>
    <i r="2">
      <x v="8"/>
    </i>
    <i r="2">
      <x v="11"/>
    </i>
    <i r="1">
      <x v="1"/>
      <x v="8"/>
    </i>
    <i>
      <x v="160"/>
      <x/>
      <x v="6"/>
    </i>
    <i r="2">
      <x v="8"/>
    </i>
    <i r="2">
      <x v="12"/>
    </i>
    <i r="1">
      <x v="1"/>
      <x v="8"/>
    </i>
    <i>
      <x v="161"/>
      <x/>
      <x/>
    </i>
    <i r="2">
      <x v="5"/>
    </i>
    <i r="2">
      <x v="6"/>
    </i>
    <i r="2">
      <x v="9"/>
    </i>
    <i r="2">
      <x v="12"/>
    </i>
    <i r="1">
      <x v="1"/>
      <x v="5"/>
    </i>
    <i r="2">
      <x v="6"/>
    </i>
    <i>
      <x v="162"/>
      <x/>
      <x v="2"/>
    </i>
    <i r="2">
      <x v="5"/>
    </i>
    <i r="2">
      <x v="6"/>
    </i>
    <i r="2">
      <x v="8"/>
    </i>
    <i r="2">
      <x v="9"/>
    </i>
    <i r="2">
      <x v="10"/>
    </i>
    <i r="2">
      <x v="11"/>
    </i>
    <i r="2">
      <x v="12"/>
    </i>
    <i r="1">
      <x v="1"/>
      <x v="5"/>
    </i>
    <i>
      <x v="163"/>
      <x/>
      <x/>
    </i>
    <i r="2">
      <x v="4"/>
    </i>
    <i r="2">
      <x v="5"/>
    </i>
    <i r="2">
      <x v="6"/>
    </i>
    <i r="2">
      <x v="9"/>
    </i>
    <i r="2">
      <x v="11"/>
    </i>
    <i r="1">
      <x v="1"/>
      <x v="6"/>
    </i>
    <i>
      <x v="164"/>
      <x/>
      <x/>
    </i>
    <i r="2">
      <x v="2"/>
    </i>
    <i r="2">
      <x v="5"/>
    </i>
    <i r="2">
      <x v="6"/>
    </i>
    <i r="2">
      <x v="8"/>
    </i>
    <i r="2">
      <x v="9"/>
    </i>
    <i r="2">
      <x v="12"/>
    </i>
    <i r="1">
      <x v="1"/>
      <x v="5"/>
    </i>
    <i r="2">
      <x v="6"/>
    </i>
    <i>
      <x v="165"/>
      <x/>
      <x/>
    </i>
    <i r="2">
      <x v="2"/>
    </i>
    <i r="2">
      <x v="5"/>
    </i>
    <i r="2">
      <x v="6"/>
    </i>
    <i r="2">
      <x v="10"/>
    </i>
    <i r="1">
      <x v="1"/>
      <x/>
    </i>
    <i r="2">
      <x v="6"/>
    </i>
    <i>
      <x v="166"/>
      <x/>
      <x/>
    </i>
    <i r="2">
      <x v="5"/>
    </i>
    <i r="2">
      <x v="6"/>
    </i>
    <i r="2">
      <x v="9"/>
    </i>
    <i r="2">
      <x v="10"/>
    </i>
    <i r="2">
      <x v="11"/>
    </i>
    <i r="2">
      <x v="12"/>
    </i>
    <i r="1">
      <x v="1"/>
      <x v="5"/>
    </i>
    <i r="2">
      <x v="6"/>
    </i>
    <i r="2">
      <x v="9"/>
    </i>
    <i r="1">
      <x v="3"/>
      <x v="5"/>
    </i>
    <i r="2">
      <x v="8"/>
    </i>
    <i>
      <x v="167"/>
      <x/>
      <x/>
    </i>
    <i r="2">
      <x v="3"/>
    </i>
    <i r="2">
      <x v="5"/>
    </i>
    <i r="2">
      <x v="6"/>
    </i>
    <i r="2">
      <x v="9"/>
    </i>
    <i r="2">
      <x v="12"/>
    </i>
    <i r="1">
      <x v="1"/>
      <x v="6"/>
    </i>
    <i>
      <x v="168"/>
      <x/>
      <x/>
    </i>
    <i r="2">
      <x v="5"/>
    </i>
    <i r="2">
      <x v="6"/>
    </i>
    <i r="2">
      <x v="9"/>
    </i>
    <i r="2">
      <x v="10"/>
    </i>
    <i r="2">
      <x v="11"/>
    </i>
    <i r="2">
      <x v="12"/>
    </i>
    <i r="1">
      <x v="1"/>
      <x v="6"/>
    </i>
    <i>
      <x v="169"/>
      <x/>
      <x/>
    </i>
    <i r="2">
      <x v="5"/>
    </i>
    <i r="2">
      <x v="6"/>
    </i>
    <i r="2">
      <x v="9"/>
    </i>
    <i r="1">
      <x v="1"/>
      <x v="6"/>
    </i>
    <i>
      <x v="170"/>
      <x/>
      <x/>
    </i>
    <i r="2">
      <x v="5"/>
    </i>
    <i r="2">
      <x v="6"/>
    </i>
    <i r="2">
      <x v="9"/>
    </i>
    <i r="2">
      <x v="10"/>
    </i>
    <i r="1">
      <x v="1"/>
      <x v="5"/>
    </i>
    <i>
      <x v="171"/>
      <x/>
      <x v="2"/>
    </i>
    <i r="2">
      <x v="6"/>
    </i>
    <i>
      <x v="172"/>
      <x/>
      <x/>
    </i>
    <i r="2">
      <x v="5"/>
    </i>
    <i r="2">
      <x v="6"/>
    </i>
    <i r="2">
      <x v="9"/>
    </i>
    <i r="2">
      <x v="10"/>
    </i>
    <i r="2">
      <x v="11"/>
    </i>
    <i r="2">
      <x v="12"/>
    </i>
    <i r="1">
      <x v="1"/>
      <x v="6"/>
    </i>
    <i r="2">
      <x v="9"/>
    </i>
    <i>
      <x v="173"/>
      <x/>
      <x/>
    </i>
    <i r="2">
      <x v="5"/>
    </i>
    <i r="2">
      <x v="6"/>
    </i>
    <i r="2">
      <x v="9"/>
    </i>
    <i r="2">
      <x v="12"/>
    </i>
    <i r="1">
      <x v="1"/>
      <x v="5"/>
    </i>
    <i r="2">
      <x v="6"/>
    </i>
    <i>
      <x v="174"/>
      <x/>
      <x v="8"/>
    </i>
    <i r="1">
      <x v="1"/>
      <x v="9"/>
    </i>
    <i>
      <x v="175"/>
      <x/>
      <x v="6"/>
    </i>
    <i r="2">
      <x v="8"/>
    </i>
    <i r="2">
      <x v="10"/>
    </i>
    <i r="1">
      <x v="1"/>
      <x v="8"/>
    </i>
    <i>
      <x v="176"/>
      <x/>
      <x/>
    </i>
    <i r="2">
      <x v="2"/>
    </i>
    <i r="2">
      <x v="4"/>
    </i>
    <i r="2">
      <x v="5"/>
    </i>
    <i r="2">
      <x v="6"/>
    </i>
    <i r="2">
      <x v="9"/>
    </i>
    <i r="2">
      <x v="10"/>
    </i>
    <i r="2">
      <x v="11"/>
    </i>
    <i r="2">
      <x v="12"/>
    </i>
    <i r="1">
      <x v="1"/>
      <x v="6"/>
    </i>
    <i>
      <x v="177"/>
      <x/>
      <x v="6"/>
    </i>
    <i>
      <x v="178"/>
      <x/>
      <x/>
    </i>
    <i r="2">
      <x v="5"/>
    </i>
    <i r="2">
      <x v="6"/>
    </i>
    <i r="2">
      <x v="12"/>
    </i>
    <i r="1">
      <x v="1"/>
      <x v="5"/>
    </i>
    <i>
      <x v="179"/>
      <x/>
      <x/>
    </i>
    <i r="2">
      <x v="5"/>
    </i>
    <i r="2">
      <x v="6"/>
    </i>
    <i r="1">
      <x v="1"/>
      <x v="5"/>
    </i>
    <i>
      <x v="180"/>
      <x/>
      <x/>
    </i>
    <i r="2">
      <x v="5"/>
    </i>
    <i r="2">
      <x v="6"/>
    </i>
    <i r="2">
      <x v="12"/>
    </i>
    <i r="1">
      <x v="1"/>
      <x v="5"/>
    </i>
    <i r="2">
      <x v="6"/>
    </i>
    <i r="2">
      <x v="9"/>
    </i>
    <i>
      <x v="181"/>
      <x/>
      <x/>
    </i>
    <i r="2">
      <x v="2"/>
    </i>
    <i r="2">
      <x v="5"/>
    </i>
    <i r="2">
      <x v="6"/>
    </i>
    <i r="2">
      <x v="9"/>
    </i>
    <i r="2">
      <x v="10"/>
    </i>
    <i r="2">
      <x v="11"/>
    </i>
    <i r="1">
      <x v="1"/>
      <x v="6"/>
    </i>
    <i r="1">
      <x v="3"/>
      <x v="6"/>
    </i>
    <i>
      <x v="182"/>
      <x/>
      <x v="5"/>
    </i>
    <i r="2">
      <x v="6"/>
    </i>
    <i r="2">
      <x v="12"/>
    </i>
    <i r="1">
      <x v="1"/>
      <x v="5"/>
    </i>
    <i r="2">
      <x v="6"/>
    </i>
    <i>
      <x v="183"/>
      <x/>
      <x/>
    </i>
    <i r="2">
      <x v="5"/>
    </i>
    <i r="2">
      <x v="6"/>
    </i>
    <i r="2">
      <x v="8"/>
    </i>
    <i r="2">
      <x v="9"/>
    </i>
    <i r="2">
      <x v="11"/>
    </i>
    <i r="1">
      <x v="1"/>
      <x v="5"/>
    </i>
    <i r="2">
      <x v="6"/>
    </i>
    <i>
      <x v="184"/>
      <x/>
      <x/>
    </i>
    <i r="2">
      <x v="3"/>
    </i>
    <i r="2">
      <x v="5"/>
    </i>
    <i r="2">
      <x v="6"/>
    </i>
    <i r="2">
      <x v="13"/>
    </i>
    <i r="1">
      <x v="1"/>
      <x v="5"/>
    </i>
    <i r="2">
      <x v="6"/>
    </i>
    <i>
      <x v="185"/>
      <x/>
      <x/>
    </i>
    <i r="2">
      <x v="4"/>
    </i>
    <i r="2">
      <x v="5"/>
    </i>
    <i r="2">
      <x v="6"/>
    </i>
    <i r="2">
      <x v="9"/>
    </i>
    <i r="2">
      <x v="11"/>
    </i>
    <i r="2">
      <x v="12"/>
    </i>
    <i r="1">
      <x v="1"/>
      <x v="6"/>
    </i>
    <i r="2">
      <x v="9"/>
    </i>
    <i>
      <x v="186"/>
      <x/>
      <x v="6"/>
    </i>
    <i r="2">
      <x v="8"/>
    </i>
    <i r="1">
      <x v="1"/>
      <x v="6"/>
    </i>
    <i>
      <x v="187"/>
      <x/>
      <x/>
    </i>
    <i r="2">
      <x v="3"/>
    </i>
    <i r="2">
      <x v="4"/>
    </i>
    <i r="2">
      <x v="5"/>
    </i>
    <i r="2">
      <x v="6"/>
    </i>
    <i r="2">
      <x v="8"/>
    </i>
    <i r="2">
      <x v="9"/>
    </i>
    <i r="2">
      <x v="10"/>
    </i>
    <i r="2">
      <x v="11"/>
    </i>
    <i r="2">
      <x v="12"/>
    </i>
    <i r="1">
      <x v="1"/>
      <x/>
    </i>
    <i r="2">
      <x v="5"/>
    </i>
    <i r="2">
      <x v="6"/>
    </i>
    <i r="2">
      <x v="8"/>
    </i>
    <i r="2">
      <x v="9"/>
    </i>
    <i r="1">
      <x v="3"/>
      <x v="5"/>
    </i>
    <i r="2">
      <x v="6"/>
    </i>
    <i>
      <x v="188"/>
      <x/>
      <x/>
    </i>
    <i r="2">
      <x v="3"/>
    </i>
    <i r="2">
      <x v="5"/>
    </i>
    <i r="2">
      <x v="6"/>
    </i>
    <i r="2">
      <x v="8"/>
    </i>
    <i r="2">
      <x v="9"/>
    </i>
    <i r="2">
      <x v="10"/>
    </i>
    <i r="2">
      <x v="11"/>
    </i>
    <i r="2">
      <x v="12"/>
    </i>
    <i r="1">
      <x v="1"/>
      <x/>
    </i>
    <i r="2">
      <x v="6"/>
    </i>
    <i r="2">
      <x v="9"/>
    </i>
    <i>
      <x v="189"/>
      <x/>
      <x/>
    </i>
    <i r="2">
      <x v="4"/>
    </i>
    <i r="2">
      <x v="5"/>
    </i>
    <i r="2">
      <x v="6"/>
    </i>
    <i r="2">
      <x v="9"/>
    </i>
    <i r="2">
      <x v="12"/>
    </i>
    <i r="1">
      <x v="1"/>
      <x v="6"/>
    </i>
    <i r="2">
      <x v="9"/>
    </i>
    <i>
      <x v="190"/>
      <x/>
      <x/>
    </i>
    <i r="2">
      <x v="5"/>
    </i>
    <i r="2">
      <x v="6"/>
    </i>
    <i r="2">
      <x v="8"/>
    </i>
    <i r="2">
      <x v="9"/>
    </i>
    <i r="2">
      <x v="12"/>
    </i>
    <i r="1">
      <x v="1"/>
      <x v="5"/>
    </i>
    <i r="2">
      <x v="6"/>
    </i>
    <i r="2">
      <x v="9"/>
    </i>
    <i>
      <x v="191"/>
      <x/>
      <x/>
    </i>
    <i r="2">
      <x v="3"/>
    </i>
    <i r="2">
      <x v="5"/>
    </i>
    <i r="2">
      <x v="6"/>
    </i>
    <i r="2">
      <x v="9"/>
    </i>
    <i r="1">
      <x v="1"/>
      <x v="6"/>
    </i>
    <i r="1">
      <x v="2"/>
      <x v="2"/>
    </i>
    <i r="2">
      <x v="3"/>
    </i>
    <i r="2">
      <x v="5"/>
    </i>
    <i r="2">
      <x v="6"/>
    </i>
    <i r="2">
      <x v="9"/>
    </i>
    <i r="2">
      <x v="11"/>
    </i>
    <i r="1">
      <x v="3"/>
      <x/>
    </i>
    <i r="2">
      <x v="8"/>
    </i>
    <i>
      <x v="192"/>
      <x/>
      <x/>
    </i>
    <i r="2">
      <x v="3"/>
    </i>
    <i r="2">
      <x v="4"/>
    </i>
    <i r="2">
      <x v="5"/>
    </i>
    <i r="2">
      <x v="6"/>
    </i>
    <i r="2">
      <x v="8"/>
    </i>
    <i r="2">
      <x v="9"/>
    </i>
    <i r="2">
      <x v="10"/>
    </i>
    <i r="2">
      <x v="11"/>
    </i>
    <i r="1">
      <x v="1"/>
      <x v="6"/>
    </i>
    <i>
      <x v="193"/>
      <x/>
      <x/>
    </i>
    <i r="2">
      <x v="3"/>
    </i>
    <i r="2">
      <x v="5"/>
    </i>
    <i r="2">
      <x v="6"/>
    </i>
    <i r="2">
      <x v="9"/>
    </i>
    <i r="1">
      <x v="1"/>
      <x v="5"/>
    </i>
    <i r="2">
      <x v="6"/>
    </i>
    <i>
      <x v="194"/>
      <x/>
      <x/>
    </i>
    <i r="2">
      <x v="3"/>
    </i>
    <i r="2">
      <x v="4"/>
    </i>
    <i r="2">
      <x v="5"/>
    </i>
    <i r="2">
      <x v="6"/>
    </i>
    <i r="2">
      <x v="8"/>
    </i>
    <i r="2">
      <x v="9"/>
    </i>
    <i r="2">
      <x v="12"/>
    </i>
    <i r="1">
      <x v="1"/>
      <x/>
    </i>
    <i r="2">
      <x v="3"/>
    </i>
    <i r="2">
      <x v="5"/>
    </i>
    <i r="2">
      <x v="6"/>
    </i>
    <i r="2">
      <x v="8"/>
    </i>
    <i>
      <x v="195"/>
      <x/>
      <x/>
    </i>
    <i r="2">
      <x v="4"/>
    </i>
    <i r="2">
      <x v="5"/>
    </i>
    <i r="2">
      <x v="6"/>
    </i>
    <i r="2">
      <x v="9"/>
    </i>
    <i r="2">
      <x v="11"/>
    </i>
    <i r="2">
      <x v="12"/>
    </i>
    <i r="1">
      <x v="1"/>
      <x/>
    </i>
    <i r="2">
      <x v="5"/>
    </i>
    <i r="2">
      <x v="6"/>
    </i>
    <i r="2">
      <x v="9"/>
    </i>
    <i r="2">
      <x v="11"/>
    </i>
    <i>
      <x v="196"/>
      <x/>
      <x/>
    </i>
    <i r="2">
      <x v="3"/>
    </i>
    <i r="2">
      <x v="4"/>
    </i>
    <i r="2">
      <x v="5"/>
    </i>
    <i r="2">
      <x v="6"/>
    </i>
    <i r="2">
      <x v="8"/>
    </i>
    <i r="2">
      <x v="9"/>
    </i>
    <i r="2">
      <x v="11"/>
    </i>
    <i r="2">
      <x v="12"/>
    </i>
    <i r="1">
      <x v="1"/>
      <x v="5"/>
    </i>
    <i r="2">
      <x v="6"/>
    </i>
    <i r="2">
      <x v="9"/>
    </i>
    <i r="1">
      <x v="2"/>
      <x v="6"/>
    </i>
    <i>
      <x v="197"/>
      <x/>
      <x/>
    </i>
    <i r="2">
      <x v="4"/>
    </i>
    <i r="2">
      <x v="5"/>
    </i>
    <i r="2">
      <x v="6"/>
    </i>
    <i r="2">
      <x v="8"/>
    </i>
    <i r="2">
      <x v="9"/>
    </i>
    <i r="2">
      <x v="11"/>
    </i>
    <i r="1">
      <x v="1"/>
      <x v="6"/>
    </i>
    <i>
      <x v="198"/>
      <x/>
      <x v="5"/>
    </i>
    <i r="2">
      <x v="6"/>
    </i>
    <i r="1">
      <x v="1"/>
      <x v="5"/>
    </i>
    <i>
      <x v="199"/>
      <x/>
      <x v="5"/>
    </i>
    <i>
      <x v="200"/>
      <x/>
      <x/>
    </i>
    <i r="2">
      <x v="5"/>
    </i>
    <i r="2">
      <x v="6"/>
    </i>
    <i r="2">
      <x v="9"/>
    </i>
    <i r="1">
      <x v="1"/>
      <x v="6"/>
    </i>
    <i r="2">
      <x v="9"/>
    </i>
    <i>
      <x v="201"/>
      <x/>
      <x/>
    </i>
    <i r="2">
      <x v="5"/>
    </i>
    <i r="2">
      <x v="6"/>
    </i>
    <i r="2">
      <x v="9"/>
    </i>
    <i r="2">
      <x v="12"/>
    </i>
    <i r="1">
      <x v="1"/>
      <x v="5"/>
    </i>
    <i>
      <x v="202"/>
      <x/>
      <x/>
    </i>
    <i r="2">
      <x v="5"/>
    </i>
    <i r="2">
      <x v="6"/>
    </i>
    <i r="2">
      <x v="9"/>
    </i>
    <i r="2">
      <x v="12"/>
    </i>
    <i r="1">
      <x v="1"/>
      <x v="6"/>
    </i>
    <i r="2">
      <x v="9"/>
    </i>
    <i>
      <x v="203"/>
      <x/>
      <x/>
    </i>
    <i r="2">
      <x v="4"/>
    </i>
    <i r="2">
      <x v="5"/>
    </i>
    <i r="2">
      <x v="6"/>
    </i>
    <i r="2">
      <x v="9"/>
    </i>
    <i r="2">
      <x v="11"/>
    </i>
    <i r="2">
      <x v="12"/>
    </i>
    <i r="1">
      <x v="1"/>
      <x v="5"/>
    </i>
    <i>
      <x v="204"/>
      <x/>
      <x/>
    </i>
    <i r="2">
      <x v="5"/>
    </i>
    <i r="2">
      <x v="6"/>
    </i>
    <i r="2">
      <x v="9"/>
    </i>
    <i r="2">
      <x v="12"/>
    </i>
    <i r="1">
      <x v="1"/>
      <x v="5"/>
    </i>
    <i r="2">
      <x v="6"/>
    </i>
    <i r="2">
      <x v="9"/>
    </i>
    <i>
      <x v="205"/>
      <x/>
      <x/>
    </i>
    <i r="2">
      <x v="2"/>
    </i>
    <i r="2">
      <x v="3"/>
    </i>
    <i r="2">
      <x v="4"/>
    </i>
    <i r="2">
      <x v="5"/>
    </i>
    <i r="2">
      <x v="6"/>
    </i>
    <i r="2">
      <x v="9"/>
    </i>
    <i r="2">
      <x v="12"/>
    </i>
    <i r="1">
      <x v="1"/>
      <x v="6"/>
    </i>
    <i r="2">
      <x v="9"/>
    </i>
    <i>
      <x v="206"/>
      <x/>
      <x/>
    </i>
    <i r="2">
      <x v="5"/>
    </i>
    <i r="2">
      <x v="6"/>
    </i>
    <i r="2">
      <x v="12"/>
    </i>
    <i r="1">
      <x v="1"/>
      <x v="6"/>
    </i>
    <i>
      <x v="207"/>
      <x/>
      <x/>
    </i>
    <i r="2">
      <x v="5"/>
    </i>
    <i r="2">
      <x v="6"/>
    </i>
    <i r="2">
      <x v="8"/>
    </i>
    <i r="2">
      <x v="9"/>
    </i>
    <i r="2">
      <x v="10"/>
    </i>
    <i r="2">
      <x v="11"/>
    </i>
    <i r="1">
      <x v="1"/>
      <x v="6"/>
    </i>
    <i r="2">
      <x v="9"/>
    </i>
    <i r="1">
      <x v="3"/>
      <x v="6"/>
    </i>
    <i>
      <x v="208"/>
      <x/>
      <x/>
    </i>
    <i r="2">
      <x v="5"/>
    </i>
    <i r="2">
      <x v="6"/>
    </i>
    <i r="2">
      <x v="9"/>
    </i>
    <i r="2">
      <x v="11"/>
    </i>
    <i r="2">
      <x v="12"/>
    </i>
    <i r="1">
      <x v="1"/>
      <x v="5"/>
    </i>
    <i>
      <x v="209"/>
      <x/>
      <x/>
    </i>
    <i r="2">
      <x v="5"/>
    </i>
    <i r="2">
      <x v="6"/>
    </i>
    <i r="2">
      <x v="9"/>
    </i>
    <i r="1">
      <x v="1"/>
      <x v="5"/>
    </i>
    <i r="2">
      <x v="6"/>
    </i>
    <i>
      <x v="210"/>
      <x/>
      <x v="8"/>
    </i>
    <i>
      <x v="211"/>
      <x/>
      <x v="6"/>
    </i>
    <i>
      <x v="212"/>
      <x/>
      <x v="6"/>
    </i>
    <i>
      <x v="213"/>
      <x/>
      <x v="6"/>
    </i>
    <i>
      <x v="214"/>
      <x/>
      <x/>
    </i>
    <i r="2">
      <x v="4"/>
    </i>
    <i r="2">
      <x v="5"/>
    </i>
    <i r="2">
      <x v="6"/>
    </i>
    <i r="2">
      <x v="8"/>
    </i>
    <i r="2">
      <x v="9"/>
    </i>
    <i r="2">
      <x v="12"/>
    </i>
    <i r="1">
      <x v="1"/>
      <x/>
    </i>
    <i r="2">
      <x v="3"/>
    </i>
    <i r="2">
      <x v="5"/>
    </i>
    <i r="2">
      <x v="6"/>
    </i>
    <i r="2">
      <x v="8"/>
    </i>
    <i r="2">
      <x v="9"/>
    </i>
    <i>
      <x v="215"/>
      <x/>
      <x/>
    </i>
    <i r="2">
      <x v="3"/>
    </i>
    <i r="2">
      <x v="5"/>
    </i>
    <i r="2">
      <x v="6"/>
    </i>
    <i r="2">
      <x v="8"/>
    </i>
    <i r="2">
      <x v="9"/>
    </i>
    <i r="2">
      <x v="10"/>
    </i>
    <i r="2">
      <x v="11"/>
    </i>
    <i r="2">
      <x v="12"/>
    </i>
    <i r="1">
      <x v="1"/>
      <x v="6"/>
    </i>
    <i>
      <x v="216"/>
      <x/>
      <x/>
    </i>
    <i r="2">
      <x v="5"/>
    </i>
    <i r="2">
      <x v="6"/>
    </i>
    <i r="2">
      <x v="8"/>
    </i>
    <i r="2">
      <x v="9"/>
    </i>
    <i r="2">
      <x v="12"/>
    </i>
    <i r="1">
      <x v="1"/>
      <x/>
    </i>
    <i r="2">
      <x v="5"/>
    </i>
    <i r="2">
      <x v="6"/>
    </i>
    <i r="2">
      <x v="9"/>
    </i>
    <i>
      <x v="217"/>
      <x/>
      <x/>
    </i>
    <i r="2">
      <x v="2"/>
    </i>
    <i r="2">
      <x v="3"/>
    </i>
    <i r="2">
      <x v="4"/>
    </i>
    <i r="2">
      <x v="5"/>
    </i>
    <i r="2">
      <x v="6"/>
    </i>
    <i r="2">
      <x v="9"/>
    </i>
    <i r="2">
      <x v="10"/>
    </i>
    <i r="2">
      <x v="11"/>
    </i>
    <i r="2">
      <x v="12"/>
    </i>
    <i r="1">
      <x v="1"/>
      <x v="5"/>
    </i>
    <i r="2">
      <x v="6"/>
    </i>
    <i>
      <x v="218"/>
      <x/>
      <x/>
    </i>
    <i r="2">
      <x v="5"/>
    </i>
    <i r="2">
      <x v="6"/>
    </i>
    <i r="2">
      <x v="8"/>
    </i>
    <i r="2">
      <x v="9"/>
    </i>
    <i r="2">
      <x v="11"/>
    </i>
    <i r="1">
      <x v="1"/>
      <x/>
    </i>
    <i r="2">
      <x v="5"/>
    </i>
    <i r="2">
      <x v="6"/>
    </i>
    <i>
      <x v="219"/>
      <x/>
      <x/>
    </i>
    <i r="2">
      <x v="3"/>
    </i>
    <i r="2">
      <x v="4"/>
    </i>
    <i r="2">
      <x v="5"/>
    </i>
    <i r="2">
      <x v="6"/>
    </i>
    <i r="2">
      <x v="8"/>
    </i>
    <i r="2">
      <x v="9"/>
    </i>
    <i r="2">
      <x v="12"/>
    </i>
    <i r="1">
      <x v="1"/>
      <x v="6"/>
    </i>
    <i r="2">
      <x v="8"/>
    </i>
    <i r="1">
      <x v="3"/>
      <x v="6"/>
    </i>
    <i>
      <x v="220"/>
      <x/>
      <x v="5"/>
    </i>
    <i r="2">
      <x v="6"/>
    </i>
    <i r="1">
      <x v="1"/>
      <x v="6"/>
    </i>
    <i>
      <x v="221"/>
      <x/>
      <x/>
    </i>
    <i r="2">
      <x v="4"/>
    </i>
    <i r="2">
      <x v="5"/>
    </i>
    <i r="2">
      <x v="6"/>
    </i>
    <i r="2">
      <x v="9"/>
    </i>
    <i r="2">
      <x v="11"/>
    </i>
    <i r="2">
      <x v="12"/>
    </i>
    <i r="1">
      <x v="1"/>
      <x v="5"/>
    </i>
    <i r="2">
      <x v="6"/>
    </i>
    <i r="2">
      <x v="9"/>
    </i>
    <i>
      <x v="222"/>
      <x/>
      <x/>
    </i>
    <i r="2">
      <x v="2"/>
    </i>
    <i r="2">
      <x v="5"/>
    </i>
    <i r="2">
      <x v="6"/>
    </i>
    <i r="2">
      <x v="8"/>
    </i>
    <i r="2">
      <x v="9"/>
    </i>
    <i r="2">
      <x v="11"/>
    </i>
    <i r="2">
      <x v="12"/>
    </i>
    <i r="1">
      <x v="1"/>
      <x v="5"/>
    </i>
    <i r="2">
      <x v="6"/>
    </i>
    <i>
      <x v="223"/>
      <x/>
      <x/>
    </i>
    <i r="2">
      <x v="4"/>
    </i>
    <i r="2">
      <x v="5"/>
    </i>
    <i r="2">
      <x v="6"/>
    </i>
    <i r="2">
      <x v="9"/>
    </i>
    <i r="2">
      <x v="11"/>
    </i>
    <i r="2">
      <x v="12"/>
    </i>
    <i r="1">
      <x v="1"/>
      <x v="5"/>
    </i>
    <i r="2">
      <x v="6"/>
    </i>
    <i r="2">
      <x v="9"/>
    </i>
    <i>
      <x v="224"/>
      <x/>
      <x/>
    </i>
    <i r="2">
      <x v="5"/>
    </i>
    <i r="2">
      <x v="6"/>
    </i>
    <i r="1">
      <x v="1"/>
      <x v="6"/>
    </i>
    <i r="2">
      <x v="8"/>
    </i>
    <i>
      <x v="225"/>
      <x/>
      <x/>
    </i>
    <i r="2">
      <x v="5"/>
    </i>
    <i r="2">
      <x v="6"/>
    </i>
    <i r="2">
      <x v="9"/>
    </i>
    <i r="2">
      <x v="10"/>
    </i>
    <i r="2">
      <x v="11"/>
    </i>
    <i r="1">
      <x v="1"/>
      <x v="5"/>
    </i>
    <i r="2">
      <x v="6"/>
    </i>
    <i>
      <x v="226"/>
      <x/>
      <x/>
    </i>
    <i r="2">
      <x v="3"/>
    </i>
    <i r="2">
      <x v="4"/>
    </i>
    <i r="2">
      <x v="5"/>
    </i>
    <i r="2">
      <x v="6"/>
    </i>
    <i r="2">
      <x v="8"/>
    </i>
    <i r="2">
      <x v="9"/>
    </i>
    <i r="1">
      <x v="1"/>
      <x v="5"/>
    </i>
    <i r="2">
      <x v="6"/>
    </i>
    <i>
      <x v="227"/>
      <x/>
      <x/>
    </i>
    <i r="2">
      <x v="5"/>
    </i>
    <i r="2">
      <x v="6"/>
    </i>
    <i r="2">
      <x v="9"/>
    </i>
    <i r="2">
      <x v="11"/>
    </i>
    <i r="1">
      <x v="1"/>
      <x v="5"/>
    </i>
    <i r="2">
      <x v="6"/>
    </i>
    <i>
      <x v="228"/>
      <x/>
      <x/>
    </i>
    <i r="2">
      <x v="2"/>
    </i>
    <i r="2">
      <x v="3"/>
    </i>
    <i r="2">
      <x v="5"/>
    </i>
    <i r="2">
      <x v="6"/>
    </i>
    <i r="2">
      <x v="9"/>
    </i>
    <i r="2">
      <x v="10"/>
    </i>
    <i r="2">
      <x v="11"/>
    </i>
    <i r="2">
      <x v="12"/>
    </i>
    <i r="1">
      <x v="1"/>
      <x v="5"/>
    </i>
    <i r="2">
      <x v="6"/>
    </i>
    <i r="2">
      <x v="9"/>
    </i>
    <i r="2">
      <x v="10"/>
    </i>
    <i>
      <x v="229"/>
      <x/>
      <x/>
    </i>
    <i r="2">
      <x v="5"/>
    </i>
    <i r="2">
      <x v="6"/>
    </i>
    <i r="2">
      <x v="11"/>
    </i>
    <i r="1">
      <x v="1"/>
      <x v="6"/>
    </i>
    <i>
      <x v="230"/>
      <x/>
      <x/>
    </i>
    <i r="2">
      <x v="5"/>
    </i>
    <i r="2">
      <x v="6"/>
    </i>
    <i r="1">
      <x v="1"/>
      <x v="5"/>
    </i>
    <i>
      <x v="231"/>
      <x/>
      <x/>
    </i>
    <i r="2">
      <x v="5"/>
    </i>
    <i r="2">
      <x v="6"/>
    </i>
    <i r="2">
      <x v="7"/>
    </i>
    <i r="2">
      <x v="9"/>
    </i>
    <i r="1">
      <x v="1"/>
      <x v="5"/>
    </i>
    <i r="2">
      <x v="6"/>
    </i>
    <i>
      <x v="232"/>
      <x/>
      <x/>
    </i>
    <i r="2">
      <x v="5"/>
    </i>
    <i r="2">
      <x v="6"/>
    </i>
    <i r="2">
      <x v="12"/>
    </i>
    <i r="1">
      <x v="1"/>
      <x v="6"/>
    </i>
    <i r="1">
      <x v="2"/>
      <x/>
    </i>
    <i r="2">
      <x v="5"/>
    </i>
    <i r="2">
      <x v="6"/>
    </i>
    <i r="1">
      <x v="3"/>
      <x v="6"/>
    </i>
    <i>
      <x v="233"/>
      <x/>
      <x/>
    </i>
    <i r="2">
      <x v="3"/>
    </i>
    <i r="2">
      <x v="5"/>
    </i>
    <i r="2">
      <x v="6"/>
    </i>
    <i r="2">
      <x v="9"/>
    </i>
    <i r="2">
      <x v="10"/>
    </i>
    <i r="2">
      <x v="11"/>
    </i>
    <i r="2">
      <x v="12"/>
    </i>
    <i r="1">
      <x v="1"/>
      <x/>
    </i>
    <i r="2">
      <x v="6"/>
    </i>
    <i r="2">
      <x v="9"/>
    </i>
    <i r="2">
      <x v="10"/>
    </i>
    <i>
      <x v="234"/>
      <x/>
      <x/>
    </i>
    <i r="2">
      <x v="3"/>
    </i>
    <i r="2">
      <x v="5"/>
    </i>
    <i r="2">
      <x v="6"/>
    </i>
    <i r="2">
      <x v="9"/>
    </i>
    <i r="2">
      <x v="10"/>
    </i>
    <i r="2">
      <x v="11"/>
    </i>
    <i r="2">
      <x v="12"/>
    </i>
    <i r="1">
      <x v="1"/>
      <x v="3"/>
    </i>
    <i r="2">
      <x v="6"/>
    </i>
    <i r="2">
      <x v="9"/>
    </i>
    <i>
      <x v="235"/>
      <x/>
      <x/>
    </i>
    <i r="2">
      <x v="2"/>
    </i>
    <i r="2">
      <x v="5"/>
    </i>
    <i r="2">
      <x v="6"/>
    </i>
    <i r="2">
      <x v="9"/>
    </i>
    <i r="2">
      <x v="10"/>
    </i>
    <i r="2">
      <x v="13"/>
    </i>
    <i r="1">
      <x v="1"/>
      <x/>
    </i>
    <i r="2">
      <x v="6"/>
    </i>
    <i>
      <x v="236"/>
      <x/>
      <x/>
    </i>
    <i r="2">
      <x v="3"/>
    </i>
    <i r="2">
      <x v="4"/>
    </i>
    <i r="2">
      <x v="5"/>
    </i>
    <i r="2">
      <x v="6"/>
    </i>
    <i r="2">
      <x v="9"/>
    </i>
    <i r="2">
      <x v="12"/>
    </i>
    <i r="1">
      <x v="1"/>
      <x v="6"/>
    </i>
    <i r="2">
      <x v="9"/>
    </i>
    <i>
      <x v="237"/>
      <x/>
      <x/>
    </i>
    <i r="2">
      <x v="4"/>
    </i>
    <i r="2">
      <x v="5"/>
    </i>
    <i r="2">
      <x v="6"/>
    </i>
    <i r="2">
      <x v="9"/>
    </i>
    <i r="2">
      <x v="10"/>
    </i>
    <i r="2">
      <x v="11"/>
    </i>
    <i r="2">
      <x v="12"/>
    </i>
    <i r="1">
      <x v="1"/>
      <x v="6"/>
    </i>
    <i>
      <x v="238"/>
      <x/>
      <x/>
    </i>
    <i r="2">
      <x v="5"/>
    </i>
    <i r="2">
      <x v="6"/>
    </i>
    <i r="2">
      <x v="9"/>
    </i>
    <i r="2">
      <x v="10"/>
    </i>
    <i r="2">
      <x v="11"/>
    </i>
    <i r="1">
      <x v="1"/>
      <x v="6"/>
    </i>
    <i>
      <x v="239"/>
      <x/>
      <x/>
    </i>
    <i r="2">
      <x v="2"/>
    </i>
    <i r="2">
      <x v="5"/>
    </i>
    <i r="2">
      <x v="6"/>
    </i>
    <i r="2">
      <x v="9"/>
    </i>
    <i r="2">
      <x v="10"/>
    </i>
    <i r="2">
      <x v="12"/>
    </i>
    <i r="1">
      <x v="1"/>
      <x v="6"/>
    </i>
    <i r="2">
      <x v="9"/>
    </i>
    <i>
      <x v="240"/>
      <x/>
      <x/>
    </i>
    <i r="2">
      <x v="4"/>
    </i>
    <i r="2">
      <x v="5"/>
    </i>
    <i r="2">
      <x v="6"/>
    </i>
    <i r="2">
      <x v="9"/>
    </i>
    <i r="2">
      <x v="12"/>
    </i>
    <i r="1">
      <x v="1"/>
      <x v="6"/>
    </i>
    <i r="2">
      <x v="9"/>
    </i>
    <i>
      <x v="241"/>
      <x/>
      <x/>
    </i>
    <i r="2">
      <x v="4"/>
    </i>
    <i r="2">
      <x v="5"/>
    </i>
    <i r="2">
      <x v="6"/>
    </i>
    <i r="1">
      <x v="1"/>
      <x v="6"/>
    </i>
    <i>
      <x v="242"/>
      <x/>
      <x/>
    </i>
    <i r="2">
      <x v="5"/>
    </i>
    <i r="2">
      <x v="6"/>
    </i>
    <i r="2">
      <x v="11"/>
    </i>
    <i r="2">
      <x v="12"/>
    </i>
    <i r="1">
      <x v="1"/>
      <x v="5"/>
    </i>
    <i>
      <x v="243"/>
      <x/>
      <x v="6"/>
    </i>
    <i r="2">
      <x v="9"/>
    </i>
    <i r="2">
      <x v="10"/>
    </i>
    <i r="1">
      <x v="1"/>
      <x v="6"/>
    </i>
    <i>
      <x v="244"/>
      <x/>
      <x v="3"/>
    </i>
    <i r="2">
      <x v="5"/>
    </i>
    <i r="2">
      <x v="6"/>
    </i>
    <i r="1">
      <x v="1"/>
      <x v="6"/>
    </i>
    <i>
      <x v="245"/>
      <x/>
      <x/>
    </i>
    <i r="2">
      <x v="5"/>
    </i>
    <i r="2">
      <x v="6"/>
    </i>
    <i r="1">
      <x v="1"/>
      <x v="5"/>
    </i>
    <i>
      <x v="246"/>
      <x/>
      <x/>
    </i>
    <i r="2">
      <x v="5"/>
    </i>
    <i r="2">
      <x v="6"/>
    </i>
    <i r="2">
      <x v="9"/>
    </i>
    <i r="2">
      <x v="10"/>
    </i>
    <i r="2">
      <x v="12"/>
    </i>
    <i r="1">
      <x v="1"/>
      <x v="6"/>
    </i>
    <i>
      <x v="247"/>
      <x/>
      <x/>
    </i>
    <i r="2">
      <x v="5"/>
    </i>
    <i r="2">
      <x v="6"/>
    </i>
    <i r="1">
      <x v="1"/>
      <x v="5"/>
    </i>
    <i r="1">
      <x v="3"/>
      <x v="6"/>
    </i>
    <i r="2">
      <x v="9"/>
    </i>
    <i>
      <x v="248"/>
      <x/>
      <x/>
    </i>
    <i r="2">
      <x v="2"/>
    </i>
    <i r="2">
      <x v="5"/>
    </i>
    <i r="2">
      <x v="6"/>
    </i>
    <i r="2">
      <x v="9"/>
    </i>
    <i r="2">
      <x v="10"/>
    </i>
    <i r="2">
      <x v="11"/>
    </i>
    <i r="2">
      <x v="12"/>
    </i>
    <i r="1">
      <x v="1"/>
      <x v="5"/>
    </i>
    <i r="2">
      <x v="6"/>
    </i>
    <i r="2">
      <x v="9"/>
    </i>
    <i r="2">
      <x v="11"/>
    </i>
    <i>
      <x v="249"/>
      <x/>
      <x/>
    </i>
    <i r="2">
      <x v="5"/>
    </i>
    <i r="2">
      <x v="6"/>
    </i>
    <i r="2">
      <x v="9"/>
    </i>
    <i r="2">
      <x v="11"/>
    </i>
    <i r="2">
      <x v="12"/>
    </i>
    <i r="1">
      <x v="1"/>
      <x v="5"/>
    </i>
    <i r="2">
      <x v="6"/>
    </i>
    <i r="2">
      <x v="9"/>
    </i>
    <i>
      <x v="250"/>
      <x/>
      <x/>
    </i>
    <i r="2">
      <x v="5"/>
    </i>
    <i r="2">
      <x v="6"/>
    </i>
    <i r="2">
      <x v="10"/>
    </i>
    <i r="2">
      <x v="11"/>
    </i>
    <i r="1">
      <x v="1"/>
      <x v="5"/>
    </i>
    <i r="2">
      <x v="6"/>
    </i>
    <i>
      <x v="251"/>
      <x/>
      <x/>
    </i>
    <i r="2">
      <x v="5"/>
    </i>
    <i r="2">
      <x v="6"/>
    </i>
    <i r="2">
      <x v="11"/>
    </i>
    <i r="1">
      <x v="1"/>
      <x v="5"/>
    </i>
    <i>
      <x v="252"/>
      <x/>
      <x/>
    </i>
    <i r="2">
      <x v="5"/>
    </i>
    <i r="2">
      <x v="6"/>
    </i>
    <i r="1">
      <x v="1"/>
      <x v="5"/>
    </i>
    <i>
      <x v="253"/>
      <x/>
      <x/>
    </i>
    <i r="2">
      <x v="5"/>
    </i>
    <i r="2">
      <x v="6"/>
    </i>
    <i r="2">
      <x v="12"/>
    </i>
    <i r="1">
      <x v="1"/>
      <x v="5"/>
    </i>
    <i r="1">
      <x v="3"/>
      <x v="5"/>
    </i>
    <i>
      <x v="254"/>
      <x/>
      <x/>
    </i>
    <i r="2">
      <x v="2"/>
    </i>
    <i r="2">
      <x v="5"/>
    </i>
    <i r="2">
      <x v="6"/>
    </i>
    <i r="2">
      <x v="9"/>
    </i>
    <i r="1">
      <x v="1"/>
      <x v="6"/>
    </i>
    <i>
      <x v="255"/>
      <x/>
      <x/>
    </i>
    <i r="2">
      <x v="5"/>
    </i>
    <i r="2">
      <x v="6"/>
    </i>
    <i r="2">
      <x v="11"/>
    </i>
    <i r="1">
      <x v="1"/>
      <x v="5"/>
    </i>
    <i>
      <x v="256"/>
      <x/>
      <x/>
    </i>
    <i r="2">
      <x v="2"/>
    </i>
    <i r="2">
      <x v="5"/>
    </i>
    <i r="2">
      <x v="6"/>
    </i>
    <i r="2">
      <x v="9"/>
    </i>
    <i r="2">
      <x v="12"/>
    </i>
    <i r="1">
      <x v="1"/>
      <x v="6"/>
    </i>
    <i>
      <x v="257"/>
      <x/>
      <x/>
    </i>
    <i r="2">
      <x v="4"/>
    </i>
    <i r="2">
      <x v="5"/>
    </i>
    <i r="2">
      <x v="6"/>
    </i>
    <i r="2">
      <x v="9"/>
    </i>
    <i r="2">
      <x v="10"/>
    </i>
    <i r="2">
      <x v="11"/>
    </i>
    <i r="1">
      <x v="1"/>
      <x v="6"/>
    </i>
    <i>
      <x v="258"/>
      <x/>
      <x/>
    </i>
    <i r="2">
      <x v="4"/>
    </i>
    <i r="2">
      <x v="5"/>
    </i>
    <i r="2">
      <x v="6"/>
    </i>
    <i r="2">
      <x v="9"/>
    </i>
    <i r="2">
      <x v="10"/>
    </i>
    <i r="2">
      <x v="11"/>
    </i>
    <i r="2">
      <x v="12"/>
    </i>
    <i r="1">
      <x v="1"/>
      <x v="5"/>
    </i>
    <i r="2">
      <x v="6"/>
    </i>
    <i r="2">
      <x v="9"/>
    </i>
    <i r="1">
      <x v="3"/>
      <x/>
    </i>
    <i>
      <x v="259"/>
      <x/>
      <x/>
    </i>
    <i r="2">
      <x v="4"/>
    </i>
    <i r="2">
      <x v="5"/>
    </i>
    <i r="2">
      <x v="6"/>
    </i>
    <i r="2">
      <x v="9"/>
    </i>
    <i r="1">
      <x v="1"/>
      <x v="5"/>
    </i>
    <i r="2">
      <x v="6"/>
    </i>
    <i r="2">
      <x v="9"/>
    </i>
    <i r="2">
      <x v="10"/>
    </i>
    <i r="2">
      <x v="11"/>
    </i>
    <i>
      <x v="260"/>
      <x/>
      <x/>
    </i>
    <i r="2">
      <x v="2"/>
    </i>
    <i r="2">
      <x v="3"/>
    </i>
    <i r="2">
      <x v="4"/>
    </i>
    <i r="2">
      <x v="5"/>
    </i>
    <i r="2">
      <x v="6"/>
    </i>
    <i r="2">
      <x v="9"/>
    </i>
    <i r="2">
      <x v="12"/>
    </i>
    <i r="1">
      <x v="1"/>
      <x/>
    </i>
    <i r="2">
      <x v="3"/>
    </i>
    <i r="2">
      <x v="6"/>
    </i>
    <i r="2">
      <x v="9"/>
    </i>
    <i>
      <x v="261"/>
      <x/>
      <x/>
    </i>
    <i r="2">
      <x v="5"/>
    </i>
    <i r="2">
      <x v="6"/>
    </i>
    <i r="2">
      <x v="9"/>
    </i>
    <i r="2">
      <x v="10"/>
    </i>
    <i r="2">
      <x v="12"/>
    </i>
    <i r="1">
      <x v="1"/>
      <x v="5"/>
    </i>
    <i>
      <x v="262"/>
      <x/>
      <x v="5"/>
    </i>
    <i r="2">
      <x v="6"/>
    </i>
    <i r="2">
      <x v="8"/>
    </i>
    <i r="1">
      <x v="1"/>
      <x v="5"/>
    </i>
    <i>
      <x v="263"/>
      <x/>
      <x/>
    </i>
    <i r="2">
      <x v="4"/>
    </i>
    <i r="2">
      <x v="5"/>
    </i>
    <i r="2">
      <x v="6"/>
    </i>
    <i r="2">
      <x v="9"/>
    </i>
    <i r="1">
      <x v="1"/>
      <x v="6"/>
    </i>
    <i>
      <x v="264"/>
      <x/>
      <x/>
    </i>
    <i r="2">
      <x v="5"/>
    </i>
    <i r="2">
      <x v="6"/>
    </i>
    <i r="2">
      <x v="9"/>
    </i>
    <i r="2">
      <x v="11"/>
    </i>
    <i r="2">
      <x v="12"/>
    </i>
    <i r="1">
      <x v="1"/>
      <x v="6"/>
    </i>
    <i>
      <x v="265"/>
      <x/>
      <x v="6"/>
    </i>
    <i>
      <x v="266"/>
      <x/>
      <x v="8"/>
    </i>
    <i>
      <x v="267"/>
      <x/>
      <x/>
    </i>
    <i r="2">
      <x v="2"/>
    </i>
    <i r="2">
      <x v="3"/>
    </i>
    <i r="2">
      <x v="4"/>
    </i>
    <i r="2">
      <x v="5"/>
    </i>
    <i r="2">
      <x v="6"/>
    </i>
    <i r="2">
      <x v="9"/>
    </i>
    <i r="2">
      <x v="11"/>
    </i>
    <i r="2">
      <x v="12"/>
    </i>
    <i r="1">
      <x v="1"/>
      <x v="6"/>
    </i>
    <i r="2">
      <x v="9"/>
    </i>
    <i>
      <x v="268"/>
      <x/>
      <x/>
    </i>
    <i r="2">
      <x v="4"/>
    </i>
    <i r="2">
      <x v="5"/>
    </i>
    <i r="2">
      <x v="6"/>
    </i>
    <i r="2">
      <x v="9"/>
    </i>
    <i r="2">
      <x v="12"/>
    </i>
    <i r="1">
      <x v="1"/>
      <x v="6"/>
    </i>
    <i>
      <x v="269"/>
      <x/>
      <x/>
    </i>
    <i r="2">
      <x v="6"/>
    </i>
    <i r="1">
      <x v="1"/>
      <x v="6"/>
    </i>
    <i>
      <x v="270"/>
      <x/>
      <x/>
    </i>
    <i r="2">
      <x v="5"/>
    </i>
    <i r="2">
      <x v="6"/>
    </i>
    <i r="2">
      <x v="9"/>
    </i>
    <i r="2">
      <x v="12"/>
    </i>
    <i r="1">
      <x v="1"/>
      <x v="5"/>
    </i>
    <i r="2">
      <x v="6"/>
    </i>
    <i>
      <x v="271"/>
      <x/>
      <x v="4"/>
    </i>
    <i r="2">
      <x v="5"/>
    </i>
    <i r="2">
      <x v="6"/>
    </i>
    <i r="2">
      <x v="8"/>
    </i>
    <i r="2">
      <x v="10"/>
    </i>
    <i>
      <x v="272"/>
      <x/>
      <x v="5"/>
    </i>
    <i r="2">
      <x v="6"/>
    </i>
    <i r="2">
      <x v="9"/>
    </i>
    <i r="2">
      <x v="12"/>
    </i>
    <i r="1">
      <x v="1"/>
      <x v="5"/>
    </i>
    <i>
      <x v="273"/>
      <x/>
      <x/>
    </i>
    <i r="2">
      <x v="5"/>
    </i>
    <i r="2">
      <x v="6"/>
    </i>
    <i r="2">
      <x v="9"/>
    </i>
    <i r="1">
      <x v="1"/>
      <x v="6"/>
    </i>
    <i>
      <x v="274"/>
      <x/>
      <x/>
    </i>
    <i r="2">
      <x v="4"/>
    </i>
    <i r="2">
      <x v="5"/>
    </i>
    <i r="2">
      <x v="6"/>
    </i>
    <i r="2">
      <x v="7"/>
    </i>
    <i r="2">
      <x v="8"/>
    </i>
    <i r="2">
      <x v="9"/>
    </i>
    <i r="2">
      <x v="11"/>
    </i>
    <i r="2">
      <x v="12"/>
    </i>
    <i r="1">
      <x v="1"/>
      <x v="6"/>
    </i>
    <i r="2">
      <x v="9"/>
    </i>
    <i r="1">
      <x v="3"/>
      <x v="6"/>
    </i>
    <i>
      <x v="275"/>
      <x/>
      <x/>
    </i>
    <i r="2">
      <x v="5"/>
    </i>
    <i r="2">
      <x v="6"/>
    </i>
    <i r="2">
      <x v="9"/>
    </i>
    <i r="1">
      <x v="1"/>
      <x v="5"/>
    </i>
    <i r="2">
      <x v="6"/>
    </i>
    <i>
      <x v="276"/>
      <x/>
      <x/>
    </i>
    <i r="2">
      <x v="2"/>
    </i>
    <i r="2">
      <x v="4"/>
    </i>
    <i r="2">
      <x v="5"/>
    </i>
    <i r="2">
      <x v="6"/>
    </i>
    <i r="2">
      <x v="9"/>
    </i>
    <i r="2">
      <x v="10"/>
    </i>
    <i r="2">
      <x v="11"/>
    </i>
    <i r="1">
      <x v="1"/>
      <x v="6"/>
    </i>
    <i r="2">
      <x v="9"/>
    </i>
    <i>
      <x v="277"/>
      <x/>
      <x/>
    </i>
    <i r="2">
      <x v="4"/>
    </i>
    <i r="2">
      <x v="5"/>
    </i>
    <i r="2">
      <x v="6"/>
    </i>
    <i r="2">
      <x v="9"/>
    </i>
    <i r="2">
      <x v="12"/>
    </i>
    <i r="1">
      <x v="1"/>
      <x v="6"/>
    </i>
    <i r="2">
      <x v="9"/>
    </i>
    <i>
      <x v="278"/>
      <x/>
      <x/>
    </i>
    <i r="2">
      <x v="5"/>
    </i>
    <i r="2">
      <x v="6"/>
    </i>
    <i r="2">
      <x v="9"/>
    </i>
    <i r="2">
      <x v="11"/>
    </i>
    <i r="2">
      <x v="12"/>
    </i>
    <i r="1">
      <x v="1"/>
      <x v="6"/>
    </i>
    <i r="2">
      <x v="9"/>
    </i>
    <i>
      <x v="279"/>
      <x/>
      <x/>
    </i>
    <i r="2">
      <x v="4"/>
    </i>
    <i r="2">
      <x v="5"/>
    </i>
    <i r="2">
      <x v="6"/>
    </i>
    <i r="2">
      <x v="8"/>
    </i>
    <i r="1">
      <x v="1"/>
      <x v="6"/>
    </i>
    <i r="1">
      <x v="3"/>
      <x v="6"/>
    </i>
    <i>
      <x v="280"/>
      <x/>
      <x v="5"/>
    </i>
    <i r="2">
      <x v="6"/>
    </i>
    <i r="1">
      <x v="1"/>
      <x v="6"/>
    </i>
    <i>
      <x v="281"/>
      <x/>
      <x v="3"/>
    </i>
    <i r="2">
      <x v="6"/>
    </i>
    <i r="2">
      <x v="10"/>
    </i>
    <i r="2">
      <x v="11"/>
    </i>
    <i r="1">
      <x v="1"/>
      <x v="6"/>
    </i>
    <i r="2">
      <x v="10"/>
    </i>
    <i>
      <x v="282"/>
      <x/>
      <x v="5"/>
    </i>
    <i r="2">
      <x v="6"/>
    </i>
    <i r="1">
      <x v="1"/>
      <x v="5"/>
    </i>
    <i>
      <x v="283"/>
      <x/>
      <x v="5"/>
    </i>
    <i r="2">
      <x v="6"/>
    </i>
    <i r="2">
      <x v="12"/>
    </i>
    <i r="1">
      <x v="1"/>
      <x v="5"/>
    </i>
    <i>
      <x v="284"/>
      <x/>
      <x/>
    </i>
    <i r="2">
      <x v="4"/>
    </i>
    <i r="2">
      <x v="5"/>
    </i>
    <i r="2">
      <x v="6"/>
    </i>
    <i r="2">
      <x v="9"/>
    </i>
    <i r="2">
      <x v="11"/>
    </i>
    <i r="2">
      <x v="12"/>
    </i>
    <i r="1">
      <x v="1"/>
      <x v="6"/>
    </i>
    <i r="2">
      <x v="9"/>
    </i>
    <i>
      <x v="285"/>
      <x/>
      <x/>
    </i>
    <i r="2">
      <x v="5"/>
    </i>
    <i r="2">
      <x v="6"/>
    </i>
    <i r="2">
      <x v="9"/>
    </i>
    <i r="2">
      <x v="12"/>
    </i>
    <i r="1">
      <x v="1"/>
      <x v="6"/>
    </i>
    <i>
      <x v="286"/>
      <x/>
      <x v="5"/>
    </i>
    <i r="2">
      <x v="6"/>
    </i>
    <i r="2">
      <x v="9"/>
    </i>
    <i r="1">
      <x v="1"/>
      <x v="5"/>
    </i>
    <i>
      <x v="287"/>
      <x/>
      <x v="5"/>
    </i>
    <i r="2">
      <x v="6"/>
    </i>
    <i r="1">
      <x v="1"/>
      <x v="5"/>
    </i>
    <i>
      <x v="288"/>
      <x/>
      <x/>
    </i>
    <i r="2">
      <x v="5"/>
    </i>
    <i r="2">
      <x v="6"/>
    </i>
    <i r="1">
      <x v="1"/>
      <x v="5"/>
    </i>
    <i>
      <x v="289"/>
      <x/>
      <x/>
    </i>
    <i r="2">
      <x v="6"/>
    </i>
    <i r="1">
      <x v="1"/>
      <x v="5"/>
    </i>
    <i>
      <x v="290"/>
      <x/>
      <x v="5"/>
    </i>
    <i r="2">
      <x v="6"/>
    </i>
    <i r="1">
      <x v="1"/>
      <x v="5"/>
    </i>
    <i>
      <x v="291"/>
      <x/>
      <x/>
    </i>
    <i r="2">
      <x v="5"/>
    </i>
    <i r="2">
      <x v="6"/>
    </i>
    <i r="1">
      <x v="1"/>
      <x v="5"/>
    </i>
    <i>
      <x v="292"/>
      <x/>
      <x/>
    </i>
    <i r="2">
      <x v="5"/>
    </i>
    <i r="2">
      <x v="6"/>
    </i>
    <i r="1">
      <x v="1"/>
      <x v="5"/>
    </i>
    <i r="2">
      <x v="6"/>
    </i>
    <i>
      <x v="293"/>
      <x/>
      <x/>
    </i>
    <i r="2">
      <x v="5"/>
    </i>
    <i r="2">
      <x v="6"/>
    </i>
    <i r="2">
      <x v="10"/>
    </i>
    <i r="1">
      <x v="1"/>
      <x v="5"/>
    </i>
    <i>
      <x v="294"/>
      <x/>
      <x/>
    </i>
    <i r="2">
      <x v="4"/>
    </i>
    <i r="2">
      <x v="5"/>
    </i>
    <i r="2">
      <x v="6"/>
    </i>
    <i r="2">
      <x v="9"/>
    </i>
    <i r="2">
      <x v="10"/>
    </i>
    <i r="2">
      <x v="12"/>
    </i>
    <i r="1">
      <x v="1"/>
      <x/>
    </i>
    <i r="2">
      <x v="5"/>
    </i>
    <i r="2">
      <x v="6"/>
    </i>
    <i>
      <x v="295"/>
      <x/>
      <x/>
    </i>
    <i r="2">
      <x v="5"/>
    </i>
    <i r="2">
      <x v="6"/>
    </i>
    <i r="2">
      <x v="8"/>
    </i>
    <i r="2">
      <x v="9"/>
    </i>
    <i r="2">
      <x v="12"/>
    </i>
    <i r="1">
      <x v="1"/>
      <x v="6"/>
    </i>
    <i>
      <x v="296"/>
      <x/>
      <x/>
    </i>
    <i r="2">
      <x v="2"/>
    </i>
    <i r="2">
      <x v="4"/>
    </i>
    <i r="2">
      <x v="5"/>
    </i>
    <i r="2">
      <x v="6"/>
    </i>
    <i r="2">
      <x v="9"/>
    </i>
    <i r="2">
      <x v="10"/>
    </i>
    <i r="2">
      <x v="11"/>
    </i>
    <i r="2">
      <x v="12"/>
    </i>
    <i r="1">
      <x v="1"/>
      <x v="5"/>
    </i>
    <i r="2">
      <x v="6"/>
    </i>
    <i r="2">
      <x v="9"/>
    </i>
    <i>
      <x v="297"/>
      <x/>
      <x/>
    </i>
    <i r="2">
      <x v="5"/>
    </i>
    <i r="2">
      <x v="6"/>
    </i>
    <i r="2">
      <x v="9"/>
    </i>
    <i r="1">
      <x v="1"/>
      <x/>
    </i>
    <i r="2">
      <x v="5"/>
    </i>
    <i r="2">
      <x v="6"/>
    </i>
    <i r="2">
      <x v="9"/>
    </i>
    <i>
      <x v="298"/>
      <x/>
      <x/>
    </i>
    <i r="2">
      <x v="5"/>
    </i>
    <i r="2">
      <x v="6"/>
    </i>
    <i r="2">
      <x v="9"/>
    </i>
    <i r="2">
      <x v="11"/>
    </i>
    <i r="1">
      <x v="1"/>
      <x v="5"/>
    </i>
    <i r="2">
      <x v="6"/>
    </i>
    <i r="1">
      <x v="2"/>
      <x/>
    </i>
    <i r="2">
      <x v="6"/>
    </i>
    <i>
      <x v="299"/>
      <x/>
      <x v="8"/>
    </i>
    <i>
      <x v="300"/>
      <x/>
      <x/>
    </i>
    <i r="2">
      <x v="5"/>
    </i>
    <i r="2">
      <x v="6"/>
    </i>
    <i r="2">
      <x v="9"/>
    </i>
    <i r="2">
      <x v="10"/>
    </i>
    <i r="2">
      <x v="12"/>
    </i>
    <i r="1">
      <x v="1"/>
      <x v="6"/>
    </i>
    <i r="2">
      <x v="9"/>
    </i>
    <i>
      <x v="301"/>
      <x/>
      <x/>
    </i>
    <i r="2">
      <x v="4"/>
    </i>
    <i r="2">
      <x v="5"/>
    </i>
    <i r="2">
      <x v="6"/>
    </i>
    <i r="2">
      <x v="9"/>
    </i>
    <i r="2">
      <x v="12"/>
    </i>
    <i r="1">
      <x v="1"/>
      <x/>
    </i>
    <i r="2">
      <x v="6"/>
    </i>
    <i>
      <x v="302"/>
      <x/>
      <x/>
    </i>
    <i r="2">
      <x v="2"/>
    </i>
    <i r="2">
      <x v="5"/>
    </i>
    <i r="2">
      <x v="6"/>
    </i>
    <i r="2">
      <x v="9"/>
    </i>
    <i r="1">
      <x v="1"/>
      <x v="6"/>
    </i>
    <i r="1">
      <x v="3"/>
      <x v="5"/>
    </i>
    <i r="2">
      <x v="6"/>
    </i>
    <i>
      <x v="303"/>
      <x/>
      <x/>
    </i>
    <i r="2">
      <x v="3"/>
    </i>
    <i r="2">
      <x v="5"/>
    </i>
    <i r="2">
      <x v="6"/>
    </i>
    <i r="2">
      <x v="9"/>
    </i>
    <i r="2">
      <x v="11"/>
    </i>
    <i r="1">
      <x v="1"/>
      <x v="6"/>
    </i>
    <i>
      <x v="304"/>
      <x/>
      <x/>
    </i>
    <i r="2">
      <x v="3"/>
    </i>
    <i r="2">
      <x v="5"/>
    </i>
    <i r="2">
      <x v="6"/>
    </i>
    <i r="2">
      <x v="12"/>
    </i>
    <i r="1">
      <x v="1"/>
      <x v="6"/>
    </i>
    <i r="2">
      <x v="9"/>
    </i>
    <i r="1">
      <x v="3"/>
      <x v="6"/>
    </i>
    <i>
      <x v="305"/>
      <x/>
      <x/>
    </i>
    <i r="2">
      <x v="5"/>
    </i>
    <i r="2">
      <x v="6"/>
    </i>
    <i r="2">
      <x v="9"/>
    </i>
    <i r="1">
      <x v="1"/>
      <x v="6"/>
    </i>
    <i>
      <x v="306"/>
      <x/>
      <x/>
    </i>
    <i r="2">
      <x v="4"/>
    </i>
    <i r="2">
      <x v="5"/>
    </i>
    <i r="2">
      <x v="6"/>
    </i>
    <i r="2">
      <x v="9"/>
    </i>
    <i r="2">
      <x v="12"/>
    </i>
    <i r="1">
      <x v="1"/>
      <x v="5"/>
    </i>
    <i r="2">
      <x v="6"/>
    </i>
    <i r="2">
      <x v="9"/>
    </i>
    <i r="1">
      <x v="3"/>
      <x v="6"/>
    </i>
    <i>
      <x v="307"/>
      <x/>
      <x/>
    </i>
    <i r="2">
      <x v="3"/>
    </i>
    <i r="2">
      <x v="5"/>
    </i>
    <i r="2">
      <x v="6"/>
    </i>
    <i r="2">
      <x v="9"/>
    </i>
    <i r="2">
      <x v="12"/>
    </i>
    <i r="1">
      <x v="1"/>
      <x v="5"/>
    </i>
    <i r="2">
      <x v="6"/>
    </i>
    <i r="2">
      <x v="9"/>
    </i>
    <i>
      <x v="308"/>
      <x/>
      <x/>
    </i>
    <i r="2">
      <x v="5"/>
    </i>
    <i r="2">
      <x v="6"/>
    </i>
    <i r="1">
      <x v="1"/>
      <x v="5"/>
    </i>
    <i r="2">
      <x v="6"/>
    </i>
    <i r="1">
      <x v="3"/>
      <x v="6"/>
    </i>
  </rowItems>
  <colFields count="1">
    <field x="3"/>
  </colFields>
  <colItems count="8">
    <i>
      <x/>
    </i>
    <i>
      <x v="1"/>
    </i>
    <i>
      <x v="2"/>
    </i>
    <i>
      <x v="3"/>
    </i>
    <i>
      <x v="4"/>
    </i>
    <i>
      <x v="5"/>
    </i>
    <i>
      <x v="6"/>
    </i>
    <i>
      <x v="7"/>
    </i>
  </colItems>
  <dataFields count="1">
    <dataField name="Sum of Amount"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12.wa.us/default.aspx" TargetMode="External"/><Relationship Id="rId1" Type="http://schemas.openxmlformats.org/officeDocument/2006/relationships/hyperlink" Target="https://creativecommons.org/licenses/by/4.0/"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printerSettings" Target="../printerSettings/printerSettings10.bin"/><Relationship Id="rId4" Type="http://schemas.openxmlformats.org/officeDocument/2006/relationships/hyperlink" Target="https://ospi.k12.wa.us/policy-funding/school-apportionment/instructions-and-tools/indirect-cost-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4:M6"/>
  <sheetViews>
    <sheetView workbookViewId="0">
      <selection activeCell="C2" sqref="C2"/>
    </sheetView>
  </sheetViews>
  <sheetFormatPr defaultRowHeight="12.75"/>
  <sheetData>
    <row r="4" spans="1:13" ht="23.25" customHeight="1">
      <c r="A4" s="138" t="s">
        <v>0</v>
      </c>
      <c r="B4" s="138"/>
      <c r="C4" s="138"/>
      <c r="D4" s="138"/>
      <c r="E4" s="138"/>
      <c r="F4" s="138"/>
      <c r="G4" s="138"/>
      <c r="H4" s="138"/>
      <c r="I4" s="138"/>
      <c r="J4" s="138"/>
      <c r="K4" s="138"/>
      <c r="L4" s="138"/>
      <c r="M4" s="138"/>
    </row>
    <row r="5" spans="1:13" ht="23.25" customHeight="1">
      <c r="A5" s="137" t="s">
        <v>1</v>
      </c>
      <c r="B5" s="137"/>
      <c r="C5" s="137"/>
      <c r="D5" s="137"/>
      <c r="E5" s="137"/>
      <c r="F5" s="137"/>
      <c r="G5" s="137"/>
      <c r="H5" s="137"/>
      <c r="I5" s="137"/>
      <c r="J5" s="137"/>
      <c r="K5" s="137"/>
      <c r="L5" s="137"/>
      <c r="M5" s="137"/>
    </row>
    <row r="6" spans="1:13" ht="23.25" customHeight="1">
      <c r="A6" s="137" t="s">
        <v>2</v>
      </c>
      <c r="B6" s="137"/>
      <c r="C6" s="137"/>
      <c r="D6" s="137"/>
      <c r="E6" s="137"/>
      <c r="F6" s="137"/>
      <c r="G6" s="137"/>
      <c r="H6" s="137"/>
      <c r="I6" s="137"/>
      <c r="J6" s="137"/>
      <c r="K6" s="137"/>
      <c r="L6" s="137"/>
      <c r="M6" s="137"/>
    </row>
  </sheetData>
  <mergeCells count="3">
    <mergeCell ref="A6:M6"/>
    <mergeCell ref="A5:M5"/>
    <mergeCell ref="A4:M4"/>
  </mergeCells>
  <hyperlinks>
    <hyperlink ref="A6:J6" r:id="rId1" display="under a Creative Commons Attribution 4.0 International License." xr:uid="{00000000-0004-0000-0000-000000000000}"/>
    <hyperlink ref="A5:J5" r:id="rId2" display="Office of Superintendent of Public Instruction is licensed " xr:uid="{00000000-0004-0000-0000-000001000000}"/>
  </hyperlinks>
  <pageMargins left="0.7" right="0.7" top="0.75" bottom="0.75" header="0.3" footer="0.3"/>
  <pageSetup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B9BE-E529-413F-9137-80FB89ABF8FC}">
  <sheetPr>
    <tabColor rgb="FF92D050"/>
  </sheetPr>
  <dimension ref="A1:F315"/>
  <sheetViews>
    <sheetView topLeftCell="A18" workbookViewId="0">
      <selection activeCell="I16" sqref="I16"/>
    </sheetView>
  </sheetViews>
  <sheetFormatPr defaultRowHeight="12.75"/>
  <cols>
    <col min="1" max="1" width="6.5703125" bestFit="1" customWidth="1"/>
    <col min="2" max="2" width="35.140625" bestFit="1" customWidth="1"/>
    <col min="3" max="3" width="12.140625" bestFit="1" customWidth="1"/>
    <col min="4" max="4" width="11.140625" bestFit="1" customWidth="1"/>
    <col min="5" max="6" width="10.5703125" bestFit="1" customWidth="1"/>
  </cols>
  <sheetData>
    <row r="1" spans="1:6" ht="15">
      <c r="B1" s="113" t="s">
        <v>1432</v>
      </c>
      <c r="C1" s="114" t="s">
        <v>1433</v>
      </c>
    </row>
    <row r="3" spans="1:6">
      <c r="A3">
        <v>1</v>
      </c>
      <c r="B3">
        <v>2</v>
      </c>
      <c r="C3">
        <v>3</v>
      </c>
      <c r="D3">
        <v>4</v>
      </c>
      <c r="E3">
        <v>5</v>
      </c>
      <c r="F3">
        <v>6</v>
      </c>
    </row>
    <row r="4" spans="1:6">
      <c r="A4" t="s">
        <v>680</v>
      </c>
      <c r="B4" t="s">
        <v>1367</v>
      </c>
      <c r="C4" t="s">
        <v>685</v>
      </c>
      <c r="D4" t="s">
        <v>686</v>
      </c>
      <c r="E4" t="s">
        <v>687</v>
      </c>
      <c r="F4" t="s">
        <v>688</v>
      </c>
    </row>
    <row r="5" spans="1:6">
      <c r="A5" t="s">
        <v>6</v>
      </c>
      <c r="B5" t="s">
        <v>8</v>
      </c>
      <c r="C5" s="55">
        <v>8973272.7999999989</v>
      </c>
      <c r="D5" s="55">
        <v>922427.79999999981</v>
      </c>
      <c r="E5" s="55"/>
      <c r="F5" s="55"/>
    </row>
    <row r="6" spans="1:6">
      <c r="A6" t="s">
        <v>9</v>
      </c>
      <c r="B6" t="s">
        <v>10</v>
      </c>
      <c r="C6" s="55">
        <v>2197173.7300000004</v>
      </c>
      <c r="D6" s="55">
        <v>138667</v>
      </c>
      <c r="E6" s="55"/>
      <c r="F6" s="55"/>
    </row>
    <row r="7" spans="1:6">
      <c r="A7" t="s">
        <v>11</v>
      </c>
      <c r="B7" t="s">
        <v>13</v>
      </c>
      <c r="C7" s="55">
        <v>167388.12</v>
      </c>
      <c r="D7" s="55">
        <v>24654.85</v>
      </c>
      <c r="E7" s="55"/>
      <c r="F7" s="55"/>
    </row>
    <row r="8" spans="1:6">
      <c r="A8" t="s">
        <v>14</v>
      </c>
      <c r="B8" t="s">
        <v>16</v>
      </c>
      <c r="C8" s="55">
        <v>5972854.1899999995</v>
      </c>
      <c r="D8" s="55">
        <v>601313</v>
      </c>
      <c r="E8" s="55"/>
      <c r="F8" s="55"/>
    </row>
    <row r="9" spans="1:6">
      <c r="A9" t="s">
        <v>17</v>
      </c>
      <c r="B9" t="s">
        <v>18</v>
      </c>
      <c r="C9" s="55">
        <v>16128377.6</v>
      </c>
      <c r="D9" s="55">
        <v>1227172.8300000003</v>
      </c>
      <c r="E9" s="55"/>
      <c r="F9" s="55"/>
    </row>
    <row r="10" spans="1:6">
      <c r="A10" t="s">
        <v>19</v>
      </c>
      <c r="B10" t="s">
        <v>21</v>
      </c>
      <c r="C10" s="55">
        <v>1228558.3799999997</v>
      </c>
      <c r="D10" s="55">
        <v>167050</v>
      </c>
      <c r="E10" s="55"/>
      <c r="F10" s="55"/>
    </row>
    <row r="11" spans="1:6">
      <c r="A11" t="s">
        <v>22</v>
      </c>
      <c r="B11" t="s">
        <v>24</v>
      </c>
      <c r="C11" s="55">
        <v>46445726.729999997</v>
      </c>
      <c r="D11" s="55">
        <v>3700274.2</v>
      </c>
      <c r="E11" s="55"/>
      <c r="F11" s="55">
        <v>21620.400000000001</v>
      </c>
    </row>
    <row r="12" spans="1:6">
      <c r="A12" t="s">
        <v>25</v>
      </c>
      <c r="B12" t="s">
        <v>26</v>
      </c>
      <c r="C12" s="55">
        <v>9949573.6099999994</v>
      </c>
      <c r="D12" s="55">
        <v>898376.42999999993</v>
      </c>
      <c r="E12" s="55"/>
      <c r="F12" s="55"/>
    </row>
    <row r="13" spans="1:6">
      <c r="A13" t="s">
        <v>27</v>
      </c>
      <c r="B13" t="s">
        <v>29</v>
      </c>
      <c r="C13" s="55">
        <v>32503072.84</v>
      </c>
      <c r="D13" s="55">
        <v>2927651.31</v>
      </c>
      <c r="E13" s="55"/>
      <c r="F13" s="55"/>
    </row>
    <row r="14" spans="1:6">
      <c r="A14" t="s">
        <v>30</v>
      </c>
      <c r="B14" t="s">
        <v>31</v>
      </c>
      <c r="C14" s="55">
        <v>73748712.020000011</v>
      </c>
      <c r="D14" s="55">
        <v>4883378.21</v>
      </c>
      <c r="E14" s="55"/>
      <c r="F14" s="55"/>
    </row>
    <row r="15" spans="1:6">
      <c r="A15" t="s">
        <v>32</v>
      </c>
      <c r="B15" t="s">
        <v>33</v>
      </c>
      <c r="C15" s="55">
        <v>36969503.499999993</v>
      </c>
      <c r="D15" s="55">
        <v>2638511.9999999995</v>
      </c>
      <c r="E15" s="55"/>
      <c r="F15" s="55"/>
    </row>
    <row r="16" spans="1:6">
      <c r="A16" t="s">
        <v>34</v>
      </c>
      <c r="B16" t="s">
        <v>35</v>
      </c>
      <c r="C16" s="55">
        <v>2735.64</v>
      </c>
      <c r="D16" s="55">
        <v>1089.83</v>
      </c>
      <c r="E16" s="55"/>
      <c r="F16" s="55"/>
    </row>
    <row r="17" spans="1:6">
      <c r="A17" t="s">
        <v>36</v>
      </c>
      <c r="B17" t="s">
        <v>37</v>
      </c>
      <c r="C17" s="55">
        <v>52623170.360000007</v>
      </c>
      <c r="D17" s="55">
        <v>4434612.66</v>
      </c>
      <c r="E17" s="55"/>
      <c r="F17" s="55">
        <v>53762.740000000005</v>
      </c>
    </row>
    <row r="18" spans="1:6">
      <c r="A18" t="s">
        <v>38</v>
      </c>
      <c r="B18" t="s">
        <v>40</v>
      </c>
      <c r="C18" s="55">
        <v>191850.74</v>
      </c>
      <c r="D18" s="55"/>
      <c r="E18" s="55"/>
      <c r="F18" s="55"/>
    </row>
    <row r="19" spans="1:6">
      <c r="A19" t="s">
        <v>41</v>
      </c>
      <c r="B19" t="s">
        <v>42</v>
      </c>
      <c r="C19" s="55">
        <v>6222454.9899999993</v>
      </c>
      <c r="D19" s="55">
        <v>439195.31</v>
      </c>
      <c r="E19" s="55"/>
      <c r="F19" s="55"/>
    </row>
    <row r="20" spans="1:6">
      <c r="A20" t="s">
        <v>43</v>
      </c>
      <c r="B20" t="s">
        <v>44</v>
      </c>
      <c r="C20" s="55">
        <v>792504.10999999987</v>
      </c>
      <c r="D20" s="55">
        <v>58231</v>
      </c>
      <c r="E20" s="55"/>
      <c r="F20" s="55"/>
    </row>
    <row r="21" spans="1:6">
      <c r="A21" t="s">
        <v>45</v>
      </c>
      <c r="B21" t="s">
        <v>47</v>
      </c>
      <c r="C21" s="55">
        <v>16558126.560000001</v>
      </c>
      <c r="D21" s="55">
        <v>1200464.97</v>
      </c>
      <c r="E21" s="55"/>
      <c r="F21" s="55"/>
    </row>
    <row r="22" spans="1:6">
      <c r="A22" t="s">
        <v>48</v>
      </c>
      <c r="B22" t="s">
        <v>50</v>
      </c>
      <c r="C22" s="55">
        <v>1474200.3300000003</v>
      </c>
      <c r="D22" s="55">
        <v>244338.53999999998</v>
      </c>
      <c r="E22" s="55"/>
      <c r="F22" s="55"/>
    </row>
    <row r="23" spans="1:6">
      <c r="A23" t="s">
        <v>51</v>
      </c>
      <c r="B23" t="s">
        <v>52</v>
      </c>
      <c r="C23" s="55">
        <v>1135404.23</v>
      </c>
      <c r="D23" s="55">
        <v>186178.09999999998</v>
      </c>
      <c r="E23" s="55"/>
      <c r="F23" s="55"/>
    </row>
    <row r="24" spans="1:6">
      <c r="A24" t="s">
        <v>53</v>
      </c>
      <c r="B24" t="s">
        <v>54</v>
      </c>
      <c r="C24" s="55">
        <v>145318.39999999999</v>
      </c>
      <c r="D24" s="55">
        <v>20350</v>
      </c>
      <c r="E24" s="55"/>
      <c r="F24" s="55"/>
    </row>
    <row r="25" spans="1:6">
      <c r="A25" t="s">
        <v>55</v>
      </c>
      <c r="B25" t="s">
        <v>56</v>
      </c>
      <c r="C25" s="55">
        <v>10084689.480000002</v>
      </c>
      <c r="D25" s="55">
        <v>824731.34999999986</v>
      </c>
      <c r="E25" s="55"/>
      <c r="F25" s="55"/>
    </row>
    <row r="26" spans="1:6">
      <c r="A26" t="s">
        <v>57</v>
      </c>
      <c r="B26" t="s">
        <v>58</v>
      </c>
      <c r="C26" s="55">
        <v>18607874.920000002</v>
      </c>
      <c r="D26" s="55">
        <v>1577845.91</v>
      </c>
      <c r="E26" s="55"/>
      <c r="F26" s="55"/>
    </row>
    <row r="27" spans="1:6">
      <c r="A27" t="s">
        <v>59</v>
      </c>
      <c r="B27" t="s">
        <v>60</v>
      </c>
      <c r="C27" s="55">
        <v>1802818.81</v>
      </c>
      <c r="D27" s="55">
        <v>124506</v>
      </c>
      <c r="E27" s="55"/>
      <c r="F27" s="55">
        <v>66344.010000000009</v>
      </c>
    </row>
    <row r="28" spans="1:6">
      <c r="A28" t="s">
        <v>61</v>
      </c>
      <c r="B28" t="s">
        <v>62</v>
      </c>
      <c r="C28" s="55">
        <v>358016.33999999997</v>
      </c>
      <c r="D28" s="55">
        <v>51916.3</v>
      </c>
      <c r="E28" s="55"/>
      <c r="F28" s="55"/>
    </row>
    <row r="29" spans="1:6">
      <c r="A29" t="s">
        <v>65</v>
      </c>
      <c r="B29" t="s">
        <v>66</v>
      </c>
      <c r="C29" s="55">
        <v>2845450.3800000004</v>
      </c>
      <c r="D29" s="55">
        <v>347662.56</v>
      </c>
      <c r="E29" s="55"/>
      <c r="F29" s="55"/>
    </row>
    <row r="30" spans="1:6">
      <c r="A30" t="s">
        <v>67</v>
      </c>
      <c r="B30" t="s">
        <v>68</v>
      </c>
      <c r="C30" s="55">
        <v>3440232.4499999993</v>
      </c>
      <c r="D30" s="55">
        <v>323160.27</v>
      </c>
      <c r="E30" s="55"/>
      <c r="F30" s="55"/>
    </row>
    <row r="31" spans="1:6">
      <c r="A31" t="s">
        <v>69</v>
      </c>
      <c r="B31" t="s">
        <v>70</v>
      </c>
      <c r="C31" s="55">
        <v>1317226.7800000003</v>
      </c>
      <c r="D31" s="55">
        <v>84171</v>
      </c>
      <c r="E31" s="55"/>
      <c r="F31" s="55"/>
    </row>
    <row r="32" spans="1:6">
      <c r="A32" t="s">
        <v>71</v>
      </c>
      <c r="B32" t="s">
        <v>72</v>
      </c>
      <c r="C32" s="55">
        <v>135405.29999999999</v>
      </c>
      <c r="D32" s="55"/>
      <c r="E32" s="55"/>
      <c r="F32" s="55"/>
    </row>
    <row r="33" spans="1:6">
      <c r="A33" t="s">
        <v>73</v>
      </c>
      <c r="B33" t="s">
        <v>74</v>
      </c>
      <c r="C33" s="55">
        <v>36704591.810000002</v>
      </c>
      <c r="D33" s="55">
        <v>2794387.25</v>
      </c>
      <c r="E33" s="55"/>
      <c r="F33" s="55">
        <v>736001.78</v>
      </c>
    </row>
    <row r="34" spans="1:6">
      <c r="A34" t="s">
        <v>75</v>
      </c>
      <c r="B34" t="s">
        <v>76</v>
      </c>
      <c r="C34" s="55">
        <v>38011535.239999995</v>
      </c>
      <c r="D34" s="55">
        <v>2989335.15</v>
      </c>
      <c r="E34" s="55"/>
      <c r="F34" s="55"/>
    </row>
    <row r="35" spans="1:6">
      <c r="A35" t="s">
        <v>77</v>
      </c>
      <c r="B35" t="s">
        <v>78</v>
      </c>
      <c r="C35" s="55">
        <v>8451313.2999999989</v>
      </c>
      <c r="D35" s="55">
        <v>961873.98</v>
      </c>
      <c r="E35" s="55"/>
      <c r="F35" s="55"/>
    </row>
    <row r="36" spans="1:6">
      <c r="A36" t="s">
        <v>79</v>
      </c>
      <c r="B36" t="s">
        <v>80</v>
      </c>
      <c r="C36" s="55">
        <v>7244559.9199999999</v>
      </c>
      <c r="D36" s="55">
        <v>704208.01</v>
      </c>
      <c r="E36" s="55"/>
      <c r="F36" s="55"/>
    </row>
    <row r="37" spans="1:6">
      <c r="A37" t="s">
        <v>81</v>
      </c>
      <c r="B37" t="s">
        <v>82</v>
      </c>
      <c r="C37" s="55">
        <v>13745105.450000001</v>
      </c>
      <c r="D37" s="55">
        <v>1072673.94</v>
      </c>
      <c r="E37" s="55"/>
      <c r="F37" s="55"/>
    </row>
    <row r="38" spans="1:6">
      <c r="A38" t="s">
        <v>83</v>
      </c>
      <c r="B38" t="s">
        <v>84</v>
      </c>
      <c r="C38" s="55">
        <v>1833406.29</v>
      </c>
      <c r="D38" s="55">
        <v>215747</v>
      </c>
      <c r="E38" s="55"/>
      <c r="F38" s="55"/>
    </row>
    <row r="39" spans="1:6">
      <c r="A39" t="s">
        <v>85</v>
      </c>
      <c r="B39" t="s">
        <v>86</v>
      </c>
      <c r="C39" s="55">
        <v>2475196.2000000002</v>
      </c>
      <c r="D39" s="55">
        <v>275707.46999999997</v>
      </c>
      <c r="E39" s="55"/>
      <c r="F39" s="55"/>
    </row>
    <row r="40" spans="1:6">
      <c r="A40" t="s">
        <v>87</v>
      </c>
      <c r="B40" t="s">
        <v>88</v>
      </c>
      <c r="C40" s="55">
        <v>5799514.2299999995</v>
      </c>
      <c r="D40" s="55">
        <v>670650.16999999993</v>
      </c>
      <c r="E40" s="55"/>
      <c r="F40" s="55"/>
    </row>
    <row r="41" spans="1:6">
      <c r="A41" t="s">
        <v>89</v>
      </c>
      <c r="B41" t="s">
        <v>90</v>
      </c>
      <c r="C41" s="55">
        <v>2253279.56</v>
      </c>
      <c r="D41" s="55">
        <v>243222.80000000002</v>
      </c>
      <c r="E41" s="55"/>
      <c r="F41" s="55"/>
    </row>
    <row r="42" spans="1:6">
      <c r="A42" t="s">
        <v>91</v>
      </c>
      <c r="B42" t="s">
        <v>92</v>
      </c>
      <c r="C42" s="55">
        <v>48881174.340000004</v>
      </c>
      <c r="D42" s="55">
        <v>2947532.0000000005</v>
      </c>
      <c r="E42" s="55">
        <v>2799221.98</v>
      </c>
      <c r="F42" s="55">
        <v>1273146</v>
      </c>
    </row>
    <row r="43" spans="1:6">
      <c r="A43" t="s">
        <v>93</v>
      </c>
      <c r="B43" t="s">
        <v>94</v>
      </c>
      <c r="C43" s="55">
        <v>875729.99</v>
      </c>
      <c r="D43" s="55">
        <v>120180.82</v>
      </c>
      <c r="E43" s="55"/>
      <c r="F43" s="55"/>
    </row>
    <row r="44" spans="1:6">
      <c r="A44" t="s">
        <v>95</v>
      </c>
      <c r="B44" t="s">
        <v>96</v>
      </c>
      <c r="C44" s="55">
        <v>3148982.0100000007</v>
      </c>
      <c r="D44" s="55">
        <v>393812</v>
      </c>
      <c r="E44" s="55"/>
      <c r="F44" s="55"/>
    </row>
    <row r="45" spans="1:6">
      <c r="A45" t="s">
        <v>97</v>
      </c>
      <c r="B45" t="s">
        <v>98</v>
      </c>
      <c r="C45" s="55">
        <v>271455.76</v>
      </c>
      <c r="D45" s="55">
        <v>40859</v>
      </c>
      <c r="E45" s="55"/>
      <c r="F45" s="55"/>
    </row>
    <row r="46" spans="1:6">
      <c r="A46" t="s">
        <v>99</v>
      </c>
      <c r="B46" t="s">
        <v>100</v>
      </c>
      <c r="C46" s="55">
        <v>225430.42</v>
      </c>
      <c r="D46" s="55">
        <v>33104.33</v>
      </c>
      <c r="E46" s="55"/>
      <c r="F46" s="55">
        <v>11439</v>
      </c>
    </row>
    <row r="47" spans="1:6">
      <c r="A47" t="s">
        <v>101</v>
      </c>
      <c r="B47" t="s">
        <v>102</v>
      </c>
      <c r="C47" s="55">
        <v>1451846.96</v>
      </c>
      <c r="D47" s="55">
        <v>208296.05</v>
      </c>
      <c r="E47" s="55"/>
      <c r="F47" s="55"/>
    </row>
    <row r="48" spans="1:6">
      <c r="A48" t="s">
        <v>103</v>
      </c>
      <c r="B48" t="s">
        <v>104</v>
      </c>
      <c r="C48" s="55">
        <v>3571952.5600000005</v>
      </c>
      <c r="D48" s="55">
        <v>436700.71</v>
      </c>
      <c r="E48" s="55"/>
      <c r="F48" s="55"/>
    </row>
    <row r="49" spans="1:6">
      <c r="A49" t="s">
        <v>105</v>
      </c>
      <c r="B49" t="s">
        <v>106</v>
      </c>
      <c r="C49" s="55">
        <v>1868183.7199999997</v>
      </c>
      <c r="D49" s="55">
        <v>149456.87</v>
      </c>
      <c r="E49" s="55"/>
      <c r="F49" s="55"/>
    </row>
    <row r="50" spans="1:6">
      <c r="A50" t="s">
        <v>107</v>
      </c>
      <c r="B50" t="s">
        <v>108</v>
      </c>
      <c r="C50" s="55">
        <v>652209.17999999993</v>
      </c>
      <c r="D50" s="55">
        <v>77221</v>
      </c>
      <c r="E50" s="55"/>
      <c r="F50" s="55"/>
    </row>
    <row r="51" spans="1:6">
      <c r="A51" t="s">
        <v>109</v>
      </c>
      <c r="B51" t="s">
        <v>110</v>
      </c>
      <c r="C51" s="55">
        <v>446975.49</v>
      </c>
      <c r="D51" s="55">
        <v>43774.62</v>
      </c>
      <c r="E51" s="55"/>
      <c r="F51" s="55"/>
    </row>
    <row r="52" spans="1:6">
      <c r="A52" t="s">
        <v>111</v>
      </c>
      <c r="B52" t="s">
        <v>112</v>
      </c>
      <c r="C52" s="55">
        <v>292249.94</v>
      </c>
      <c r="D52" s="55">
        <v>49454.06</v>
      </c>
      <c r="E52" s="55"/>
      <c r="F52" s="55"/>
    </row>
    <row r="53" spans="1:6">
      <c r="A53" t="s">
        <v>113</v>
      </c>
      <c r="B53" t="s">
        <v>114</v>
      </c>
      <c r="C53" s="55">
        <v>2844256.55</v>
      </c>
      <c r="D53" s="55">
        <v>219471.47000000003</v>
      </c>
      <c r="E53" s="55"/>
      <c r="F53" s="55"/>
    </row>
    <row r="54" spans="1:6">
      <c r="A54" t="s">
        <v>115</v>
      </c>
      <c r="B54" t="s">
        <v>116</v>
      </c>
      <c r="C54" s="55">
        <v>720557.03</v>
      </c>
      <c r="D54" s="55">
        <v>72096.23</v>
      </c>
      <c r="E54" s="55"/>
      <c r="F54" s="55"/>
    </row>
    <row r="55" spans="1:6">
      <c r="A55" t="s">
        <v>117</v>
      </c>
      <c r="B55" t="s">
        <v>118</v>
      </c>
      <c r="C55" s="55">
        <v>338638.77</v>
      </c>
      <c r="D55" s="55">
        <v>21061.59</v>
      </c>
      <c r="E55" s="55"/>
      <c r="F55" s="55"/>
    </row>
    <row r="56" spans="1:6">
      <c r="A56" t="s">
        <v>119</v>
      </c>
      <c r="B56" t="s">
        <v>120</v>
      </c>
      <c r="C56" s="55">
        <v>422752.93</v>
      </c>
      <c r="D56" s="55">
        <v>47595</v>
      </c>
      <c r="E56" s="55"/>
      <c r="F56" s="55"/>
    </row>
    <row r="57" spans="1:6">
      <c r="A57" t="s">
        <v>121</v>
      </c>
      <c r="B57" t="s">
        <v>122</v>
      </c>
      <c r="C57" s="55">
        <v>707027.27</v>
      </c>
      <c r="D57" s="55">
        <v>86660.160000000003</v>
      </c>
      <c r="E57" s="55"/>
      <c r="F57" s="55">
        <v>20350.400000000001</v>
      </c>
    </row>
    <row r="58" spans="1:6">
      <c r="A58" t="s">
        <v>123</v>
      </c>
      <c r="B58" t="s">
        <v>124</v>
      </c>
      <c r="C58" s="55">
        <v>101562.84</v>
      </c>
      <c r="D58" s="55"/>
      <c r="E58" s="55"/>
      <c r="F58" s="55"/>
    </row>
    <row r="59" spans="1:6">
      <c r="A59" t="s">
        <v>125</v>
      </c>
      <c r="B59" t="s">
        <v>126</v>
      </c>
      <c r="C59" s="55">
        <v>991489.16999999993</v>
      </c>
      <c r="D59" s="55">
        <v>109344.48</v>
      </c>
      <c r="E59" s="55"/>
      <c r="F59" s="55"/>
    </row>
    <row r="60" spans="1:6">
      <c r="A60" t="s">
        <v>127</v>
      </c>
      <c r="B60" t="s">
        <v>128</v>
      </c>
      <c r="C60" s="55">
        <v>1029909.2999999999</v>
      </c>
      <c r="D60" s="55">
        <v>118954.48999999999</v>
      </c>
      <c r="E60" s="55"/>
      <c r="F60" s="55"/>
    </row>
    <row r="61" spans="1:6">
      <c r="A61" t="s">
        <v>129</v>
      </c>
      <c r="B61" t="s">
        <v>130</v>
      </c>
      <c r="C61" s="55">
        <v>621968.35</v>
      </c>
      <c r="D61" s="55"/>
      <c r="E61" s="55"/>
      <c r="F61" s="55"/>
    </row>
    <row r="62" spans="1:6">
      <c r="A62" t="s">
        <v>131</v>
      </c>
      <c r="B62" t="s">
        <v>132</v>
      </c>
      <c r="C62" s="55">
        <v>4260440.28</v>
      </c>
      <c r="D62" s="55">
        <v>609218.74</v>
      </c>
      <c r="E62" s="55"/>
      <c r="F62" s="55"/>
    </row>
    <row r="63" spans="1:6">
      <c r="A63" t="s">
        <v>133</v>
      </c>
      <c r="B63" t="s">
        <v>134</v>
      </c>
      <c r="C63" s="55">
        <v>4524390.5700000012</v>
      </c>
      <c r="D63" s="55">
        <v>242005.88</v>
      </c>
      <c r="E63" s="55"/>
      <c r="F63" s="55"/>
    </row>
    <row r="64" spans="1:6">
      <c r="A64" t="s">
        <v>135</v>
      </c>
      <c r="B64" t="s">
        <v>136</v>
      </c>
      <c r="C64" s="55">
        <v>28309.01</v>
      </c>
      <c r="D64" s="55"/>
      <c r="E64" s="55"/>
      <c r="F64" s="55"/>
    </row>
    <row r="65" spans="1:6">
      <c r="A65" t="s">
        <v>137</v>
      </c>
      <c r="B65" t="s">
        <v>138</v>
      </c>
      <c r="C65" s="55">
        <v>10751686.770000005</v>
      </c>
      <c r="D65" s="55">
        <v>881342.99</v>
      </c>
      <c r="E65" s="55"/>
      <c r="F65" s="55"/>
    </row>
    <row r="66" spans="1:6">
      <c r="A66" t="s">
        <v>139</v>
      </c>
      <c r="B66" t="s">
        <v>140</v>
      </c>
      <c r="C66" s="55">
        <v>6066375.2200000007</v>
      </c>
      <c r="D66" s="55">
        <v>658421.74999999988</v>
      </c>
      <c r="E66" s="55"/>
      <c r="F66" s="55"/>
    </row>
    <row r="67" spans="1:6">
      <c r="A67" t="s">
        <v>141</v>
      </c>
      <c r="B67" t="s">
        <v>142</v>
      </c>
      <c r="C67" s="55">
        <v>11534137.959999999</v>
      </c>
      <c r="D67" s="55">
        <v>1286357.28</v>
      </c>
      <c r="E67" s="55"/>
      <c r="F67" s="55"/>
    </row>
    <row r="68" spans="1:6">
      <c r="A68" t="s">
        <v>143</v>
      </c>
      <c r="B68" t="s">
        <v>144</v>
      </c>
      <c r="C68" s="55">
        <v>194426.99000000002</v>
      </c>
      <c r="D68" s="55">
        <v>15610.1</v>
      </c>
      <c r="E68" s="55"/>
      <c r="F68" s="55"/>
    </row>
    <row r="69" spans="1:6">
      <c r="A69" t="s">
        <v>145</v>
      </c>
      <c r="B69" t="s">
        <v>146</v>
      </c>
      <c r="C69" s="55">
        <v>4033990.6100000013</v>
      </c>
      <c r="D69" s="55">
        <v>564634.86</v>
      </c>
      <c r="E69" s="55"/>
      <c r="F69" s="55"/>
    </row>
    <row r="70" spans="1:6">
      <c r="A70" t="s">
        <v>147</v>
      </c>
      <c r="B70" t="s">
        <v>148</v>
      </c>
      <c r="C70" s="55">
        <v>70495467.069999993</v>
      </c>
      <c r="D70" s="55">
        <v>4936920.47</v>
      </c>
      <c r="E70" s="55"/>
      <c r="F70" s="55"/>
    </row>
    <row r="71" spans="1:6">
      <c r="A71" t="s">
        <v>149</v>
      </c>
      <c r="B71" t="s">
        <v>150</v>
      </c>
      <c r="C71" s="55">
        <v>6358637.4500000002</v>
      </c>
      <c r="D71" s="55">
        <v>695555.99999999988</v>
      </c>
      <c r="E71" s="55"/>
      <c r="F71" s="55"/>
    </row>
    <row r="72" spans="1:6">
      <c r="A72" t="s">
        <v>151</v>
      </c>
      <c r="B72" t="s">
        <v>152</v>
      </c>
      <c r="C72" s="55">
        <v>3420783.14</v>
      </c>
      <c r="D72" s="55">
        <v>419213.45999999996</v>
      </c>
      <c r="E72" s="55"/>
      <c r="F72" s="55"/>
    </row>
    <row r="73" spans="1:6">
      <c r="A73" t="s">
        <v>153</v>
      </c>
      <c r="B73" t="s">
        <v>154</v>
      </c>
      <c r="C73" s="55">
        <v>242554.47</v>
      </c>
      <c r="D73" s="55">
        <v>25734.21</v>
      </c>
      <c r="E73" s="55"/>
      <c r="F73" s="55"/>
    </row>
    <row r="74" spans="1:6">
      <c r="A74" t="s">
        <v>155</v>
      </c>
      <c r="B74" t="s">
        <v>156</v>
      </c>
      <c r="C74" s="55">
        <v>581015.68999999994</v>
      </c>
      <c r="D74" s="55"/>
      <c r="E74" s="55"/>
      <c r="F74" s="55"/>
    </row>
    <row r="75" spans="1:6">
      <c r="A75" t="s">
        <v>157</v>
      </c>
      <c r="B75" t="s">
        <v>158</v>
      </c>
      <c r="C75" s="55">
        <v>12381212.439999996</v>
      </c>
      <c r="D75" s="55">
        <v>1084168.4400000002</v>
      </c>
      <c r="E75" s="55"/>
      <c r="F75" s="55"/>
    </row>
    <row r="76" spans="1:6">
      <c r="A76" t="s">
        <v>159</v>
      </c>
      <c r="B76" t="s">
        <v>160</v>
      </c>
      <c r="C76" s="55">
        <v>4461100.17</v>
      </c>
      <c r="D76" s="55">
        <v>598451.49</v>
      </c>
      <c r="E76" s="55"/>
      <c r="F76" s="55"/>
    </row>
    <row r="77" spans="1:6">
      <c r="A77" t="s">
        <v>163</v>
      </c>
      <c r="B77" t="s">
        <v>164</v>
      </c>
      <c r="C77" s="55">
        <v>80515.12</v>
      </c>
      <c r="D77" s="55">
        <v>9750</v>
      </c>
      <c r="E77" s="55"/>
      <c r="F77" s="55"/>
    </row>
    <row r="78" spans="1:6">
      <c r="A78" t="s">
        <v>165</v>
      </c>
      <c r="B78" t="s">
        <v>166</v>
      </c>
      <c r="C78" s="55">
        <v>64639534.580000013</v>
      </c>
      <c r="D78" s="55">
        <v>4877510.0000000009</v>
      </c>
      <c r="E78" s="55"/>
      <c r="F78" s="55"/>
    </row>
    <row r="79" spans="1:6">
      <c r="A79" t="s">
        <v>167</v>
      </c>
      <c r="B79" t="s">
        <v>168</v>
      </c>
      <c r="C79" s="55">
        <v>72327787.630000025</v>
      </c>
      <c r="D79" s="55">
        <v>4666813.7700000005</v>
      </c>
      <c r="E79" s="55"/>
      <c r="F79" s="55"/>
    </row>
    <row r="80" spans="1:6">
      <c r="A80" t="s">
        <v>169</v>
      </c>
      <c r="B80" t="s">
        <v>170</v>
      </c>
      <c r="C80" s="55">
        <v>49970.97</v>
      </c>
      <c r="D80" s="55">
        <v>16165</v>
      </c>
      <c r="E80" s="55"/>
      <c r="F80" s="55"/>
    </row>
    <row r="81" spans="1:6">
      <c r="A81" t="s">
        <v>171</v>
      </c>
      <c r="B81" t="s">
        <v>172</v>
      </c>
      <c r="C81" s="55">
        <v>59622295.579999998</v>
      </c>
      <c r="D81" s="55">
        <v>4950690</v>
      </c>
      <c r="E81" s="55"/>
      <c r="F81" s="55"/>
    </row>
    <row r="82" spans="1:6">
      <c r="A82" t="s">
        <v>173</v>
      </c>
      <c r="B82" t="s">
        <v>174</v>
      </c>
      <c r="C82" s="55">
        <v>13640739.959999999</v>
      </c>
      <c r="D82" s="55">
        <v>1125914.1299999999</v>
      </c>
      <c r="E82" s="55"/>
      <c r="F82" s="55">
        <v>92054.65</v>
      </c>
    </row>
    <row r="83" spans="1:6">
      <c r="A83" t="s">
        <v>175</v>
      </c>
      <c r="B83" t="s">
        <v>176</v>
      </c>
      <c r="C83" s="55">
        <v>10665927.180000003</v>
      </c>
      <c r="D83" s="55">
        <v>854162.67999999993</v>
      </c>
      <c r="E83" s="55"/>
      <c r="F83" s="55"/>
    </row>
    <row r="84" spans="1:6">
      <c r="A84" t="s">
        <v>177</v>
      </c>
      <c r="B84" t="s">
        <v>178</v>
      </c>
      <c r="C84" s="55">
        <v>1414692.23</v>
      </c>
      <c r="D84" s="55">
        <v>218556.86000000004</v>
      </c>
      <c r="E84" s="55"/>
      <c r="F84" s="55"/>
    </row>
    <row r="85" spans="1:6">
      <c r="A85" t="s">
        <v>179</v>
      </c>
      <c r="B85" t="s">
        <v>180</v>
      </c>
      <c r="C85" s="55">
        <v>24710358.719999995</v>
      </c>
      <c r="D85" s="55">
        <v>1688806.7099999997</v>
      </c>
      <c r="E85" s="55"/>
      <c r="F85" s="55"/>
    </row>
    <row r="86" spans="1:6">
      <c r="A86" t="s">
        <v>181</v>
      </c>
      <c r="B86" t="s">
        <v>182</v>
      </c>
      <c r="C86" s="55">
        <v>1367204.8599999999</v>
      </c>
      <c r="D86" s="55">
        <v>161159.56</v>
      </c>
      <c r="E86" s="55"/>
      <c r="F86" s="55"/>
    </row>
    <row r="87" spans="1:6">
      <c r="A87" t="s">
        <v>183</v>
      </c>
      <c r="B87" t="s">
        <v>184</v>
      </c>
      <c r="C87" s="55">
        <v>306184.04000000004</v>
      </c>
      <c r="D87" s="55">
        <v>33984.33</v>
      </c>
      <c r="E87" s="55"/>
      <c r="F87" s="55"/>
    </row>
    <row r="88" spans="1:6">
      <c r="A88" t="s">
        <v>185</v>
      </c>
      <c r="B88" t="s">
        <v>186</v>
      </c>
      <c r="C88" s="55">
        <v>143753.35</v>
      </c>
      <c r="D88" s="55"/>
      <c r="E88" s="55"/>
      <c r="F88" s="55"/>
    </row>
    <row r="89" spans="1:6">
      <c r="A89" t="s">
        <v>187</v>
      </c>
      <c r="B89" t="s">
        <v>188</v>
      </c>
      <c r="C89" s="55">
        <v>6228425.7300000004</v>
      </c>
      <c r="D89" s="55"/>
      <c r="E89" s="55"/>
      <c r="F89" s="55"/>
    </row>
    <row r="90" spans="1:6">
      <c r="A90" t="s">
        <v>189</v>
      </c>
      <c r="B90" t="s">
        <v>190</v>
      </c>
      <c r="C90" s="55">
        <v>1294419.6800000002</v>
      </c>
      <c r="D90" s="55">
        <v>185016</v>
      </c>
      <c r="E90" s="55"/>
      <c r="F90" s="55">
        <v>20223</v>
      </c>
    </row>
    <row r="91" spans="1:6">
      <c r="A91" t="s">
        <v>191</v>
      </c>
      <c r="B91" t="s">
        <v>192</v>
      </c>
      <c r="C91" s="55">
        <v>7063841.6399999997</v>
      </c>
      <c r="D91" s="55">
        <v>786156.00000000012</v>
      </c>
      <c r="E91" s="55"/>
      <c r="F91" s="55"/>
    </row>
    <row r="92" spans="1:6">
      <c r="A92" t="s">
        <v>193</v>
      </c>
      <c r="B92" t="s">
        <v>194</v>
      </c>
      <c r="C92" s="55">
        <v>2604281.31</v>
      </c>
      <c r="D92" s="55">
        <v>387064.49000000005</v>
      </c>
      <c r="E92" s="55"/>
      <c r="F92" s="55"/>
    </row>
    <row r="93" spans="1:6">
      <c r="A93" t="s">
        <v>195</v>
      </c>
      <c r="B93" t="s">
        <v>196</v>
      </c>
      <c r="C93" s="55">
        <v>8821529.0200000014</v>
      </c>
      <c r="D93" s="55">
        <v>550573.90999999992</v>
      </c>
      <c r="E93" s="55"/>
      <c r="F93" s="55"/>
    </row>
    <row r="94" spans="1:6">
      <c r="A94" t="s">
        <v>197</v>
      </c>
      <c r="B94" t="s">
        <v>198</v>
      </c>
      <c r="C94" s="55">
        <v>521493.6999999999</v>
      </c>
      <c r="D94" s="55">
        <v>46482</v>
      </c>
      <c r="E94" s="55"/>
      <c r="F94" s="55"/>
    </row>
    <row r="95" spans="1:6">
      <c r="A95" t="s">
        <v>199</v>
      </c>
      <c r="B95" t="s">
        <v>200</v>
      </c>
      <c r="C95" s="55">
        <v>86796.52</v>
      </c>
      <c r="D95" s="55">
        <v>8334</v>
      </c>
      <c r="E95" s="55"/>
      <c r="F95" s="55"/>
    </row>
    <row r="96" spans="1:6">
      <c r="A96" t="s">
        <v>201</v>
      </c>
      <c r="B96" t="s">
        <v>202</v>
      </c>
      <c r="C96" s="55">
        <v>217683.04</v>
      </c>
      <c r="D96" s="55"/>
      <c r="E96" s="55"/>
      <c r="F96" s="55"/>
    </row>
    <row r="97" spans="1:6">
      <c r="A97" t="s">
        <v>203</v>
      </c>
      <c r="B97" t="s">
        <v>204</v>
      </c>
      <c r="C97" s="55">
        <v>1324007.0999999999</v>
      </c>
      <c r="D97" s="55">
        <v>115618</v>
      </c>
      <c r="E97" s="55"/>
      <c r="F97" s="55"/>
    </row>
    <row r="98" spans="1:6">
      <c r="A98" t="s">
        <v>205</v>
      </c>
      <c r="B98" t="s">
        <v>206</v>
      </c>
      <c r="C98" s="55">
        <v>318527.36999999994</v>
      </c>
      <c r="D98" s="55">
        <v>29451.360000000001</v>
      </c>
      <c r="E98" s="55"/>
      <c r="F98" s="55"/>
    </row>
    <row r="99" spans="1:6">
      <c r="A99" t="s">
        <v>207</v>
      </c>
      <c r="B99" t="s">
        <v>208</v>
      </c>
      <c r="C99" s="55">
        <v>1585232.1799999997</v>
      </c>
      <c r="D99" s="55">
        <v>187129.16999999998</v>
      </c>
      <c r="E99" s="55"/>
      <c r="F99" s="55"/>
    </row>
    <row r="100" spans="1:6">
      <c r="A100" t="s">
        <v>209</v>
      </c>
      <c r="B100" t="s">
        <v>210</v>
      </c>
      <c r="C100" s="55">
        <v>62881393.049999997</v>
      </c>
      <c r="D100" s="55">
        <v>4469259.7000000011</v>
      </c>
      <c r="E100" s="55"/>
      <c r="F100" s="55"/>
    </row>
    <row r="101" spans="1:6">
      <c r="A101" t="s">
        <v>211</v>
      </c>
      <c r="B101" t="s">
        <v>212</v>
      </c>
      <c r="C101" s="55">
        <v>4604726.9300000006</v>
      </c>
      <c r="D101" s="55">
        <v>553425</v>
      </c>
      <c r="E101" s="55"/>
      <c r="F101" s="55"/>
    </row>
    <row r="102" spans="1:6">
      <c r="A102" t="s">
        <v>213</v>
      </c>
      <c r="B102" t="s">
        <v>214</v>
      </c>
      <c r="C102" s="55">
        <v>1035323.36</v>
      </c>
      <c r="D102" s="55">
        <v>85653.94</v>
      </c>
      <c r="E102" s="55"/>
      <c r="F102" s="55">
        <v>25165</v>
      </c>
    </row>
    <row r="103" spans="1:6">
      <c r="A103" t="s">
        <v>215</v>
      </c>
      <c r="B103" t="s">
        <v>216</v>
      </c>
      <c r="C103" s="55">
        <v>4129969.68</v>
      </c>
      <c r="D103" s="55">
        <v>431762.24</v>
      </c>
      <c r="E103" s="55"/>
      <c r="F103" s="55"/>
    </row>
    <row r="104" spans="1:6">
      <c r="A104" t="s">
        <v>829</v>
      </c>
      <c r="B104" t="s">
        <v>1431</v>
      </c>
      <c r="C104" s="55">
        <v>507971.23999999993</v>
      </c>
      <c r="D104" s="55">
        <v>23376</v>
      </c>
      <c r="E104" s="55"/>
      <c r="F104" s="55"/>
    </row>
    <row r="105" spans="1:6">
      <c r="A105" t="s">
        <v>217</v>
      </c>
      <c r="B105" t="s">
        <v>218</v>
      </c>
      <c r="C105" s="55">
        <v>1030626.3400000001</v>
      </c>
      <c r="D105" s="55">
        <v>49546</v>
      </c>
      <c r="E105" s="55"/>
      <c r="F105" s="55"/>
    </row>
    <row r="106" spans="1:6">
      <c r="A106" t="s">
        <v>219</v>
      </c>
      <c r="B106" t="s">
        <v>220</v>
      </c>
      <c r="C106" s="55">
        <v>1261722.17</v>
      </c>
      <c r="D106" s="55">
        <v>89240</v>
      </c>
      <c r="E106" s="55"/>
      <c r="F106" s="55"/>
    </row>
    <row r="107" spans="1:6">
      <c r="A107" t="s">
        <v>221</v>
      </c>
      <c r="B107" t="s">
        <v>222</v>
      </c>
      <c r="C107" s="55">
        <v>783136.74</v>
      </c>
      <c r="D107" s="55">
        <v>52232</v>
      </c>
      <c r="E107" s="55"/>
      <c r="F107" s="55"/>
    </row>
    <row r="108" spans="1:6">
      <c r="A108" t="s">
        <v>223</v>
      </c>
      <c r="B108" t="s">
        <v>224</v>
      </c>
      <c r="C108" s="55">
        <v>512695.28</v>
      </c>
      <c r="D108" s="55">
        <v>58754</v>
      </c>
      <c r="E108" s="55"/>
      <c r="F108" s="55">
        <v>20590</v>
      </c>
    </row>
    <row r="109" spans="1:6">
      <c r="A109" t="s">
        <v>225</v>
      </c>
      <c r="B109" t="s">
        <v>226</v>
      </c>
      <c r="C109" s="55">
        <v>63416.01999999999</v>
      </c>
      <c r="D109" s="55">
        <v>7984</v>
      </c>
      <c r="E109" s="55"/>
      <c r="F109" s="55"/>
    </row>
    <row r="110" spans="1:6">
      <c r="A110" t="s">
        <v>229</v>
      </c>
      <c r="B110" t="s">
        <v>230</v>
      </c>
      <c r="C110" s="55">
        <v>43848113.670000002</v>
      </c>
      <c r="D110" s="55">
        <v>6679009.5800000001</v>
      </c>
      <c r="E110" s="55"/>
      <c r="F110" s="55"/>
    </row>
    <row r="111" spans="1:6">
      <c r="A111" t="s">
        <v>231</v>
      </c>
      <c r="B111" t="s">
        <v>232</v>
      </c>
      <c r="C111" s="55">
        <v>136672.93</v>
      </c>
      <c r="D111" s="55"/>
      <c r="E111" s="55"/>
      <c r="F111" s="55"/>
    </row>
    <row r="112" spans="1:6">
      <c r="A112" t="s">
        <v>233</v>
      </c>
      <c r="B112" t="s">
        <v>234</v>
      </c>
      <c r="C112" s="55">
        <v>2427452.4700000002</v>
      </c>
      <c r="D112" s="55"/>
      <c r="E112" s="55"/>
      <c r="F112" s="55"/>
    </row>
    <row r="113" spans="1:6">
      <c r="A113" t="s">
        <v>235</v>
      </c>
      <c r="B113" t="s">
        <v>236</v>
      </c>
      <c r="C113" s="55">
        <v>56725.279999999999</v>
      </c>
      <c r="D113" s="55">
        <v>12180</v>
      </c>
      <c r="E113" s="55"/>
      <c r="F113" s="55">
        <v>7962.02</v>
      </c>
    </row>
    <row r="114" spans="1:6">
      <c r="A114" t="s">
        <v>237</v>
      </c>
      <c r="B114" t="s">
        <v>238</v>
      </c>
      <c r="C114" s="55">
        <v>12519546.699999999</v>
      </c>
      <c r="D114" s="55">
        <v>1173735.5900000001</v>
      </c>
      <c r="E114" s="55"/>
      <c r="F114" s="55"/>
    </row>
    <row r="115" spans="1:6">
      <c r="A115" t="s">
        <v>239</v>
      </c>
      <c r="B115" t="s">
        <v>240</v>
      </c>
      <c r="C115" s="55">
        <v>37303924.100000001</v>
      </c>
      <c r="D115" s="55">
        <v>4033873.8800000004</v>
      </c>
      <c r="E115" s="55"/>
      <c r="F115" s="55">
        <v>4791.08</v>
      </c>
    </row>
    <row r="116" spans="1:6">
      <c r="A116" t="s">
        <v>241</v>
      </c>
      <c r="B116" t="s">
        <v>242</v>
      </c>
      <c r="C116" s="55">
        <v>93524422.870000005</v>
      </c>
      <c r="D116" s="55">
        <v>6177917.6900000004</v>
      </c>
      <c r="E116" s="55"/>
      <c r="F116" s="55"/>
    </row>
    <row r="117" spans="1:6">
      <c r="A117" t="s">
        <v>243</v>
      </c>
      <c r="B117" t="s">
        <v>244</v>
      </c>
      <c r="C117" s="55">
        <v>1883642.9400000002</v>
      </c>
      <c r="D117" s="55">
        <v>257992.47</v>
      </c>
      <c r="E117" s="55"/>
      <c r="F117" s="55"/>
    </row>
    <row r="118" spans="1:6">
      <c r="A118" t="s">
        <v>245</v>
      </c>
      <c r="B118" t="s">
        <v>246</v>
      </c>
      <c r="C118" s="55">
        <v>2530201.38</v>
      </c>
      <c r="D118" s="55">
        <v>268693.54000000004</v>
      </c>
      <c r="E118" s="55"/>
      <c r="F118" s="55"/>
    </row>
    <row r="119" spans="1:6">
      <c r="A119" t="s">
        <v>247</v>
      </c>
      <c r="B119" t="s">
        <v>248</v>
      </c>
      <c r="C119" s="55">
        <v>1049713.5799999998</v>
      </c>
      <c r="D119" s="55">
        <v>102817.43000000001</v>
      </c>
      <c r="E119" s="55"/>
      <c r="F119" s="55"/>
    </row>
    <row r="120" spans="1:6">
      <c r="A120" t="s">
        <v>249</v>
      </c>
      <c r="B120" t="s">
        <v>250</v>
      </c>
      <c r="C120" s="55">
        <v>96807.24</v>
      </c>
      <c r="D120" s="55"/>
      <c r="E120" s="55"/>
      <c r="F120" s="55"/>
    </row>
    <row r="121" spans="1:6">
      <c r="A121" t="s">
        <v>251</v>
      </c>
      <c r="B121" t="s">
        <v>252</v>
      </c>
      <c r="C121" s="55">
        <v>4621475.1099999994</v>
      </c>
      <c r="D121" s="55">
        <v>379730.85</v>
      </c>
      <c r="E121" s="55"/>
      <c r="F121" s="55"/>
    </row>
    <row r="122" spans="1:6">
      <c r="A122" t="s">
        <v>253</v>
      </c>
      <c r="B122" t="s">
        <v>254</v>
      </c>
      <c r="C122" s="55">
        <v>1797901.1899999997</v>
      </c>
      <c r="D122" s="55">
        <v>176265.69</v>
      </c>
      <c r="E122" s="55"/>
      <c r="F122" s="55">
        <v>110597.98</v>
      </c>
    </row>
    <row r="123" spans="1:6">
      <c r="A123" t="s">
        <v>255</v>
      </c>
      <c r="B123" t="s">
        <v>256</v>
      </c>
      <c r="C123" s="55">
        <v>213449.68000000002</v>
      </c>
      <c r="D123" s="55">
        <v>20267.55</v>
      </c>
      <c r="E123" s="55"/>
      <c r="F123" s="55"/>
    </row>
    <row r="124" spans="1:6">
      <c r="A124" t="s">
        <v>257</v>
      </c>
      <c r="B124" t="s">
        <v>258</v>
      </c>
      <c r="C124" s="55">
        <v>2042769.8499999999</v>
      </c>
      <c r="D124" s="55">
        <v>311215.35999999999</v>
      </c>
      <c r="E124" s="55"/>
      <c r="F124" s="55"/>
    </row>
    <row r="125" spans="1:6">
      <c r="A125" t="s">
        <v>259</v>
      </c>
      <c r="B125" t="s">
        <v>260</v>
      </c>
      <c r="C125" s="55">
        <v>612843.86</v>
      </c>
      <c r="D125" s="55"/>
      <c r="E125" s="55"/>
      <c r="F125" s="55">
        <v>5719</v>
      </c>
    </row>
    <row r="126" spans="1:6">
      <c r="A126" t="s">
        <v>261</v>
      </c>
      <c r="B126" t="s">
        <v>262</v>
      </c>
      <c r="C126" s="55">
        <v>30353165.940000001</v>
      </c>
      <c r="D126" s="55">
        <v>1907173.8199999998</v>
      </c>
      <c r="E126" s="55"/>
      <c r="F126" s="55"/>
    </row>
    <row r="127" spans="1:6">
      <c r="A127" t="s">
        <v>263</v>
      </c>
      <c r="B127" t="s">
        <v>264</v>
      </c>
      <c r="C127" s="55">
        <v>80586903.099999979</v>
      </c>
      <c r="D127" s="55">
        <v>6524842.4699999997</v>
      </c>
      <c r="E127" s="55"/>
      <c r="F127" s="55"/>
    </row>
    <row r="128" spans="1:6">
      <c r="A128" t="s">
        <v>265</v>
      </c>
      <c r="B128" t="s">
        <v>266</v>
      </c>
      <c r="C128" s="55">
        <v>8529308.1700000018</v>
      </c>
      <c r="D128" s="55">
        <v>599041.99</v>
      </c>
      <c r="E128" s="55"/>
      <c r="F128" s="55"/>
    </row>
    <row r="129" spans="1:6">
      <c r="A129" t="s">
        <v>267</v>
      </c>
      <c r="B129" t="s">
        <v>268</v>
      </c>
      <c r="C129" s="55">
        <v>107634.88</v>
      </c>
      <c r="D129" s="55">
        <v>4746</v>
      </c>
      <c r="E129" s="55"/>
      <c r="F129" s="55"/>
    </row>
    <row r="130" spans="1:6">
      <c r="A130" t="s">
        <v>269</v>
      </c>
      <c r="B130" t="s">
        <v>270</v>
      </c>
      <c r="C130" s="55">
        <v>929808.26999999979</v>
      </c>
      <c r="D130" s="55">
        <v>147470.96000000002</v>
      </c>
      <c r="E130" s="55"/>
      <c r="F130" s="55"/>
    </row>
    <row r="131" spans="1:6">
      <c r="A131" t="s">
        <v>271</v>
      </c>
      <c r="B131" t="s">
        <v>272</v>
      </c>
      <c r="C131" s="55">
        <v>254783.33000000002</v>
      </c>
      <c r="D131" s="55">
        <v>40167</v>
      </c>
      <c r="E131" s="55"/>
      <c r="F131" s="55"/>
    </row>
    <row r="132" spans="1:6">
      <c r="A132" t="s">
        <v>273</v>
      </c>
      <c r="B132" t="s">
        <v>274</v>
      </c>
      <c r="C132" s="55">
        <v>18642122.709999997</v>
      </c>
      <c r="D132" s="55">
        <v>1746440.3</v>
      </c>
      <c r="E132" s="55"/>
      <c r="F132" s="55"/>
    </row>
    <row r="133" spans="1:6">
      <c r="A133" t="s">
        <v>275</v>
      </c>
      <c r="B133" t="s">
        <v>276</v>
      </c>
      <c r="C133" s="55">
        <v>324875.38</v>
      </c>
      <c r="D133" s="55">
        <v>61940.78</v>
      </c>
      <c r="E133" s="55"/>
      <c r="F133" s="55"/>
    </row>
    <row r="134" spans="1:6">
      <c r="A134" t="s">
        <v>277</v>
      </c>
      <c r="B134" t="s">
        <v>278</v>
      </c>
      <c r="C134" s="55">
        <v>1079168.04</v>
      </c>
      <c r="D134" s="55">
        <v>89400.8</v>
      </c>
      <c r="E134" s="55"/>
      <c r="F134" s="55"/>
    </row>
    <row r="135" spans="1:6">
      <c r="A135" t="s">
        <v>279</v>
      </c>
      <c r="B135" t="s">
        <v>280</v>
      </c>
      <c r="C135" s="55">
        <v>84828.88</v>
      </c>
      <c r="D135" s="55">
        <v>9948.17</v>
      </c>
      <c r="E135" s="55"/>
      <c r="F135" s="55"/>
    </row>
    <row r="136" spans="1:6">
      <c r="A136" t="s">
        <v>281</v>
      </c>
      <c r="B136" t="s">
        <v>282</v>
      </c>
      <c r="C136" s="55">
        <v>362227.98</v>
      </c>
      <c r="D136" s="55"/>
      <c r="E136" s="55"/>
      <c r="F136" s="55"/>
    </row>
    <row r="137" spans="1:6">
      <c r="A137" t="s">
        <v>283</v>
      </c>
      <c r="B137" t="s">
        <v>284</v>
      </c>
      <c r="C137" s="55">
        <v>9199124.2899999991</v>
      </c>
      <c r="D137" s="55">
        <v>940763.42999999993</v>
      </c>
      <c r="E137" s="55"/>
      <c r="F137" s="55"/>
    </row>
    <row r="138" spans="1:6">
      <c r="A138" t="s">
        <v>285</v>
      </c>
      <c r="B138" t="s">
        <v>286</v>
      </c>
      <c r="C138" s="55">
        <v>1235060.3099999998</v>
      </c>
      <c r="D138" s="55">
        <v>223564.99999999997</v>
      </c>
      <c r="E138" s="55"/>
      <c r="F138" s="55"/>
    </row>
    <row r="139" spans="1:6">
      <c r="A139" t="s">
        <v>287</v>
      </c>
      <c r="B139" t="s">
        <v>288</v>
      </c>
      <c r="C139" s="55">
        <v>163909.78</v>
      </c>
      <c r="D139" s="55"/>
      <c r="E139" s="55"/>
      <c r="F139" s="55"/>
    </row>
    <row r="140" spans="1:6">
      <c r="A140" t="s">
        <v>289</v>
      </c>
      <c r="B140" t="s">
        <v>290</v>
      </c>
      <c r="C140" s="55">
        <v>1204022.6100000001</v>
      </c>
      <c r="D140" s="55"/>
      <c r="E140" s="55"/>
      <c r="F140" s="55"/>
    </row>
    <row r="141" spans="1:6">
      <c r="A141" t="s">
        <v>291</v>
      </c>
      <c r="B141" t="s">
        <v>292</v>
      </c>
      <c r="C141" s="55">
        <v>1443481.82</v>
      </c>
      <c r="D141" s="55">
        <v>133461.04999999999</v>
      </c>
      <c r="E141" s="55"/>
      <c r="F141" s="55"/>
    </row>
    <row r="142" spans="1:6">
      <c r="A142" t="s">
        <v>293</v>
      </c>
      <c r="B142" t="s">
        <v>294</v>
      </c>
      <c r="C142" s="55">
        <v>964241.57999999984</v>
      </c>
      <c r="D142" s="55">
        <v>253880.00999999998</v>
      </c>
      <c r="E142" s="55"/>
      <c r="F142" s="55"/>
    </row>
    <row r="143" spans="1:6">
      <c r="A143" t="s">
        <v>295</v>
      </c>
      <c r="B143" t="s">
        <v>296</v>
      </c>
      <c r="C143" s="55">
        <v>34035059.99000001</v>
      </c>
      <c r="D143" s="55">
        <v>2589854.04</v>
      </c>
      <c r="E143" s="55"/>
      <c r="F143" s="55">
        <v>171008</v>
      </c>
    </row>
    <row r="144" spans="1:6">
      <c r="A144" t="s">
        <v>297</v>
      </c>
      <c r="B144" t="s">
        <v>298</v>
      </c>
      <c r="C144" s="55">
        <v>884453.91999999993</v>
      </c>
      <c r="D144" s="55">
        <v>75346</v>
      </c>
      <c r="E144" s="55"/>
      <c r="F144" s="55"/>
    </row>
    <row r="145" spans="1:6">
      <c r="A145" t="s">
        <v>299</v>
      </c>
      <c r="B145" t="s">
        <v>300</v>
      </c>
      <c r="C145" s="55">
        <v>27246514.669999998</v>
      </c>
      <c r="D145" s="55">
        <v>2005449.65</v>
      </c>
      <c r="E145" s="55"/>
      <c r="F145" s="55"/>
    </row>
    <row r="146" spans="1:6">
      <c r="A146" t="s">
        <v>301</v>
      </c>
      <c r="B146" t="s">
        <v>302</v>
      </c>
      <c r="C146" s="55">
        <v>3871671.4799999991</v>
      </c>
      <c r="D146" s="55">
        <v>494463.34</v>
      </c>
      <c r="E146" s="55">
        <v>221646.81</v>
      </c>
      <c r="F146" s="55">
        <v>86734.87</v>
      </c>
    </row>
    <row r="147" spans="1:6">
      <c r="A147" t="s">
        <v>303</v>
      </c>
      <c r="B147" t="s">
        <v>304</v>
      </c>
      <c r="C147" s="55">
        <v>11754720.01</v>
      </c>
      <c r="D147" s="55">
        <v>860590.88</v>
      </c>
      <c r="E147" s="55"/>
      <c r="F147" s="55"/>
    </row>
    <row r="148" spans="1:6">
      <c r="A148" t="s">
        <v>305</v>
      </c>
      <c r="B148" t="s">
        <v>306</v>
      </c>
      <c r="C148" s="55">
        <v>4537525.3199999994</v>
      </c>
      <c r="D148" s="55">
        <v>365547</v>
      </c>
      <c r="E148" s="55"/>
      <c r="F148" s="55"/>
    </row>
    <row r="149" spans="1:6">
      <c r="A149" t="s">
        <v>307</v>
      </c>
      <c r="B149" t="s">
        <v>308</v>
      </c>
      <c r="C149" s="55">
        <v>1274362.53</v>
      </c>
      <c r="D149" s="55"/>
      <c r="E149" s="55"/>
      <c r="F149" s="55"/>
    </row>
    <row r="150" spans="1:6">
      <c r="A150" t="s">
        <v>309</v>
      </c>
      <c r="B150" t="s">
        <v>310</v>
      </c>
      <c r="C150" s="55">
        <v>87779.41</v>
      </c>
      <c r="D150" s="55"/>
      <c r="E150" s="55"/>
      <c r="F150" s="55"/>
    </row>
    <row r="151" spans="1:6">
      <c r="A151" t="s">
        <v>311</v>
      </c>
      <c r="B151" t="s">
        <v>312</v>
      </c>
      <c r="C151" s="55">
        <v>18105766.939999994</v>
      </c>
      <c r="D151" s="55">
        <v>1301249.5300000003</v>
      </c>
      <c r="E151" s="55"/>
      <c r="F151" s="55"/>
    </row>
    <row r="152" spans="1:6">
      <c r="A152" t="s">
        <v>313</v>
      </c>
      <c r="B152" t="s">
        <v>314</v>
      </c>
      <c r="C152" s="55">
        <v>3281151.370000001</v>
      </c>
      <c r="D152" s="55">
        <v>311240.18</v>
      </c>
      <c r="E152" s="55"/>
      <c r="F152" s="55"/>
    </row>
    <row r="153" spans="1:6">
      <c r="A153" t="s">
        <v>315</v>
      </c>
      <c r="B153" t="s">
        <v>316</v>
      </c>
      <c r="C153" s="55">
        <v>1661867.4299999997</v>
      </c>
      <c r="D153" s="55">
        <v>130592.09</v>
      </c>
      <c r="E153" s="55"/>
      <c r="F153" s="55"/>
    </row>
    <row r="154" spans="1:6">
      <c r="A154" t="s">
        <v>317</v>
      </c>
      <c r="B154" t="s">
        <v>318</v>
      </c>
      <c r="C154" s="55">
        <v>17106026.489999998</v>
      </c>
      <c r="D154" s="55">
        <v>1843209.18</v>
      </c>
      <c r="E154" s="55"/>
      <c r="F154" s="55"/>
    </row>
    <row r="155" spans="1:6">
      <c r="A155" t="s">
        <v>319</v>
      </c>
      <c r="B155" t="s">
        <v>320</v>
      </c>
      <c r="C155" s="55">
        <v>1940564.5499999998</v>
      </c>
      <c r="D155" s="55">
        <v>145953.63</v>
      </c>
      <c r="E155" s="55"/>
      <c r="F155" s="55"/>
    </row>
    <row r="156" spans="1:6">
      <c r="A156" t="s">
        <v>321</v>
      </c>
      <c r="B156" t="s">
        <v>322</v>
      </c>
      <c r="C156" s="55">
        <v>1579027.2600000002</v>
      </c>
      <c r="D156" s="55">
        <v>256119.28999999995</v>
      </c>
      <c r="E156" s="55"/>
      <c r="F156" s="55">
        <v>83502</v>
      </c>
    </row>
    <row r="157" spans="1:6">
      <c r="A157" t="s">
        <v>323</v>
      </c>
      <c r="B157" t="s">
        <v>324</v>
      </c>
      <c r="C157" s="55">
        <v>5982298.0699999994</v>
      </c>
      <c r="D157" s="55">
        <v>408698.32999999996</v>
      </c>
      <c r="E157" s="55"/>
      <c r="F157" s="55"/>
    </row>
    <row r="158" spans="1:6">
      <c r="A158" t="s">
        <v>325</v>
      </c>
      <c r="B158" t="s">
        <v>326</v>
      </c>
      <c r="C158" s="55">
        <v>140905.4</v>
      </c>
      <c r="D158" s="55"/>
      <c r="E158" s="55"/>
      <c r="F158" s="55"/>
    </row>
    <row r="159" spans="1:6">
      <c r="A159" t="s">
        <v>327</v>
      </c>
      <c r="B159" t="s">
        <v>328</v>
      </c>
      <c r="C159" s="55">
        <v>20876357.289999992</v>
      </c>
      <c r="D159" s="55">
        <v>1637387</v>
      </c>
      <c r="E159" s="55"/>
      <c r="F159" s="55"/>
    </row>
    <row r="160" spans="1:6">
      <c r="A160" t="s">
        <v>329</v>
      </c>
      <c r="B160" t="s">
        <v>330</v>
      </c>
      <c r="C160" s="55">
        <v>55129447.530000009</v>
      </c>
      <c r="D160" s="55">
        <v>3532326</v>
      </c>
      <c r="E160" s="55"/>
      <c r="F160" s="55"/>
    </row>
    <row r="161" spans="1:6">
      <c r="A161" t="s">
        <v>331</v>
      </c>
      <c r="B161" t="s">
        <v>332</v>
      </c>
      <c r="C161" s="55">
        <v>2373580.7800000003</v>
      </c>
      <c r="D161" s="55">
        <v>336347.93</v>
      </c>
      <c r="E161" s="55"/>
      <c r="F161" s="55"/>
    </row>
    <row r="162" spans="1:6">
      <c r="A162" t="s">
        <v>333</v>
      </c>
      <c r="B162" t="s">
        <v>334</v>
      </c>
      <c r="C162" s="55">
        <v>1946340.5</v>
      </c>
      <c r="D162" s="55">
        <v>197664.06</v>
      </c>
      <c r="E162" s="55"/>
      <c r="F162" s="55"/>
    </row>
    <row r="163" spans="1:6">
      <c r="A163" t="s">
        <v>335</v>
      </c>
      <c r="B163" t="s">
        <v>336</v>
      </c>
      <c r="C163" s="55">
        <v>530067.22</v>
      </c>
      <c r="D163" s="55"/>
      <c r="E163" s="55"/>
      <c r="F163" s="55"/>
    </row>
    <row r="164" spans="1:6">
      <c r="A164" t="s">
        <v>337</v>
      </c>
      <c r="B164" t="s">
        <v>338</v>
      </c>
      <c r="C164" s="55">
        <v>484058.88999999996</v>
      </c>
      <c r="D164" s="55">
        <v>75930.06</v>
      </c>
      <c r="E164" s="55"/>
      <c r="F164" s="55">
        <v>15648.16</v>
      </c>
    </row>
    <row r="165" spans="1:6">
      <c r="A165" t="s">
        <v>339</v>
      </c>
      <c r="B165" t="s">
        <v>340</v>
      </c>
      <c r="C165" s="55">
        <v>2354064.9400000004</v>
      </c>
      <c r="D165" s="55">
        <v>371140.00000000006</v>
      </c>
      <c r="E165" s="55"/>
      <c r="F165" s="55"/>
    </row>
    <row r="166" spans="1:6">
      <c r="A166" t="s">
        <v>341</v>
      </c>
      <c r="B166" t="s">
        <v>342</v>
      </c>
      <c r="C166" s="55">
        <v>2482574.2999999998</v>
      </c>
      <c r="D166" s="55">
        <v>328993.82</v>
      </c>
      <c r="E166" s="55"/>
      <c r="F166" s="55"/>
    </row>
    <row r="167" spans="1:6">
      <c r="A167" t="s">
        <v>343</v>
      </c>
      <c r="B167" t="s">
        <v>344</v>
      </c>
      <c r="C167" s="55">
        <v>5150578.3299999991</v>
      </c>
      <c r="D167" s="55">
        <v>433841</v>
      </c>
      <c r="E167" s="55"/>
      <c r="F167" s="55">
        <v>13827</v>
      </c>
    </row>
    <row r="168" spans="1:6">
      <c r="A168" t="s">
        <v>345</v>
      </c>
      <c r="B168" t="s">
        <v>346</v>
      </c>
      <c r="C168" s="55">
        <v>1782095.4900000002</v>
      </c>
      <c r="D168" s="55">
        <v>143304.66</v>
      </c>
      <c r="E168" s="55"/>
      <c r="F168" s="55"/>
    </row>
    <row r="169" spans="1:6">
      <c r="A169" t="s">
        <v>347</v>
      </c>
      <c r="B169" t="s">
        <v>348</v>
      </c>
      <c r="C169" s="55">
        <v>4201828</v>
      </c>
      <c r="D169" s="55">
        <v>465195.11000000004</v>
      </c>
      <c r="E169" s="55"/>
      <c r="F169" s="55"/>
    </row>
    <row r="170" spans="1:6">
      <c r="A170" t="s">
        <v>349</v>
      </c>
      <c r="B170" t="s">
        <v>350</v>
      </c>
      <c r="C170" s="55">
        <v>17105893.07</v>
      </c>
      <c r="D170" s="55">
        <v>1291911.78</v>
      </c>
      <c r="E170" s="55"/>
      <c r="F170" s="55">
        <v>182908.78999999998</v>
      </c>
    </row>
    <row r="171" spans="1:6">
      <c r="A171" t="s">
        <v>351</v>
      </c>
      <c r="B171" t="s">
        <v>352</v>
      </c>
      <c r="C171" s="55">
        <v>5111591.4899999984</v>
      </c>
      <c r="D171" s="55">
        <v>512781.55</v>
      </c>
      <c r="E171" s="55"/>
      <c r="F171" s="55"/>
    </row>
    <row r="172" spans="1:6">
      <c r="A172" t="s">
        <v>353</v>
      </c>
      <c r="B172" t="s">
        <v>354</v>
      </c>
      <c r="C172" s="55">
        <v>99943.96</v>
      </c>
      <c r="D172" s="55">
        <v>11218</v>
      </c>
      <c r="E172" s="55"/>
      <c r="F172" s="55"/>
    </row>
    <row r="173" spans="1:6">
      <c r="A173" t="s">
        <v>355</v>
      </c>
      <c r="B173" t="s">
        <v>356</v>
      </c>
      <c r="C173" s="55">
        <v>52890026.579999998</v>
      </c>
      <c r="D173" s="55">
        <v>3380500.98</v>
      </c>
      <c r="E173" s="55"/>
      <c r="F173" s="55">
        <v>442945.35</v>
      </c>
    </row>
    <row r="174" spans="1:6">
      <c r="A174" t="s">
        <v>357</v>
      </c>
      <c r="B174" t="s">
        <v>358</v>
      </c>
      <c r="C174" s="55">
        <v>548664.84</v>
      </c>
      <c r="D174" s="55">
        <v>53503.290000000008</v>
      </c>
      <c r="E174" s="55"/>
      <c r="F174" s="55"/>
    </row>
    <row r="175" spans="1:6">
      <c r="A175" t="s">
        <v>359</v>
      </c>
      <c r="B175" t="s">
        <v>360</v>
      </c>
      <c r="C175" s="55">
        <v>80932283.769999996</v>
      </c>
      <c r="D175" s="55">
        <v>5844437.8899999987</v>
      </c>
      <c r="E175" s="55"/>
      <c r="F175" s="55"/>
    </row>
    <row r="176" spans="1:6">
      <c r="A176" t="s">
        <v>361</v>
      </c>
      <c r="B176" t="s">
        <v>362</v>
      </c>
      <c r="C176" s="55">
        <v>20340867.450000003</v>
      </c>
      <c r="D176" s="55">
        <v>960622.12999999989</v>
      </c>
      <c r="E176" s="55"/>
      <c r="F176" s="55">
        <v>259086</v>
      </c>
    </row>
    <row r="177" spans="1:6">
      <c r="A177" t="s">
        <v>363</v>
      </c>
      <c r="B177" t="s">
        <v>364</v>
      </c>
      <c r="C177" s="55">
        <v>240248.76000000004</v>
      </c>
      <c r="D177" s="55">
        <v>33661.339999999997</v>
      </c>
      <c r="E177" s="55"/>
      <c r="F177" s="55"/>
    </row>
    <row r="178" spans="1:6">
      <c r="A178" t="s">
        <v>365</v>
      </c>
      <c r="B178" t="s">
        <v>366</v>
      </c>
      <c r="C178" s="55">
        <v>1100856.0900000001</v>
      </c>
      <c r="D178" s="55">
        <v>90924.810000000012</v>
      </c>
      <c r="E178" s="55"/>
      <c r="F178" s="55">
        <v>30884</v>
      </c>
    </row>
    <row r="179" spans="1:6">
      <c r="A179" t="s">
        <v>367</v>
      </c>
      <c r="B179" t="s">
        <v>368</v>
      </c>
      <c r="C179" s="55">
        <v>3092120.44</v>
      </c>
      <c r="D179" s="55">
        <v>5055.1499999999996</v>
      </c>
      <c r="E179" s="55"/>
      <c r="F179" s="55"/>
    </row>
    <row r="180" spans="1:6">
      <c r="A180" t="s">
        <v>369</v>
      </c>
      <c r="B180" t="s">
        <v>370</v>
      </c>
      <c r="C180" s="55">
        <v>1014017.83</v>
      </c>
      <c r="D180" s="55">
        <v>184298.28999999998</v>
      </c>
      <c r="E180" s="55"/>
      <c r="F180" s="55"/>
    </row>
    <row r="181" spans="1:6">
      <c r="A181" t="s">
        <v>371</v>
      </c>
      <c r="B181" t="s">
        <v>372</v>
      </c>
      <c r="C181" s="55">
        <v>474229.23</v>
      </c>
      <c r="D181" s="55">
        <v>54267</v>
      </c>
      <c r="E181" s="55"/>
      <c r="F181" s="55"/>
    </row>
    <row r="182" spans="1:6">
      <c r="A182" t="s">
        <v>373</v>
      </c>
      <c r="B182" t="s">
        <v>374</v>
      </c>
      <c r="C182" s="55">
        <v>2142381.25</v>
      </c>
      <c r="D182" s="55">
        <v>250200</v>
      </c>
      <c r="E182" s="55"/>
      <c r="F182" s="55"/>
    </row>
    <row r="183" spans="1:6">
      <c r="A183" t="s">
        <v>375</v>
      </c>
      <c r="B183" t="s">
        <v>376</v>
      </c>
      <c r="C183" s="55">
        <v>32308566.119999997</v>
      </c>
      <c r="D183" s="55">
        <v>2338838.4700000002</v>
      </c>
      <c r="E183" s="55"/>
      <c r="F183" s="55"/>
    </row>
    <row r="184" spans="1:6">
      <c r="A184" t="s">
        <v>377</v>
      </c>
      <c r="B184" t="s">
        <v>378</v>
      </c>
      <c r="C184" s="55">
        <v>12232537.960000001</v>
      </c>
      <c r="D184" s="55">
        <v>1091312.33</v>
      </c>
      <c r="E184" s="55"/>
      <c r="F184" s="55"/>
    </row>
    <row r="185" spans="1:6">
      <c r="A185" t="s">
        <v>379</v>
      </c>
      <c r="B185" t="s">
        <v>380</v>
      </c>
      <c r="C185" s="55">
        <v>2362398.5</v>
      </c>
      <c r="D185" s="55">
        <v>221210.39</v>
      </c>
      <c r="E185" s="55"/>
      <c r="F185" s="55"/>
    </row>
    <row r="186" spans="1:6">
      <c r="A186" t="s">
        <v>381</v>
      </c>
      <c r="B186" t="s">
        <v>382</v>
      </c>
      <c r="C186" s="55">
        <v>90710.94</v>
      </c>
      <c r="D186" s="55">
        <v>11041.44</v>
      </c>
      <c r="E186" s="55"/>
      <c r="F186" s="55"/>
    </row>
    <row r="187" spans="1:6">
      <c r="A187" t="s">
        <v>383</v>
      </c>
      <c r="B187" t="s">
        <v>384</v>
      </c>
      <c r="C187" s="55">
        <v>2337427.7799999998</v>
      </c>
      <c r="D187" s="55">
        <v>170754.58000000002</v>
      </c>
      <c r="E187" s="55"/>
      <c r="F187" s="55"/>
    </row>
    <row r="188" spans="1:6">
      <c r="A188" t="s">
        <v>385</v>
      </c>
      <c r="B188" t="s">
        <v>386</v>
      </c>
      <c r="C188" s="55">
        <v>86780.69</v>
      </c>
      <c r="D188" s="55">
        <v>68023.86</v>
      </c>
      <c r="E188" s="55"/>
      <c r="F188" s="55"/>
    </row>
    <row r="189" spans="1:6">
      <c r="A189" t="s">
        <v>387</v>
      </c>
      <c r="B189" t="s">
        <v>388</v>
      </c>
      <c r="C189" s="55">
        <v>78547.920000000013</v>
      </c>
      <c r="D189" s="55">
        <v>11920</v>
      </c>
      <c r="E189" s="55"/>
      <c r="F189" s="55"/>
    </row>
    <row r="190" spans="1:6">
      <c r="A190" t="s">
        <v>389</v>
      </c>
      <c r="B190" t="s">
        <v>390</v>
      </c>
      <c r="C190" s="55">
        <v>214911.89</v>
      </c>
      <c r="D190" s="55"/>
      <c r="E190" s="55"/>
      <c r="F190" s="55"/>
    </row>
    <row r="191" spans="1:6">
      <c r="A191" t="s">
        <v>391</v>
      </c>
      <c r="B191" t="s">
        <v>392</v>
      </c>
      <c r="C191" s="55">
        <v>964270.04000000015</v>
      </c>
      <c r="D191" s="55">
        <v>175711.40999999997</v>
      </c>
      <c r="E191" s="55"/>
      <c r="F191" s="55"/>
    </row>
    <row r="192" spans="1:6">
      <c r="A192" t="s">
        <v>393</v>
      </c>
      <c r="B192" t="s">
        <v>394</v>
      </c>
      <c r="C192" s="55">
        <v>9549080.0099999998</v>
      </c>
      <c r="D192" s="55">
        <v>530397.93000000005</v>
      </c>
      <c r="E192" s="55"/>
      <c r="F192" s="55"/>
    </row>
    <row r="193" spans="1:6">
      <c r="A193" t="s">
        <v>395</v>
      </c>
      <c r="B193" t="s">
        <v>396</v>
      </c>
      <c r="C193" s="55">
        <v>7207757.8399999999</v>
      </c>
      <c r="D193" s="55">
        <v>918407.59999999986</v>
      </c>
      <c r="E193" s="55"/>
      <c r="F193" s="55"/>
    </row>
    <row r="194" spans="1:6">
      <c r="A194" t="s">
        <v>397</v>
      </c>
      <c r="B194" t="s">
        <v>398</v>
      </c>
      <c r="C194" s="55">
        <v>37658.65</v>
      </c>
      <c r="D194" s="55">
        <v>4523.6100000000006</v>
      </c>
      <c r="E194" s="55"/>
      <c r="F194" s="55"/>
    </row>
    <row r="195" spans="1:6">
      <c r="A195" t="s">
        <v>399</v>
      </c>
      <c r="B195" t="s">
        <v>400</v>
      </c>
      <c r="C195" s="55">
        <v>368027.24</v>
      </c>
      <c r="D195" s="55">
        <v>46455</v>
      </c>
      <c r="E195" s="55"/>
      <c r="F195" s="55"/>
    </row>
    <row r="196" spans="1:6">
      <c r="A196" t="s">
        <v>401</v>
      </c>
      <c r="B196" t="s">
        <v>402</v>
      </c>
      <c r="C196" s="55">
        <v>39080543.18</v>
      </c>
      <c r="D196" s="55">
        <v>4241337.8899999997</v>
      </c>
      <c r="E196" s="55"/>
      <c r="F196" s="55"/>
    </row>
    <row r="197" spans="1:6">
      <c r="A197" t="s">
        <v>403</v>
      </c>
      <c r="B197" t="s">
        <v>404</v>
      </c>
      <c r="C197" s="55">
        <v>478191.10000000003</v>
      </c>
      <c r="D197" s="55">
        <v>52897.38</v>
      </c>
      <c r="E197" s="55"/>
      <c r="F197" s="55"/>
    </row>
    <row r="198" spans="1:6">
      <c r="A198" t="s">
        <v>405</v>
      </c>
      <c r="B198" t="s">
        <v>406</v>
      </c>
      <c r="C198" s="55">
        <v>231920.78999999998</v>
      </c>
      <c r="D198" s="55">
        <v>27422</v>
      </c>
      <c r="E198" s="55"/>
      <c r="F198" s="55"/>
    </row>
    <row r="199" spans="1:6">
      <c r="A199" t="s">
        <v>407</v>
      </c>
      <c r="B199" t="s">
        <v>408</v>
      </c>
      <c r="C199" s="55">
        <v>999793.3</v>
      </c>
      <c r="D199" s="55">
        <v>64764</v>
      </c>
      <c r="E199" s="55"/>
      <c r="F199" s="55"/>
    </row>
    <row r="200" spans="1:6">
      <c r="A200" t="s">
        <v>409</v>
      </c>
      <c r="B200" t="s">
        <v>410</v>
      </c>
      <c r="C200" s="55">
        <v>25291847.549999997</v>
      </c>
      <c r="D200" s="55">
        <v>2152744</v>
      </c>
      <c r="E200" s="55"/>
      <c r="F200" s="55"/>
    </row>
    <row r="201" spans="1:6">
      <c r="A201" t="s">
        <v>411</v>
      </c>
      <c r="B201" t="s">
        <v>412</v>
      </c>
      <c r="C201" s="55">
        <v>428712.54000000004</v>
      </c>
      <c r="D201" s="55">
        <v>40932.71</v>
      </c>
      <c r="E201" s="55"/>
      <c r="F201" s="55"/>
    </row>
    <row r="202" spans="1:6">
      <c r="A202" t="s">
        <v>413</v>
      </c>
      <c r="B202" t="s">
        <v>414</v>
      </c>
      <c r="C202" s="55">
        <v>2109205.9800000004</v>
      </c>
      <c r="D202" s="55">
        <v>134399.04999999999</v>
      </c>
      <c r="E202" s="55"/>
      <c r="F202" s="55"/>
    </row>
    <row r="203" spans="1:6">
      <c r="A203" t="s">
        <v>415</v>
      </c>
      <c r="B203" t="s">
        <v>416</v>
      </c>
      <c r="C203" s="55">
        <v>672819.86999999988</v>
      </c>
      <c r="D203" s="55">
        <v>84427.98</v>
      </c>
      <c r="E203" s="55"/>
      <c r="F203" s="55"/>
    </row>
    <row r="204" spans="1:6">
      <c r="A204" t="s">
        <v>417</v>
      </c>
      <c r="B204" t="s">
        <v>418</v>
      </c>
      <c r="C204" s="55">
        <v>8952733.4900000002</v>
      </c>
      <c r="D204" s="55">
        <v>985419.96</v>
      </c>
      <c r="E204" s="55"/>
      <c r="F204" s="55">
        <v>16136.48</v>
      </c>
    </row>
    <row r="205" spans="1:6">
      <c r="A205" t="s">
        <v>419</v>
      </c>
      <c r="B205" t="s">
        <v>420</v>
      </c>
      <c r="C205" s="55">
        <v>3037620.9899999998</v>
      </c>
      <c r="D205" s="55">
        <v>316230.87000000005</v>
      </c>
      <c r="E205" s="55"/>
      <c r="F205" s="55"/>
    </row>
    <row r="206" spans="1:6">
      <c r="A206" t="s">
        <v>421</v>
      </c>
      <c r="B206" t="s">
        <v>422</v>
      </c>
      <c r="C206" s="55">
        <v>557399.06999999995</v>
      </c>
      <c r="D206" s="55">
        <v>51516</v>
      </c>
      <c r="E206" s="55"/>
      <c r="F206" s="55"/>
    </row>
    <row r="207" spans="1:6">
      <c r="A207" t="s">
        <v>423</v>
      </c>
      <c r="B207" t="s">
        <v>424</v>
      </c>
      <c r="C207" s="55">
        <v>350850.52999999997</v>
      </c>
      <c r="D207" s="55">
        <v>96463.63</v>
      </c>
      <c r="E207" s="55"/>
      <c r="F207" s="55"/>
    </row>
    <row r="208" spans="1:6">
      <c r="A208" t="s">
        <v>425</v>
      </c>
      <c r="B208" t="s">
        <v>426</v>
      </c>
      <c r="C208" s="55">
        <v>4906430.129999999</v>
      </c>
      <c r="D208" s="55">
        <v>629269.01</v>
      </c>
      <c r="E208" s="55"/>
      <c r="F208" s="55"/>
    </row>
    <row r="209" spans="1:6">
      <c r="A209" t="s">
        <v>427</v>
      </c>
      <c r="B209" t="s">
        <v>428</v>
      </c>
      <c r="C209" s="55">
        <v>4864062.1399999978</v>
      </c>
      <c r="D209" s="55">
        <v>573261.63</v>
      </c>
      <c r="E209" s="55"/>
      <c r="F209" s="55"/>
    </row>
    <row r="210" spans="1:6">
      <c r="A210" t="s">
        <v>431</v>
      </c>
      <c r="B210" t="s">
        <v>432</v>
      </c>
      <c r="C210" s="55">
        <v>62095419.600000009</v>
      </c>
      <c r="D210" s="55">
        <v>5216948.88</v>
      </c>
      <c r="E210" s="55"/>
      <c r="F210" s="55">
        <v>46899</v>
      </c>
    </row>
    <row r="211" spans="1:6">
      <c r="A211" t="s">
        <v>433</v>
      </c>
      <c r="B211" t="s">
        <v>434</v>
      </c>
      <c r="C211" s="55">
        <v>169044.22</v>
      </c>
      <c r="D211" s="55">
        <v>9724</v>
      </c>
      <c r="E211" s="55"/>
      <c r="F211" s="55">
        <v>4575</v>
      </c>
    </row>
    <row r="212" spans="1:6">
      <c r="A212" t="s">
        <v>435</v>
      </c>
      <c r="B212" t="s">
        <v>436</v>
      </c>
      <c r="C212" s="55">
        <v>1136205.2000000002</v>
      </c>
      <c r="D212" s="55">
        <v>103582</v>
      </c>
      <c r="E212" s="55"/>
      <c r="F212" s="55"/>
    </row>
    <row r="213" spans="1:6">
      <c r="A213" t="s">
        <v>437</v>
      </c>
      <c r="B213" t="s">
        <v>438</v>
      </c>
      <c r="C213" s="55">
        <v>7937507.4199999999</v>
      </c>
      <c r="D213" s="55">
        <v>686069</v>
      </c>
      <c r="E213" s="55"/>
      <c r="F213" s="55"/>
    </row>
    <row r="214" spans="1:6">
      <c r="A214" t="s">
        <v>439</v>
      </c>
      <c r="B214" t="s">
        <v>440</v>
      </c>
      <c r="C214" s="55">
        <v>5838896.9899999993</v>
      </c>
      <c r="D214" s="55">
        <v>649864</v>
      </c>
      <c r="E214" s="55"/>
      <c r="F214" s="55"/>
    </row>
    <row r="215" spans="1:6">
      <c r="A215" t="s">
        <v>441</v>
      </c>
      <c r="B215" t="s">
        <v>442</v>
      </c>
      <c r="C215" s="55">
        <v>1769179.41</v>
      </c>
      <c r="D215" s="55">
        <v>205123</v>
      </c>
      <c r="E215" s="55"/>
      <c r="F215" s="55"/>
    </row>
    <row r="216" spans="1:6">
      <c r="A216" t="s">
        <v>443</v>
      </c>
      <c r="B216" t="s">
        <v>444</v>
      </c>
      <c r="C216" s="55">
        <v>366839</v>
      </c>
      <c r="D216" s="55">
        <v>72554</v>
      </c>
      <c r="E216" s="55"/>
      <c r="F216" s="55"/>
    </row>
    <row r="217" spans="1:6">
      <c r="A217" t="s">
        <v>445</v>
      </c>
      <c r="B217" t="s">
        <v>446</v>
      </c>
      <c r="C217" s="55">
        <v>668927.92999999993</v>
      </c>
      <c r="D217" s="55">
        <v>98612.72</v>
      </c>
      <c r="E217" s="55"/>
      <c r="F217" s="55"/>
    </row>
    <row r="218" spans="1:6">
      <c r="A218" t="s">
        <v>447</v>
      </c>
      <c r="B218" t="s">
        <v>448</v>
      </c>
      <c r="C218" s="55">
        <v>1095281.0899999999</v>
      </c>
      <c r="D218" s="55">
        <v>138682</v>
      </c>
      <c r="E218" s="55"/>
      <c r="F218" s="55"/>
    </row>
    <row r="219" spans="1:6">
      <c r="A219" t="s">
        <v>449</v>
      </c>
      <c r="B219" t="s">
        <v>450</v>
      </c>
      <c r="C219" s="55">
        <v>1034840.9</v>
      </c>
      <c r="D219" s="55">
        <v>162687.00000000003</v>
      </c>
      <c r="E219" s="55"/>
      <c r="F219" s="55"/>
    </row>
    <row r="220" spans="1:6">
      <c r="A220" t="s">
        <v>451</v>
      </c>
      <c r="B220" t="s">
        <v>452</v>
      </c>
      <c r="C220" s="55">
        <v>56266958.940000005</v>
      </c>
      <c r="D220" s="55">
        <v>3691140.16</v>
      </c>
      <c r="E220" s="55"/>
      <c r="F220" s="55"/>
    </row>
    <row r="221" spans="1:6">
      <c r="A221" t="s">
        <v>453</v>
      </c>
      <c r="B221" t="s">
        <v>454</v>
      </c>
      <c r="C221" s="55">
        <v>887824.04999999993</v>
      </c>
      <c r="D221" s="55">
        <v>103598.65</v>
      </c>
      <c r="E221" s="55"/>
      <c r="F221" s="55"/>
    </row>
    <row r="222" spans="1:6">
      <c r="A222" t="s">
        <v>455</v>
      </c>
      <c r="B222" t="s">
        <v>456</v>
      </c>
      <c r="C222" s="55">
        <v>33702982.549999997</v>
      </c>
      <c r="D222" s="55">
        <v>2768390.5599999996</v>
      </c>
      <c r="E222" s="55"/>
      <c r="F222" s="55"/>
    </row>
    <row r="223" spans="1:6">
      <c r="A223" t="s">
        <v>457</v>
      </c>
      <c r="B223" t="s">
        <v>458</v>
      </c>
      <c r="C223" s="55">
        <v>9482183.4299999997</v>
      </c>
      <c r="D223" s="55">
        <v>704774.33000000007</v>
      </c>
      <c r="E223" s="55"/>
      <c r="F223" s="55"/>
    </row>
    <row r="224" spans="1:6">
      <c r="A224" t="s">
        <v>459</v>
      </c>
      <c r="B224" t="s">
        <v>460</v>
      </c>
      <c r="C224" s="55">
        <v>534827.74</v>
      </c>
      <c r="D224" s="55">
        <v>107849.8</v>
      </c>
      <c r="E224" s="55"/>
      <c r="F224" s="55"/>
    </row>
    <row r="225" spans="1:6">
      <c r="A225" t="s">
        <v>461</v>
      </c>
      <c r="B225" t="s">
        <v>462</v>
      </c>
      <c r="C225" s="55">
        <v>2537698.7399999998</v>
      </c>
      <c r="D225" s="55">
        <v>409351.52999999997</v>
      </c>
      <c r="E225" s="55"/>
      <c r="F225" s="55"/>
    </row>
    <row r="226" spans="1:6">
      <c r="A226" t="s">
        <v>463</v>
      </c>
      <c r="B226" t="s">
        <v>464</v>
      </c>
      <c r="C226" s="55">
        <v>6435671.3499999987</v>
      </c>
      <c r="D226" s="55">
        <v>637928</v>
      </c>
      <c r="E226" s="55"/>
      <c r="F226" s="55"/>
    </row>
    <row r="227" spans="1:6">
      <c r="A227" t="s">
        <v>465</v>
      </c>
      <c r="B227" t="s">
        <v>466</v>
      </c>
      <c r="C227" s="55">
        <v>5796233.1400000006</v>
      </c>
      <c r="D227" s="55">
        <v>573329.45000000007</v>
      </c>
      <c r="E227" s="55"/>
      <c r="F227" s="55"/>
    </row>
    <row r="228" spans="1:6">
      <c r="A228" t="s">
        <v>467</v>
      </c>
      <c r="B228" t="s">
        <v>468</v>
      </c>
      <c r="C228" s="55">
        <v>24142.94</v>
      </c>
      <c r="D228" s="55"/>
      <c r="E228" s="55"/>
      <c r="F228" s="55"/>
    </row>
    <row r="229" spans="1:6">
      <c r="A229" t="s">
        <v>699</v>
      </c>
      <c r="B229" t="s">
        <v>1430</v>
      </c>
      <c r="C229" s="55">
        <v>279911.24</v>
      </c>
      <c r="D229" s="55">
        <v>7502.4500000000007</v>
      </c>
      <c r="E229" s="55"/>
      <c r="F229" s="55"/>
    </row>
    <row r="230" spans="1:6">
      <c r="A230" t="s">
        <v>469</v>
      </c>
      <c r="B230" t="s">
        <v>470</v>
      </c>
      <c r="C230" s="55">
        <v>373925.86000000004</v>
      </c>
      <c r="D230" s="55">
        <v>43605.94</v>
      </c>
      <c r="E230" s="55"/>
      <c r="F230" s="55"/>
    </row>
    <row r="231" spans="1:6">
      <c r="A231" t="s">
        <v>471</v>
      </c>
      <c r="B231" t="s">
        <v>472</v>
      </c>
      <c r="C231" s="55">
        <v>2605898.0899999994</v>
      </c>
      <c r="D231" s="55">
        <v>375991.92</v>
      </c>
      <c r="E231" s="55"/>
      <c r="F231" s="55"/>
    </row>
    <row r="232" spans="1:6">
      <c r="A232" t="s">
        <v>473</v>
      </c>
      <c r="B232" t="s">
        <v>474</v>
      </c>
      <c r="C232" s="55">
        <v>251264.33000000002</v>
      </c>
      <c r="D232" s="55">
        <v>33019</v>
      </c>
      <c r="E232" s="55"/>
      <c r="F232" s="55"/>
    </row>
    <row r="233" spans="1:6">
      <c r="A233" t="s">
        <v>475</v>
      </c>
      <c r="B233" t="s">
        <v>476</v>
      </c>
      <c r="C233" s="55">
        <v>2435410.2200000002</v>
      </c>
      <c r="D233" s="55">
        <v>194440</v>
      </c>
      <c r="E233" s="55"/>
      <c r="F233" s="55"/>
    </row>
    <row r="234" spans="1:6">
      <c r="A234" t="s">
        <v>477</v>
      </c>
      <c r="B234" t="s">
        <v>478</v>
      </c>
      <c r="C234" s="55">
        <v>225245.51</v>
      </c>
      <c r="D234" s="55">
        <v>17017</v>
      </c>
      <c r="E234" s="55"/>
      <c r="F234" s="55"/>
    </row>
    <row r="235" spans="1:6">
      <c r="A235" t="s">
        <v>479</v>
      </c>
      <c r="B235" t="s">
        <v>480</v>
      </c>
      <c r="C235" s="55">
        <v>258342147.67000002</v>
      </c>
      <c r="D235" s="55">
        <v>13996915.519999998</v>
      </c>
      <c r="E235" s="55"/>
      <c r="F235" s="55"/>
    </row>
    <row r="236" spans="1:6">
      <c r="A236" t="s">
        <v>481</v>
      </c>
      <c r="B236" t="s">
        <v>482</v>
      </c>
      <c r="C236" s="55">
        <v>15853891.84</v>
      </c>
      <c r="D236" s="55">
        <v>1111005.6100000001</v>
      </c>
      <c r="E236" s="55"/>
      <c r="F236" s="55"/>
    </row>
    <row r="237" spans="1:6">
      <c r="A237" t="s">
        <v>483</v>
      </c>
      <c r="B237" t="s">
        <v>484</v>
      </c>
      <c r="C237" s="55">
        <v>6609613.6300000008</v>
      </c>
      <c r="D237" s="55">
        <v>828568.51</v>
      </c>
      <c r="E237" s="55">
        <v>251746.88</v>
      </c>
      <c r="F237" s="55"/>
    </row>
    <row r="238" spans="1:6">
      <c r="A238" t="s">
        <v>485</v>
      </c>
      <c r="B238" t="s">
        <v>486</v>
      </c>
      <c r="C238" s="55">
        <v>649626.27</v>
      </c>
      <c r="D238" s="55">
        <v>90642.45</v>
      </c>
      <c r="E238" s="55"/>
      <c r="F238" s="55"/>
    </row>
    <row r="239" spans="1:6">
      <c r="A239" t="s">
        <v>487</v>
      </c>
      <c r="B239" t="s">
        <v>488</v>
      </c>
      <c r="C239" s="55">
        <v>6913230.1999999993</v>
      </c>
      <c r="D239" s="55">
        <v>560742</v>
      </c>
      <c r="E239" s="55"/>
      <c r="F239" s="55"/>
    </row>
    <row r="240" spans="1:6">
      <c r="A240" t="s">
        <v>489</v>
      </c>
      <c r="B240" t="s">
        <v>490</v>
      </c>
      <c r="C240" s="55">
        <v>6897.5</v>
      </c>
      <c r="D240" s="55"/>
      <c r="E240" s="55"/>
      <c r="F240" s="55"/>
    </row>
    <row r="241" spans="1:6">
      <c r="A241" t="s">
        <v>491</v>
      </c>
      <c r="B241" t="s">
        <v>492</v>
      </c>
      <c r="C241" s="55">
        <v>11680973.750000002</v>
      </c>
      <c r="D241" s="55">
        <v>966750.48</v>
      </c>
      <c r="E241" s="55"/>
      <c r="F241" s="55"/>
    </row>
    <row r="242" spans="1:6">
      <c r="A242" t="s">
        <v>493</v>
      </c>
      <c r="B242" t="s">
        <v>494</v>
      </c>
      <c r="C242" s="55">
        <v>28645046.589999992</v>
      </c>
      <c r="D242" s="55">
        <v>2741030.1799999997</v>
      </c>
      <c r="E242" s="55">
        <v>176005.35000000003</v>
      </c>
      <c r="F242" s="55"/>
    </row>
    <row r="243" spans="1:6">
      <c r="A243" t="s">
        <v>495</v>
      </c>
      <c r="B243" t="s">
        <v>496</v>
      </c>
      <c r="C243" s="55">
        <v>120311.75</v>
      </c>
      <c r="D243" s="55"/>
      <c r="E243" s="55"/>
      <c r="F243" s="55"/>
    </row>
    <row r="244" spans="1:6">
      <c r="A244" t="s">
        <v>497</v>
      </c>
      <c r="B244" t="s">
        <v>498</v>
      </c>
      <c r="C244" s="55">
        <v>270803.49</v>
      </c>
      <c r="D244" s="55"/>
      <c r="E244" s="55"/>
      <c r="F244" s="55"/>
    </row>
    <row r="245" spans="1:6">
      <c r="A245" t="s">
        <v>499</v>
      </c>
      <c r="B245" t="s">
        <v>500</v>
      </c>
      <c r="C245" s="55">
        <v>27022926.960000001</v>
      </c>
      <c r="D245" s="55">
        <v>2024037.0000000002</v>
      </c>
      <c r="E245" s="55"/>
      <c r="F245" s="55"/>
    </row>
    <row r="246" spans="1:6">
      <c r="A246" t="s">
        <v>501</v>
      </c>
      <c r="B246" t="s">
        <v>502</v>
      </c>
      <c r="C246" s="55">
        <v>18691039.07</v>
      </c>
      <c r="D246" s="55">
        <v>1516937</v>
      </c>
      <c r="E246" s="55"/>
      <c r="F246" s="55"/>
    </row>
    <row r="247" spans="1:6">
      <c r="A247" t="s">
        <v>503</v>
      </c>
      <c r="B247" t="s">
        <v>504</v>
      </c>
      <c r="C247" s="55">
        <v>1335682.4100000001</v>
      </c>
      <c r="D247" s="55">
        <v>97212.66</v>
      </c>
      <c r="E247" s="55"/>
      <c r="F247" s="55"/>
    </row>
    <row r="248" spans="1:6">
      <c r="A248" t="s">
        <v>505</v>
      </c>
      <c r="B248" t="s">
        <v>506</v>
      </c>
      <c r="C248" s="55">
        <v>2102427.7699999996</v>
      </c>
      <c r="D248" s="55">
        <v>147403.39000000001</v>
      </c>
      <c r="E248" s="55"/>
      <c r="F248" s="55"/>
    </row>
    <row r="249" spans="1:6">
      <c r="A249" t="s">
        <v>507</v>
      </c>
      <c r="B249" t="s">
        <v>508</v>
      </c>
      <c r="C249" s="55">
        <v>31676432.630000006</v>
      </c>
      <c r="D249" s="55">
        <v>2372008.56</v>
      </c>
      <c r="E249" s="55"/>
      <c r="F249" s="55">
        <v>1238324.6700000002</v>
      </c>
    </row>
    <row r="250" spans="1:6">
      <c r="A250" t="s">
        <v>509</v>
      </c>
      <c r="B250" t="s">
        <v>510</v>
      </c>
      <c r="C250" s="55">
        <v>3421160.68</v>
      </c>
      <c r="D250" s="55">
        <v>393588.87</v>
      </c>
      <c r="E250" s="55"/>
      <c r="F250" s="55"/>
    </row>
    <row r="251" spans="1:6">
      <c r="A251" t="s">
        <v>511</v>
      </c>
      <c r="B251" t="s">
        <v>512</v>
      </c>
      <c r="C251" s="55">
        <v>464902.53</v>
      </c>
      <c r="D251" s="55">
        <v>47907.71</v>
      </c>
      <c r="E251" s="55"/>
      <c r="F251" s="55"/>
    </row>
    <row r="252" spans="1:6">
      <c r="A252" t="s">
        <v>513</v>
      </c>
      <c r="B252" t="s">
        <v>514</v>
      </c>
      <c r="C252" s="55">
        <v>75442595.450000003</v>
      </c>
      <c r="D252" s="55">
        <v>7200808.9500000011</v>
      </c>
      <c r="E252" s="55"/>
      <c r="F252" s="55"/>
    </row>
    <row r="253" spans="1:6">
      <c r="A253" t="s">
        <v>515</v>
      </c>
      <c r="B253" t="s">
        <v>516</v>
      </c>
      <c r="C253" s="55">
        <v>1289965.6299999999</v>
      </c>
      <c r="D253" s="55">
        <v>128247</v>
      </c>
      <c r="E253" s="55"/>
      <c r="F253" s="55"/>
    </row>
    <row r="254" spans="1:6">
      <c r="A254" t="s">
        <v>517</v>
      </c>
      <c r="B254" t="s">
        <v>518</v>
      </c>
      <c r="C254" s="55">
        <v>218166.85</v>
      </c>
      <c r="D254" s="55">
        <v>20983</v>
      </c>
      <c r="E254" s="55"/>
      <c r="F254" s="55"/>
    </row>
    <row r="255" spans="1:6">
      <c r="A255" t="s">
        <v>519</v>
      </c>
      <c r="B255" t="s">
        <v>520</v>
      </c>
      <c r="C255" s="55">
        <v>16788500.489999998</v>
      </c>
      <c r="D255" s="55">
        <v>1105034</v>
      </c>
      <c r="E255" s="55"/>
      <c r="F255" s="55"/>
    </row>
    <row r="256" spans="1:6">
      <c r="A256" t="s">
        <v>521</v>
      </c>
      <c r="B256" t="s">
        <v>522</v>
      </c>
      <c r="C256" s="55">
        <v>40823.53</v>
      </c>
      <c r="D256" s="55"/>
      <c r="E256" s="55"/>
      <c r="F256" s="55"/>
    </row>
    <row r="257" spans="1:6">
      <c r="A257" t="s">
        <v>523</v>
      </c>
      <c r="B257" t="s">
        <v>524</v>
      </c>
      <c r="C257" s="55">
        <v>1599966</v>
      </c>
      <c r="D257" s="55">
        <v>326.25</v>
      </c>
      <c r="E257" s="55"/>
      <c r="F257" s="55"/>
    </row>
    <row r="258" spans="1:6">
      <c r="A258" t="s">
        <v>527</v>
      </c>
      <c r="B258" t="s">
        <v>528</v>
      </c>
      <c r="C258" s="55">
        <v>6953010.7299999995</v>
      </c>
      <c r="D258" s="55">
        <v>513314.73</v>
      </c>
      <c r="E258" s="55"/>
      <c r="F258" s="55">
        <v>56050</v>
      </c>
    </row>
    <row r="259" spans="1:6">
      <c r="A259" t="s">
        <v>529</v>
      </c>
      <c r="B259" t="s">
        <v>530</v>
      </c>
      <c r="C259" s="55">
        <v>94298.27</v>
      </c>
      <c r="D259" s="55">
        <v>8767</v>
      </c>
      <c r="E259" s="55"/>
      <c r="F259" s="55"/>
    </row>
    <row r="260" spans="1:6">
      <c r="A260" t="s">
        <v>531</v>
      </c>
      <c r="B260" t="s">
        <v>532</v>
      </c>
      <c r="C260" s="55">
        <v>1680073.93</v>
      </c>
      <c r="D260" s="55"/>
      <c r="E260" s="55"/>
      <c r="F260" s="55"/>
    </row>
    <row r="261" spans="1:6">
      <c r="A261" t="s">
        <v>533</v>
      </c>
      <c r="B261" t="s">
        <v>534</v>
      </c>
      <c r="C261" s="55">
        <v>6950797.0299999993</v>
      </c>
      <c r="D261" s="55">
        <v>574379.9</v>
      </c>
      <c r="E261" s="55"/>
      <c r="F261" s="55"/>
    </row>
    <row r="262" spans="1:6">
      <c r="A262" t="s">
        <v>535</v>
      </c>
      <c r="B262" t="s">
        <v>536</v>
      </c>
      <c r="C262" s="55">
        <v>1815997.37</v>
      </c>
      <c r="D262" s="55">
        <v>161223.01999999999</v>
      </c>
      <c r="E262" s="55"/>
      <c r="F262" s="55"/>
    </row>
    <row r="263" spans="1:6">
      <c r="A263" t="s">
        <v>537</v>
      </c>
      <c r="B263" t="s">
        <v>538</v>
      </c>
      <c r="C263" s="55">
        <v>297053.21999999997</v>
      </c>
      <c r="D263" s="55">
        <v>38544.080000000002</v>
      </c>
      <c r="E263" s="55"/>
      <c r="F263" s="55"/>
    </row>
    <row r="264" spans="1:6">
      <c r="A264" t="s">
        <v>539</v>
      </c>
      <c r="B264" t="s">
        <v>540</v>
      </c>
      <c r="C264" s="55">
        <v>621892.91999999993</v>
      </c>
      <c r="D264" s="55">
        <v>42357</v>
      </c>
      <c r="E264" s="55"/>
      <c r="F264" s="55"/>
    </row>
    <row r="265" spans="1:6">
      <c r="A265" t="s">
        <v>541</v>
      </c>
      <c r="B265" t="s">
        <v>542</v>
      </c>
      <c r="C265" s="55">
        <v>160807.95000000001</v>
      </c>
      <c r="D265" s="55">
        <v>18865</v>
      </c>
      <c r="E265" s="55"/>
      <c r="F265" s="55"/>
    </row>
    <row r="266" spans="1:6">
      <c r="A266" t="s">
        <v>543</v>
      </c>
      <c r="B266" t="s">
        <v>544</v>
      </c>
      <c r="C266" s="55">
        <v>29605351.900000002</v>
      </c>
      <c r="D266" s="55">
        <v>2143162.9400000004</v>
      </c>
      <c r="E266" s="55"/>
      <c r="F266" s="55"/>
    </row>
    <row r="267" spans="1:6">
      <c r="A267" t="s">
        <v>545</v>
      </c>
      <c r="B267" t="s">
        <v>546</v>
      </c>
      <c r="C267" s="55">
        <v>12533029.52</v>
      </c>
      <c r="D267" s="55">
        <v>1408874.99</v>
      </c>
      <c r="E267" s="55"/>
      <c r="F267" s="55"/>
    </row>
    <row r="268" spans="1:6">
      <c r="A268" t="s">
        <v>836</v>
      </c>
      <c r="B268" t="s">
        <v>548</v>
      </c>
      <c r="C268" s="55">
        <v>120015.94</v>
      </c>
      <c r="D268" s="55">
        <v>34425.47</v>
      </c>
      <c r="E268" s="55"/>
      <c r="F268" s="55"/>
    </row>
    <row r="269" spans="1:6">
      <c r="A269" t="s">
        <v>549</v>
      </c>
      <c r="B269" t="s">
        <v>550</v>
      </c>
      <c r="C269" s="55">
        <v>75117568.36999999</v>
      </c>
      <c r="D269" s="55">
        <v>7618671.6000000006</v>
      </c>
      <c r="E269" s="55"/>
      <c r="F269" s="55"/>
    </row>
    <row r="270" spans="1:6">
      <c r="A270" t="s">
        <v>551</v>
      </c>
      <c r="B270" t="s">
        <v>552</v>
      </c>
      <c r="C270" s="55">
        <v>404327.28000000009</v>
      </c>
      <c r="D270" s="55">
        <v>46034.16</v>
      </c>
      <c r="E270" s="55"/>
      <c r="F270" s="55">
        <v>57227.46</v>
      </c>
    </row>
    <row r="271" spans="1:6">
      <c r="A271" t="s">
        <v>553</v>
      </c>
      <c r="B271" t="s">
        <v>554</v>
      </c>
      <c r="C271" s="55">
        <v>29562647.350000001</v>
      </c>
      <c r="D271" s="55">
        <v>2100893.3699999996</v>
      </c>
      <c r="E271" s="55"/>
      <c r="F271" s="55"/>
    </row>
    <row r="272" spans="1:6">
      <c r="A272" t="s">
        <v>555</v>
      </c>
      <c r="B272" t="s">
        <v>556</v>
      </c>
      <c r="C272" s="55">
        <v>438015.41000000003</v>
      </c>
      <c r="D272" s="55">
        <v>39649</v>
      </c>
      <c r="E272" s="55"/>
      <c r="F272" s="55"/>
    </row>
    <row r="273" spans="1:6">
      <c r="A273" t="s">
        <v>557</v>
      </c>
      <c r="B273" t="s">
        <v>558</v>
      </c>
      <c r="C273" s="55">
        <v>2759672.9899999998</v>
      </c>
      <c r="D273" s="55">
        <v>297889.28999999998</v>
      </c>
      <c r="E273" s="55"/>
      <c r="F273" s="55"/>
    </row>
    <row r="274" spans="1:6">
      <c r="A274" t="s">
        <v>559</v>
      </c>
      <c r="B274" t="s">
        <v>560</v>
      </c>
      <c r="C274" s="55">
        <v>487801.82000000007</v>
      </c>
      <c r="D274" s="55">
        <v>105035.35</v>
      </c>
      <c r="E274" s="55"/>
      <c r="F274" s="55"/>
    </row>
    <row r="275" spans="1:6">
      <c r="A275" t="s">
        <v>561</v>
      </c>
      <c r="B275" t="s">
        <v>562</v>
      </c>
      <c r="C275" s="55">
        <v>2615866.8699999996</v>
      </c>
      <c r="D275" s="55">
        <v>223771</v>
      </c>
      <c r="E275" s="55"/>
      <c r="F275" s="55"/>
    </row>
    <row r="276" spans="1:6">
      <c r="A276" t="s">
        <v>563</v>
      </c>
      <c r="B276" t="s">
        <v>564</v>
      </c>
      <c r="C276" s="55">
        <v>1626366.69</v>
      </c>
      <c r="D276" s="55">
        <v>282787.91000000003</v>
      </c>
      <c r="E276" s="55"/>
      <c r="F276" s="55"/>
    </row>
    <row r="277" spans="1:6">
      <c r="A277" t="s">
        <v>565</v>
      </c>
      <c r="B277" t="s">
        <v>566</v>
      </c>
      <c r="C277" s="55">
        <v>6285514.4299999997</v>
      </c>
      <c r="D277" s="55">
        <v>1089008.8500000001</v>
      </c>
      <c r="E277" s="55"/>
      <c r="F277" s="55">
        <v>75703.44</v>
      </c>
    </row>
    <row r="278" spans="1:6">
      <c r="A278" t="s">
        <v>567</v>
      </c>
      <c r="B278" t="s">
        <v>568</v>
      </c>
      <c r="C278" s="55">
        <v>143876.68</v>
      </c>
      <c r="D278" s="55">
        <v>29981.72</v>
      </c>
      <c r="E278" s="55"/>
      <c r="F278" s="55"/>
    </row>
    <row r="279" spans="1:6">
      <c r="A279" t="s">
        <v>569</v>
      </c>
      <c r="B279" t="s">
        <v>570</v>
      </c>
      <c r="C279" s="55">
        <v>1250867.8</v>
      </c>
      <c r="D279" s="55"/>
      <c r="E279" s="55"/>
      <c r="F279" s="55"/>
    </row>
    <row r="280" spans="1:6">
      <c r="A280" t="s">
        <v>571</v>
      </c>
      <c r="B280" t="s">
        <v>572</v>
      </c>
      <c r="C280" s="55">
        <v>243219.99</v>
      </c>
      <c r="D280" s="55"/>
      <c r="E280" s="55"/>
      <c r="F280" s="55"/>
    </row>
    <row r="281" spans="1:6">
      <c r="A281" t="s">
        <v>573</v>
      </c>
      <c r="B281" t="s">
        <v>574</v>
      </c>
      <c r="C281" s="55">
        <v>7075433.1900000004</v>
      </c>
      <c r="D281" s="55">
        <v>661552</v>
      </c>
      <c r="E281" s="55"/>
      <c r="F281" s="55"/>
    </row>
    <row r="282" spans="1:6">
      <c r="A282" t="s">
        <v>575</v>
      </c>
      <c r="B282" t="s">
        <v>576</v>
      </c>
      <c r="C282" s="55">
        <v>16626000.549999997</v>
      </c>
      <c r="D282" s="55">
        <v>1291477.3900000004</v>
      </c>
      <c r="E282" s="55"/>
      <c r="F282" s="55"/>
    </row>
    <row r="283" spans="1:6">
      <c r="A283" t="s">
        <v>577</v>
      </c>
      <c r="B283" t="s">
        <v>578</v>
      </c>
      <c r="C283" s="55">
        <v>975526.53999999992</v>
      </c>
      <c r="D283" s="55">
        <v>51037.729999999996</v>
      </c>
      <c r="E283" s="55"/>
      <c r="F283" s="55"/>
    </row>
    <row r="284" spans="1:6">
      <c r="A284" t="s">
        <v>579</v>
      </c>
      <c r="B284" t="s">
        <v>580</v>
      </c>
      <c r="C284" s="55">
        <v>12259159.770000003</v>
      </c>
      <c r="D284" s="55">
        <v>1237071.95</v>
      </c>
      <c r="E284" s="55"/>
      <c r="F284" s="55">
        <v>17730</v>
      </c>
    </row>
    <row r="285" spans="1:6">
      <c r="A285" t="s">
        <v>581</v>
      </c>
      <c r="B285" t="s">
        <v>582</v>
      </c>
      <c r="C285" s="55">
        <v>1435629.2</v>
      </c>
      <c r="D285" s="55">
        <v>224210.91</v>
      </c>
      <c r="E285" s="55"/>
      <c r="F285" s="55"/>
    </row>
    <row r="286" spans="1:6">
      <c r="A286" t="s">
        <v>583</v>
      </c>
      <c r="B286" t="s">
        <v>584</v>
      </c>
      <c r="C286" s="55">
        <v>80432582.520000011</v>
      </c>
      <c r="D286" s="55">
        <v>5123609</v>
      </c>
      <c r="E286" s="55"/>
      <c r="F286" s="55"/>
    </row>
    <row r="287" spans="1:6">
      <c r="A287" t="s">
        <v>585</v>
      </c>
      <c r="B287" t="s">
        <v>586</v>
      </c>
      <c r="C287" s="55">
        <v>3002304.3099999996</v>
      </c>
      <c r="D287" s="55">
        <v>466620.57</v>
      </c>
      <c r="E287" s="55"/>
      <c r="F287" s="55"/>
    </row>
    <row r="288" spans="1:6">
      <c r="A288" t="s">
        <v>589</v>
      </c>
      <c r="B288" t="s">
        <v>590</v>
      </c>
      <c r="C288" s="55">
        <v>895038.66</v>
      </c>
      <c r="D288" s="55"/>
      <c r="E288" s="55"/>
      <c r="F288" s="55"/>
    </row>
    <row r="289" spans="1:6">
      <c r="A289" t="s">
        <v>591</v>
      </c>
      <c r="B289" t="s">
        <v>592</v>
      </c>
      <c r="C289" s="55">
        <v>4901840.5199999986</v>
      </c>
      <c r="D289" s="55">
        <v>569718.17999999993</v>
      </c>
      <c r="E289" s="55"/>
      <c r="F289" s="55"/>
    </row>
    <row r="290" spans="1:6">
      <c r="A290" t="s">
        <v>593</v>
      </c>
      <c r="B290" t="s">
        <v>594</v>
      </c>
      <c r="C290" s="55">
        <v>481130.04000000004</v>
      </c>
      <c r="D290" s="55"/>
      <c r="E290" s="55"/>
      <c r="F290" s="55"/>
    </row>
    <row r="291" spans="1:6">
      <c r="A291" t="s">
        <v>595</v>
      </c>
      <c r="B291" t="s">
        <v>596</v>
      </c>
      <c r="C291" s="55">
        <v>12098362.58</v>
      </c>
      <c r="D291" s="55">
        <v>1325601.82</v>
      </c>
      <c r="E291" s="55"/>
      <c r="F291" s="55"/>
    </row>
    <row r="292" spans="1:6">
      <c r="A292" t="s">
        <v>597</v>
      </c>
      <c r="B292" t="s">
        <v>598</v>
      </c>
      <c r="C292" s="55">
        <v>5507443.1500000004</v>
      </c>
      <c r="D292" s="55">
        <v>724718.16</v>
      </c>
      <c r="E292" s="55"/>
      <c r="F292" s="55">
        <v>155136.9</v>
      </c>
    </row>
    <row r="293" spans="1:6">
      <c r="A293" t="s">
        <v>599</v>
      </c>
      <c r="B293" t="s">
        <v>600</v>
      </c>
      <c r="C293" s="55">
        <v>1850022.57</v>
      </c>
      <c r="D293" s="55">
        <v>237831.21000000002</v>
      </c>
      <c r="E293" s="55"/>
      <c r="F293" s="55"/>
    </row>
    <row r="294" spans="1:6">
      <c r="A294" t="s">
        <v>601</v>
      </c>
      <c r="B294" t="s">
        <v>602</v>
      </c>
      <c r="C294" s="55">
        <v>7855260.8499999996</v>
      </c>
      <c r="D294" s="55">
        <v>665652</v>
      </c>
      <c r="E294" s="55"/>
      <c r="F294" s="55"/>
    </row>
    <row r="295" spans="1:6">
      <c r="A295" t="s">
        <v>603</v>
      </c>
      <c r="B295" t="s">
        <v>604</v>
      </c>
      <c r="C295" s="55">
        <v>238287.73999999996</v>
      </c>
      <c r="D295" s="55">
        <v>21111</v>
      </c>
      <c r="E295" s="55"/>
      <c r="F295" s="55"/>
    </row>
    <row r="296" spans="1:6">
      <c r="A296" t="s">
        <v>605</v>
      </c>
      <c r="B296" t="s">
        <v>606</v>
      </c>
      <c r="C296" s="55">
        <v>603134.02</v>
      </c>
      <c r="D296" s="55">
        <v>5112</v>
      </c>
      <c r="E296" s="55"/>
      <c r="F296" s="55"/>
    </row>
    <row r="297" spans="1:6">
      <c r="A297" t="s">
        <v>607</v>
      </c>
      <c r="B297" t="s">
        <v>608</v>
      </c>
      <c r="C297" s="55">
        <v>933478.87000000011</v>
      </c>
      <c r="D297" s="55">
        <v>62964.83</v>
      </c>
      <c r="E297" s="55"/>
      <c r="F297" s="55">
        <v>138168.74</v>
      </c>
    </row>
    <row r="298" spans="1:6">
      <c r="A298" t="s">
        <v>609</v>
      </c>
      <c r="B298" t="s">
        <v>610</v>
      </c>
      <c r="C298" s="55">
        <v>18122021.799999997</v>
      </c>
      <c r="D298" s="55">
        <v>1630957.39</v>
      </c>
      <c r="E298" s="55"/>
      <c r="F298" s="55"/>
    </row>
    <row r="299" spans="1:6">
      <c r="A299" t="s">
        <v>611</v>
      </c>
      <c r="B299" t="s">
        <v>612</v>
      </c>
      <c r="C299" s="55">
        <v>9774820.2899999991</v>
      </c>
      <c r="D299" s="55">
        <v>1178310.9000000001</v>
      </c>
      <c r="E299" s="55"/>
      <c r="F299" s="55"/>
    </row>
    <row r="300" spans="1:6">
      <c r="A300" t="s">
        <v>613</v>
      </c>
      <c r="B300" t="s">
        <v>614</v>
      </c>
      <c r="C300" s="55">
        <v>7138851.9699999988</v>
      </c>
      <c r="D300" s="55">
        <v>800368.27</v>
      </c>
      <c r="E300" s="55"/>
      <c r="F300" s="55"/>
    </row>
    <row r="301" spans="1:6">
      <c r="A301" t="s">
        <v>615</v>
      </c>
      <c r="B301" t="s">
        <v>616</v>
      </c>
      <c r="C301" s="55">
        <v>193671.58</v>
      </c>
      <c r="D301" s="55">
        <v>11376.82</v>
      </c>
      <c r="E301" s="55"/>
      <c r="F301" s="55"/>
    </row>
    <row r="302" spans="1:6">
      <c r="A302" t="s">
        <v>617</v>
      </c>
      <c r="B302" t="s">
        <v>618</v>
      </c>
      <c r="C302" s="55">
        <v>877949.54</v>
      </c>
      <c r="D302" s="55">
        <v>134320</v>
      </c>
      <c r="E302" s="55"/>
      <c r="F302" s="55"/>
    </row>
    <row r="303" spans="1:6">
      <c r="A303" t="s">
        <v>619</v>
      </c>
      <c r="B303" t="s">
        <v>620</v>
      </c>
      <c r="C303" s="55">
        <v>9920331.459999999</v>
      </c>
      <c r="D303" s="55">
        <v>891061.16999999993</v>
      </c>
      <c r="E303" s="55">
        <v>35958.69</v>
      </c>
      <c r="F303" s="55"/>
    </row>
    <row r="304" spans="1:6">
      <c r="A304" t="s">
        <v>621</v>
      </c>
      <c r="B304" t="s">
        <v>622</v>
      </c>
      <c r="C304" s="55">
        <v>2173827.4700000002</v>
      </c>
      <c r="D304" s="55"/>
      <c r="E304" s="55"/>
      <c r="F304" s="55"/>
    </row>
    <row r="305" spans="1:6">
      <c r="A305" t="s">
        <v>623</v>
      </c>
      <c r="B305" t="s">
        <v>624</v>
      </c>
      <c r="C305" s="55">
        <v>397811.63</v>
      </c>
      <c r="D305" s="55">
        <v>43736.86</v>
      </c>
      <c r="E305" s="55"/>
      <c r="F305" s="55"/>
    </row>
    <row r="306" spans="1:6">
      <c r="A306" t="s">
        <v>625</v>
      </c>
      <c r="B306" t="s">
        <v>626</v>
      </c>
      <c r="C306" s="55">
        <v>449732.8</v>
      </c>
      <c r="D306" s="55">
        <v>51035</v>
      </c>
      <c r="E306" s="55"/>
      <c r="F306" s="55"/>
    </row>
    <row r="307" spans="1:6">
      <c r="A307" t="s">
        <v>627</v>
      </c>
      <c r="B307" t="s">
        <v>628</v>
      </c>
      <c r="C307" s="55">
        <v>810155.65999999992</v>
      </c>
      <c r="D307" s="55">
        <v>80355</v>
      </c>
      <c r="E307" s="55"/>
      <c r="F307" s="55"/>
    </row>
    <row r="308" spans="1:6">
      <c r="A308" t="s">
        <v>629</v>
      </c>
      <c r="B308" t="s">
        <v>630</v>
      </c>
      <c r="C308" s="55">
        <v>239392.82999999996</v>
      </c>
      <c r="D308" s="55">
        <v>24344.41</v>
      </c>
      <c r="E308" s="55"/>
      <c r="F308" s="55"/>
    </row>
    <row r="309" spans="1:6">
      <c r="A309" t="s">
        <v>631</v>
      </c>
      <c r="B309" t="s">
        <v>632</v>
      </c>
      <c r="C309" s="55">
        <v>5645752.5300000003</v>
      </c>
      <c r="D309" s="55">
        <v>196966.57</v>
      </c>
      <c r="E309" s="55"/>
      <c r="F309" s="55"/>
    </row>
    <row r="310" spans="1:6">
      <c r="A310" t="s">
        <v>633</v>
      </c>
      <c r="B310" t="s">
        <v>634</v>
      </c>
      <c r="C310" s="55">
        <v>289920.81999999995</v>
      </c>
      <c r="D310" s="55">
        <v>39685.57</v>
      </c>
      <c r="E310" s="55"/>
      <c r="F310" s="55"/>
    </row>
    <row r="311" spans="1:6">
      <c r="A311" t="s">
        <v>635</v>
      </c>
      <c r="B311" t="s">
        <v>636</v>
      </c>
      <c r="C311" s="55">
        <v>241651.76</v>
      </c>
      <c r="D311" s="55"/>
      <c r="E311" s="55"/>
      <c r="F311" s="55"/>
    </row>
    <row r="312" spans="1:6">
      <c r="A312" t="s">
        <v>637</v>
      </c>
      <c r="B312" t="s">
        <v>638</v>
      </c>
      <c r="C312" s="55">
        <v>6581291.75</v>
      </c>
      <c r="D312" s="55">
        <v>508191.63999999996</v>
      </c>
      <c r="E312" s="55"/>
      <c r="F312" s="55"/>
    </row>
    <row r="313" spans="1:6">
      <c r="A313" t="s">
        <v>639</v>
      </c>
      <c r="B313" t="s">
        <v>640</v>
      </c>
      <c r="C313" s="55">
        <v>40905901.490000017</v>
      </c>
      <c r="D313" s="55">
        <v>4742651.95</v>
      </c>
      <c r="E313" s="55"/>
      <c r="F313" s="55"/>
    </row>
    <row r="314" spans="1:6">
      <c r="A314" t="s">
        <v>641</v>
      </c>
      <c r="B314" t="s">
        <v>642</v>
      </c>
      <c r="C314" s="55">
        <v>15283045.490000002</v>
      </c>
      <c r="D314" s="55">
        <v>1198874.49</v>
      </c>
      <c r="E314" s="55"/>
      <c r="F314" s="55"/>
    </row>
    <row r="315" spans="1:6">
      <c r="A315" t="s">
        <v>643</v>
      </c>
      <c r="B315" t="s">
        <v>644</v>
      </c>
      <c r="C315" s="55">
        <v>1858374.48</v>
      </c>
      <c r="D315" s="55">
        <v>253703.2</v>
      </c>
      <c r="E315" s="55"/>
      <c r="F315" s="55"/>
    </row>
  </sheetData>
  <autoFilter ref="A4:F315" xr:uid="{915CB9BE-E529-413F-9137-80FB89ABF8FC}">
    <sortState xmlns:xlrd2="http://schemas.microsoft.com/office/spreadsheetml/2017/richdata2" ref="A5:F315">
      <sortCondition ref="B5:B315"/>
    </sortState>
  </autoFilter>
  <sortState xmlns:xlrd2="http://schemas.microsoft.com/office/spreadsheetml/2017/richdata2" ref="A5:F315">
    <sortCondition ref="A5:A315"/>
  </sortState>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E95E9-93D7-499D-9F2D-8A03D9A75ACB}">
  <sheetPr>
    <tabColor rgb="FF92D050"/>
  </sheetPr>
  <dimension ref="A1:N319"/>
  <sheetViews>
    <sheetView workbookViewId="0">
      <selection activeCell="I16" sqref="I16"/>
    </sheetView>
  </sheetViews>
  <sheetFormatPr defaultRowHeight="12.75"/>
  <cols>
    <col min="2" max="2" width="34.7109375" bestFit="1" customWidth="1"/>
    <col min="3" max="3" width="13.85546875" bestFit="1" customWidth="1"/>
    <col min="4" max="4" width="14.85546875" bestFit="1" customWidth="1"/>
    <col min="5" max="5" width="12.7109375" bestFit="1" customWidth="1"/>
    <col min="6" max="6" width="11.140625" bestFit="1" customWidth="1"/>
    <col min="7" max="7" width="10.140625" bestFit="1" customWidth="1"/>
    <col min="8" max="8" width="12.7109375" bestFit="1" customWidth="1"/>
    <col min="9" max="9" width="11.140625" bestFit="1" customWidth="1"/>
    <col min="10" max="10" width="13.85546875" bestFit="1" customWidth="1"/>
    <col min="11" max="12" width="11.140625" bestFit="1" customWidth="1"/>
    <col min="13" max="13" width="10.140625" bestFit="1" customWidth="1"/>
    <col min="14" max="14" width="12.7109375" bestFit="1" customWidth="1"/>
  </cols>
  <sheetData>
    <row r="1" spans="1:14" ht="15">
      <c r="B1" s="113" t="s">
        <v>1432</v>
      </c>
      <c r="C1" s="114" t="s">
        <v>1433</v>
      </c>
    </row>
    <row r="3" spans="1:14">
      <c r="A3">
        <v>1</v>
      </c>
      <c r="B3">
        <v>2</v>
      </c>
      <c r="C3">
        <v>3</v>
      </c>
      <c r="D3">
        <v>4</v>
      </c>
      <c r="E3">
        <v>5</v>
      </c>
      <c r="F3">
        <v>6</v>
      </c>
      <c r="G3">
        <v>7</v>
      </c>
      <c r="H3">
        <v>8</v>
      </c>
      <c r="I3">
        <v>9</v>
      </c>
      <c r="J3">
        <v>10</v>
      </c>
      <c r="K3">
        <v>11</v>
      </c>
      <c r="L3">
        <v>12</v>
      </c>
      <c r="M3">
        <v>13</v>
      </c>
      <c r="N3">
        <v>14</v>
      </c>
    </row>
    <row r="4" spans="1:14">
      <c r="A4" t="s">
        <v>680</v>
      </c>
      <c r="B4" t="s">
        <v>1367</v>
      </c>
      <c r="C4">
        <v>3121</v>
      </c>
      <c r="D4">
        <v>4121</v>
      </c>
      <c r="E4">
        <v>4126</v>
      </c>
      <c r="F4">
        <v>4321</v>
      </c>
      <c r="G4">
        <v>4326</v>
      </c>
      <c r="H4">
        <v>5329</v>
      </c>
      <c r="I4">
        <v>6121</v>
      </c>
      <c r="J4">
        <v>6124</v>
      </c>
      <c r="K4">
        <v>6157</v>
      </c>
      <c r="L4">
        <v>6321</v>
      </c>
      <c r="M4">
        <v>6324</v>
      </c>
      <c r="N4">
        <v>7121</v>
      </c>
    </row>
    <row r="5" spans="1:14">
      <c r="A5" t="s">
        <v>235</v>
      </c>
      <c r="B5" t="s">
        <v>236</v>
      </c>
      <c r="C5" s="55">
        <v>3019.26</v>
      </c>
      <c r="D5" s="55">
        <v>54791.08</v>
      </c>
      <c r="E5" s="55"/>
      <c r="F5" s="55"/>
      <c r="G5" s="55"/>
      <c r="H5" s="55">
        <v>6041</v>
      </c>
      <c r="I5" s="55"/>
      <c r="J5" s="55">
        <v>12969</v>
      </c>
      <c r="K5" s="55"/>
      <c r="L5" s="55"/>
      <c r="M5" s="55"/>
      <c r="N5" s="55"/>
    </row>
    <row r="6" spans="1:14">
      <c r="A6" t="s">
        <v>119</v>
      </c>
      <c r="B6" t="s">
        <v>120</v>
      </c>
      <c r="C6" s="55">
        <v>50517.57</v>
      </c>
      <c r="D6" s="55">
        <v>530182.57999999996</v>
      </c>
      <c r="E6" s="55"/>
      <c r="F6" s="55"/>
      <c r="G6" s="55"/>
      <c r="H6" s="55"/>
      <c r="I6" s="55"/>
      <c r="J6" s="55">
        <v>55938</v>
      </c>
      <c r="K6" s="55"/>
      <c r="L6" s="55"/>
      <c r="M6" s="55"/>
      <c r="N6" s="55"/>
    </row>
    <row r="7" spans="1:14">
      <c r="A7" t="s">
        <v>387</v>
      </c>
      <c r="B7" t="s">
        <v>388</v>
      </c>
      <c r="C7" s="55">
        <v>6546.72</v>
      </c>
      <c r="D7" s="55">
        <v>80235.13</v>
      </c>
      <c r="E7" s="55"/>
      <c r="F7" s="55"/>
      <c r="G7" s="55"/>
      <c r="H7" s="55"/>
      <c r="I7" s="55"/>
      <c r="J7" s="55">
        <v>12406.76</v>
      </c>
      <c r="K7" s="55"/>
      <c r="L7" s="55"/>
      <c r="M7" s="55"/>
      <c r="N7" s="55"/>
    </row>
    <row r="8" spans="1:14">
      <c r="A8" t="s">
        <v>223</v>
      </c>
      <c r="B8" t="s">
        <v>224</v>
      </c>
      <c r="C8" s="55">
        <v>36137.99</v>
      </c>
      <c r="D8" s="55">
        <v>266944.14</v>
      </c>
      <c r="E8" s="55"/>
      <c r="F8" s="55"/>
      <c r="G8" s="55"/>
      <c r="H8" s="55">
        <v>20590</v>
      </c>
      <c r="I8" s="55"/>
      <c r="J8" s="55">
        <v>58798.2</v>
      </c>
      <c r="K8" s="55"/>
      <c r="L8" s="55"/>
      <c r="M8" s="55"/>
      <c r="N8" s="55"/>
    </row>
    <row r="9" spans="1:14">
      <c r="A9" t="s">
        <v>453</v>
      </c>
      <c r="B9" t="s">
        <v>454</v>
      </c>
      <c r="C9" s="55">
        <v>113712.14</v>
      </c>
      <c r="D9" s="55">
        <v>922559.44</v>
      </c>
      <c r="E9" s="55"/>
      <c r="F9" s="55"/>
      <c r="G9" s="55"/>
      <c r="H9" s="55"/>
      <c r="I9" s="55"/>
      <c r="J9" s="55">
        <v>103459</v>
      </c>
      <c r="K9" s="55"/>
      <c r="L9" s="55"/>
      <c r="M9" s="55"/>
      <c r="N9" s="55"/>
    </row>
    <row r="10" spans="1:14">
      <c r="A10" t="s">
        <v>401</v>
      </c>
      <c r="B10" t="s">
        <v>402</v>
      </c>
      <c r="C10" s="55">
        <v>6264704.0300000003</v>
      </c>
      <c r="D10" s="55">
        <v>30431856.149999999</v>
      </c>
      <c r="E10" s="55"/>
      <c r="F10" s="55"/>
      <c r="G10" s="55"/>
      <c r="H10" s="55"/>
      <c r="I10" s="55"/>
      <c r="J10" s="55">
        <v>4331442.04</v>
      </c>
      <c r="K10" s="55"/>
      <c r="L10" s="55">
        <v>129682.29</v>
      </c>
      <c r="M10" s="55"/>
      <c r="N10" s="55">
        <v>1287942.83</v>
      </c>
    </row>
    <row r="11" spans="1:14">
      <c r="A11" t="s">
        <v>347</v>
      </c>
      <c r="B11" t="s">
        <v>348</v>
      </c>
      <c r="C11" s="55">
        <v>615929.68999999994</v>
      </c>
      <c r="D11" s="55">
        <v>3519533.96</v>
      </c>
      <c r="E11" s="55"/>
      <c r="F11" s="55">
        <v>78106.929999999993</v>
      </c>
      <c r="G11" s="55"/>
      <c r="H11" s="55"/>
      <c r="I11" s="55"/>
      <c r="J11" s="55">
        <v>472012.11</v>
      </c>
      <c r="K11" s="55"/>
      <c r="L11" s="55">
        <v>78106.95</v>
      </c>
      <c r="M11" s="55"/>
      <c r="N11" s="55"/>
    </row>
    <row r="12" spans="1:14">
      <c r="A12" t="s">
        <v>231</v>
      </c>
      <c r="B12" t="s">
        <v>232</v>
      </c>
      <c r="C12" s="55">
        <v>13192.05</v>
      </c>
      <c r="D12" s="55">
        <v>109557.72</v>
      </c>
      <c r="E12" s="55"/>
      <c r="F12" s="55"/>
      <c r="G12" s="55"/>
      <c r="H12" s="55"/>
      <c r="I12" s="55"/>
      <c r="J12" s="55"/>
      <c r="K12" s="55"/>
      <c r="L12" s="55"/>
      <c r="M12" s="55"/>
      <c r="N12" s="55"/>
    </row>
    <row r="13" spans="1:14">
      <c r="A13" t="s">
        <v>415</v>
      </c>
      <c r="B13" t="s">
        <v>416</v>
      </c>
      <c r="C13" s="55">
        <v>104148.54</v>
      </c>
      <c r="D13" s="55">
        <v>612672.12</v>
      </c>
      <c r="E13" s="55"/>
      <c r="F13" s="55"/>
      <c r="G13" s="55"/>
      <c r="H13" s="55"/>
      <c r="I13" s="55"/>
      <c r="J13" s="55">
        <v>86485</v>
      </c>
      <c r="K13" s="55"/>
      <c r="L13" s="55"/>
      <c r="M13" s="55"/>
      <c r="N13" s="55"/>
    </row>
    <row r="14" spans="1:14">
      <c r="A14" t="s">
        <v>591</v>
      </c>
      <c r="B14" t="s">
        <v>592</v>
      </c>
      <c r="C14" s="55">
        <v>618714.15</v>
      </c>
      <c r="D14" s="55">
        <v>3984781.82</v>
      </c>
      <c r="E14" s="55"/>
      <c r="F14" s="55">
        <v>151492.66</v>
      </c>
      <c r="G14" s="55"/>
      <c r="H14" s="55"/>
      <c r="I14" s="55"/>
      <c r="J14" s="55">
        <v>589390.57999999996</v>
      </c>
      <c r="K14" s="55"/>
      <c r="L14" s="55"/>
      <c r="M14" s="55"/>
      <c r="N14" s="55">
        <v>16115.05</v>
      </c>
    </row>
    <row r="15" spans="1:14">
      <c r="A15" t="s">
        <v>439</v>
      </c>
      <c r="B15" t="s">
        <v>440</v>
      </c>
      <c r="C15" s="55">
        <v>796792.2</v>
      </c>
      <c r="D15" s="55">
        <v>5110934.68</v>
      </c>
      <c r="E15" s="55"/>
      <c r="F15" s="55"/>
      <c r="G15" s="55"/>
      <c r="H15" s="55"/>
      <c r="I15" s="55"/>
      <c r="J15" s="55">
        <v>686017</v>
      </c>
      <c r="K15" s="55"/>
      <c r="L15" s="55">
        <v>58961.66</v>
      </c>
      <c r="M15" s="55"/>
      <c r="N15" s="55"/>
    </row>
    <row r="16" spans="1:14">
      <c r="A16" t="s">
        <v>599</v>
      </c>
      <c r="B16" t="s">
        <v>600</v>
      </c>
      <c r="C16" s="55">
        <v>360221.25</v>
      </c>
      <c r="D16" s="55">
        <v>1574108.07</v>
      </c>
      <c r="E16" s="55"/>
      <c r="F16" s="55"/>
      <c r="G16" s="55"/>
      <c r="H16" s="55"/>
      <c r="I16" s="55"/>
      <c r="J16" s="55">
        <v>246892.57</v>
      </c>
      <c r="K16" s="55"/>
      <c r="L16" s="55">
        <v>17651.830000000002</v>
      </c>
      <c r="M16" s="55"/>
      <c r="N16" s="55"/>
    </row>
    <row r="17" spans="1:14">
      <c r="A17" t="s">
        <v>111</v>
      </c>
      <c r="B17" t="s">
        <v>112</v>
      </c>
      <c r="C17" s="55">
        <v>42383.03</v>
      </c>
      <c r="D17" s="55">
        <v>271054.59999999998</v>
      </c>
      <c r="E17" s="55"/>
      <c r="F17" s="55"/>
      <c r="G17" s="55"/>
      <c r="H17" s="55"/>
      <c r="I17" s="55"/>
      <c r="J17" s="55">
        <v>49044</v>
      </c>
      <c r="K17" s="55"/>
      <c r="L17" s="55"/>
      <c r="M17" s="55"/>
      <c r="N17" s="55">
        <v>2177.6999999999998</v>
      </c>
    </row>
    <row r="18" spans="1:14">
      <c r="A18" t="s">
        <v>503</v>
      </c>
      <c r="B18" t="s">
        <v>504</v>
      </c>
      <c r="C18" s="55">
        <v>244648.14</v>
      </c>
      <c r="D18" s="55">
        <v>1140008.3500000001</v>
      </c>
      <c r="E18" s="55"/>
      <c r="F18" s="55"/>
      <c r="G18" s="55"/>
      <c r="H18" s="55"/>
      <c r="I18" s="55"/>
      <c r="J18" s="55">
        <v>100877.46</v>
      </c>
      <c r="K18" s="55"/>
      <c r="L18" s="55"/>
      <c r="M18" s="55"/>
      <c r="N18" s="55"/>
    </row>
    <row r="19" spans="1:14">
      <c r="A19" t="s">
        <v>471</v>
      </c>
      <c r="B19" t="s">
        <v>472</v>
      </c>
      <c r="C19" s="55">
        <v>351324.26</v>
      </c>
      <c r="D19" s="55">
        <v>2382610.21</v>
      </c>
      <c r="E19" s="55"/>
      <c r="F19" s="55"/>
      <c r="G19" s="55"/>
      <c r="H19" s="55"/>
      <c r="I19" s="55"/>
      <c r="J19" s="55">
        <v>358704</v>
      </c>
      <c r="K19" s="55"/>
      <c r="L19" s="55"/>
      <c r="M19" s="55"/>
      <c r="N19" s="55"/>
    </row>
    <row r="20" spans="1:14">
      <c r="A20" t="s">
        <v>317</v>
      </c>
      <c r="B20" t="s">
        <v>318</v>
      </c>
      <c r="C20" s="55">
        <v>2891553.6</v>
      </c>
      <c r="D20" s="55">
        <v>16278516.68</v>
      </c>
      <c r="E20" s="55"/>
      <c r="F20" s="55">
        <v>217130.49</v>
      </c>
      <c r="G20" s="55"/>
      <c r="H20" s="55"/>
      <c r="I20" s="55">
        <v>1050.8</v>
      </c>
      <c r="J20" s="55">
        <v>1957536.57</v>
      </c>
      <c r="K20" s="55"/>
      <c r="L20" s="55"/>
      <c r="M20" s="55"/>
      <c r="N20" s="55"/>
    </row>
    <row r="21" spans="1:14">
      <c r="A21" t="s">
        <v>159</v>
      </c>
      <c r="B21" t="s">
        <v>160</v>
      </c>
      <c r="C21" s="55">
        <v>734850.39</v>
      </c>
      <c r="D21" s="55">
        <v>4412012.67</v>
      </c>
      <c r="E21" s="55"/>
      <c r="F21" s="55"/>
      <c r="G21" s="55"/>
      <c r="H21" s="55"/>
      <c r="I21" s="55"/>
      <c r="J21" s="55">
        <v>620953.26</v>
      </c>
      <c r="K21" s="55"/>
      <c r="L21" s="55"/>
      <c r="M21" s="55"/>
      <c r="N21" s="55"/>
    </row>
    <row r="22" spans="1:14">
      <c r="A22" t="s">
        <v>629</v>
      </c>
      <c r="B22" t="s">
        <v>630</v>
      </c>
      <c r="C22" s="55">
        <v>28277.3</v>
      </c>
      <c r="D22" s="55">
        <v>224137.42</v>
      </c>
      <c r="E22" s="55"/>
      <c r="F22" s="55"/>
      <c r="G22" s="55"/>
      <c r="H22" s="55"/>
      <c r="I22" s="55"/>
      <c r="J22" s="55">
        <v>24137</v>
      </c>
      <c r="K22" s="55"/>
      <c r="L22" s="55"/>
      <c r="M22" s="55"/>
      <c r="N22" s="55"/>
    </row>
    <row r="23" spans="1:14">
      <c r="A23" t="s">
        <v>189</v>
      </c>
      <c r="B23" t="s">
        <v>190</v>
      </c>
      <c r="C23" s="55">
        <v>165717.6</v>
      </c>
      <c r="D23" s="55">
        <v>1012289.8</v>
      </c>
      <c r="E23" s="55"/>
      <c r="F23" s="55"/>
      <c r="G23" s="55"/>
      <c r="H23" s="55">
        <v>20223.16</v>
      </c>
      <c r="I23" s="55"/>
      <c r="J23" s="55">
        <v>192974</v>
      </c>
      <c r="K23" s="55"/>
      <c r="L23" s="55">
        <v>82.8</v>
      </c>
      <c r="M23" s="55"/>
      <c r="N23" s="55"/>
    </row>
    <row r="24" spans="1:14">
      <c r="A24" t="s">
        <v>6</v>
      </c>
      <c r="B24" t="s">
        <v>8</v>
      </c>
      <c r="C24" s="55">
        <v>1319180.6499999999</v>
      </c>
      <c r="D24" s="55">
        <v>6435051.4500000002</v>
      </c>
      <c r="E24" s="55"/>
      <c r="F24" s="55">
        <v>159135.51999999999</v>
      </c>
      <c r="G24" s="55"/>
      <c r="H24" s="55"/>
      <c r="I24" s="55"/>
      <c r="J24" s="55">
        <v>940745.18</v>
      </c>
      <c r="K24" s="55"/>
      <c r="L24" s="55">
        <v>159135.54</v>
      </c>
      <c r="M24" s="55"/>
      <c r="N24" s="55"/>
    </row>
    <row r="25" spans="1:14">
      <c r="A25" t="s">
        <v>215</v>
      </c>
      <c r="B25" t="s">
        <v>216</v>
      </c>
      <c r="C25" s="55">
        <v>473574.13</v>
      </c>
      <c r="D25" s="55">
        <v>3139397.28</v>
      </c>
      <c r="E25" s="55"/>
      <c r="F25" s="55"/>
      <c r="G25" s="55"/>
      <c r="H25" s="55"/>
      <c r="I25" s="55"/>
      <c r="J25" s="55">
        <v>442254.05</v>
      </c>
      <c r="K25" s="55"/>
      <c r="L25" s="55"/>
      <c r="M25" s="55"/>
      <c r="N25" s="55"/>
    </row>
    <row r="26" spans="1:14">
      <c r="A26" t="s">
        <v>345</v>
      </c>
      <c r="B26" t="s">
        <v>346</v>
      </c>
      <c r="C26" s="55">
        <v>155246.85999999999</v>
      </c>
      <c r="D26" s="55">
        <v>1186797.3799999999</v>
      </c>
      <c r="E26" s="55"/>
      <c r="F26" s="55"/>
      <c r="G26" s="55"/>
      <c r="H26" s="55">
        <v>960</v>
      </c>
      <c r="I26" s="55"/>
      <c r="J26" s="55">
        <v>141813.78</v>
      </c>
      <c r="K26" s="55"/>
      <c r="L26" s="55"/>
      <c r="M26" s="55"/>
      <c r="N26" s="55"/>
    </row>
    <row r="27" spans="1:14">
      <c r="A27" t="s">
        <v>297</v>
      </c>
      <c r="B27" t="s">
        <v>298</v>
      </c>
      <c r="C27" s="55">
        <v>99189.57</v>
      </c>
      <c r="D27" s="55">
        <v>723385.04</v>
      </c>
      <c r="E27" s="55"/>
      <c r="F27" s="55"/>
      <c r="G27" s="55"/>
      <c r="H27" s="55"/>
      <c r="I27" s="55"/>
      <c r="J27" s="55">
        <v>76588.820000000007</v>
      </c>
      <c r="K27" s="55"/>
      <c r="L27" s="55"/>
      <c r="M27" s="55"/>
      <c r="N27" s="55"/>
    </row>
    <row r="28" spans="1:14">
      <c r="A28" t="s">
        <v>313</v>
      </c>
      <c r="B28" t="s">
        <v>314</v>
      </c>
      <c r="C28" s="55">
        <v>481721.82</v>
      </c>
      <c r="D28" s="55">
        <v>2693874.87</v>
      </c>
      <c r="E28" s="55"/>
      <c r="F28" s="55">
        <v>15621.33</v>
      </c>
      <c r="G28" s="55"/>
      <c r="H28" s="55"/>
      <c r="I28" s="55"/>
      <c r="J28" s="55">
        <v>319162</v>
      </c>
      <c r="K28" s="55"/>
      <c r="L28" s="55">
        <v>15621.32</v>
      </c>
      <c r="M28" s="55"/>
      <c r="N28" s="55">
        <v>317662</v>
      </c>
    </row>
    <row r="29" spans="1:14">
      <c r="A29" t="s">
        <v>151</v>
      </c>
      <c r="B29" t="s">
        <v>152</v>
      </c>
      <c r="C29" s="55">
        <v>573733.4</v>
      </c>
      <c r="D29" s="55">
        <v>3105494.69</v>
      </c>
      <c r="E29" s="55"/>
      <c r="F29" s="55"/>
      <c r="G29" s="55"/>
      <c r="H29" s="55"/>
      <c r="I29" s="55"/>
      <c r="J29" s="55">
        <v>419213.46</v>
      </c>
      <c r="K29" s="55"/>
      <c r="L29" s="55"/>
      <c r="M29" s="55"/>
      <c r="N29" s="55"/>
    </row>
    <row r="30" spans="1:14">
      <c r="A30" t="s">
        <v>551</v>
      </c>
      <c r="B30" t="s">
        <v>552</v>
      </c>
      <c r="C30" s="55">
        <v>31687.83</v>
      </c>
      <c r="D30" s="55">
        <v>348328.67</v>
      </c>
      <c r="E30" s="55"/>
      <c r="F30" s="55"/>
      <c r="G30" s="55"/>
      <c r="H30" s="55">
        <v>42323</v>
      </c>
      <c r="I30" s="55"/>
      <c r="J30" s="55">
        <v>35168</v>
      </c>
      <c r="K30" s="55"/>
      <c r="L30" s="55"/>
      <c r="M30" s="55"/>
      <c r="N30" s="55"/>
    </row>
    <row r="31" spans="1:14">
      <c r="A31" t="s">
        <v>259</v>
      </c>
      <c r="B31" t="s">
        <v>260</v>
      </c>
      <c r="C31" s="55">
        <v>70597.89</v>
      </c>
      <c r="D31" s="55">
        <v>542245.97</v>
      </c>
      <c r="E31" s="55"/>
      <c r="F31" s="55"/>
      <c r="G31" s="55"/>
      <c r="H31" s="55">
        <v>5719</v>
      </c>
      <c r="I31" s="55"/>
      <c r="J31" s="55"/>
      <c r="K31" s="55"/>
      <c r="L31" s="55"/>
      <c r="M31" s="55"/>
      <c r="N31" s="55"/>
    </row>
    <row r="32" spans="1:14">
      <c r="A32" t="s">
        <v>109</v>
      </c>
      <c r="B32" t="s">
        <v>110</v>
      </c>
      <c r="C32" s="55">
        <v>72252.539999999994</v>
      </c>
      <c r="D32" s="55">
        <v>382144.2</v>
      </c>
      <c r="E32" s="55"/>
      <c r="F32" s="55"/>
      <c r="G32" s="55"/>
      <c r="H32" s="55"/>
      <c r="I32" s="55"/>
      <c r="J32" s="55">
        <v>54279.88</v>
      </c>
      <c r="K32" s="55"/>
      <c r="L32" s="55"/>
      <c r="M32" s="55"/>
      <c r="N32" s="55"/>
    </row>
    <row r="33" spans="1:14">
      <c r="A33" t="s">
        <v>477</v>
      </c>
      <c r="B33" t="s">
        <v>478</v>
      </c>
      <c r="C33" s="55">
        <v>7492.98</v>
      </c>
      <c r="D33" s="55">
        <v>255743.2</v>
      </c>
      <c r="E33" s="55"/>
      <c r="F33" s="55"/>
      <c r="G33" s="55"/>
      <c r="H33" s="55"/>
      <c r="I33" s="55"/>
      <c r="J33" s="55">
        <v>17026.12</v>
      </c>
      <c r="K33" s="55"/>
      <c r="L33" s="55"/>
      <c r="M33" s="55"/>
      <c r="N33" s="55"/>
    </row>
    <row r="34" spans="1:14">
      <c r="A34" t="s">
        <v>633</v>
      </c>
      <c r="B34" t="s">
        <v>634</v>
      </c>
      <c r="C34" s="55">
        <v>32413.61</v>
      </c>
      <c r="D34" s="55">
        <v>315504.52</v>
      </c>
      <c r="E34" s="55"/>
      <c r="F34" s="55"/>
      <c r="G34" s="55"/>
      <c r="H34" s="55"/>
      <c r="I34" s="55"/>
      <c r="J34" s="55">
        <v>42815.57</v>
      </c>
      <c r="K34" s="55"/>
      <c r="L34" s="55"/>
      <c r="M34" s="55"/>
      <c r="N34" s="55"/>
    </row>
    <row r="35" spans="1:14">
      <c r="A35" t="s">
        <v>369</v>
      </c>
      <c r="B35" t="s">
        <v>370</v>
      </c>
      <c r="C35" s="55">
        <v>75256.69</v>
      </c>
      <c r="D35" s="55">
        <v>685396.83</v>
      </c>
      <c r="E35" s="55"/>
      <c r="F35" s="55"/>
      <c r="G35" s="55"/>
      <c r="H35" s="55"/>
      <c r="I35" s="55"/>
      <c r="J35" s="55">
        <v>188936.39</v>
      </c>
      <c r="K35" s="55"/>
      <c r="L35" s="55">
        <v>2889.06</v>
      </c>
      <c r="M35" s="55"/>
      <c r="N35" s="55"/>
    </row>
    <row r="36" spans="1:14">
      <c r="A36" t="s">
        <v>365</v>
      </c>
      <c r="B36" t="s">
        <v>366</v>
      </c>
      <c r="C36" s="55">
        <v>100612.76</v>
      </c>
      <c r="D36" s="55">
        <v>806948.61</v>
      </c>
      <c r="E36" s="55"/>
      <c r="F36" s="55">
        <v>133.26</v>
      </c>
      <c r="G36" s="55"/>
      <c r="H36" s="55">
        <v>30884</v>
      </c>
      <c r="I36" s="55"/>
      <c r="J36" s="55">
        <v>90924.81</v>
      </c>
      <c r="K36" s="55"/>
      <c r="L36" s="55"/>
      <c r="M36" s="55"/>
      <c r="N36" s="55"/>
    </row>
    <row r="37" spans="1:14">
      <c r="A37" t="s">
        <v>361</v>
      </c>
      <c r="B37" t="s">
        <v>362</v>
      </c>
      <c r="C37" s="55">
        <v>2976505.5</v>
      </c>
      <c r="D37" s="55">
        <v>14987284.52</v>
      </c>
      <c r="E37" s="55"/>
      <c r="F37" s="55">
        <v>73603.42</v>
      </c>
      <c r="G37" s="55"/>
      <c r="H37" s="55">
        <v>259086</v>
      </c>
      <c r="I37" s="55"/>
      <c r="J37" s="55">
        <v>992845.99</v>
      </c>
      <c r="K37" s="55"/>
      <c r="L37" s="55">
        <v>75100.19</v>
      </c>
      <c r="M37" s="55"/>
      <c r="N37" s="55">
        <v>168158.6</v>
      </c>
    </row>
    <row r="38" spans="1:14">
      <c r="A38" t="s">
        <v>113</v>
      </c>
      <c r="B38" t="s">
        <v>114</v>
      </c>
      <c r="C38" s="55">
        <v>363007.74</v>
      </c>
      <c r="D38" s="55">
        <v>2472628.75</v>
      </c>
      <c r="E38" s="55"/>
      <c r="F38" s="55"/>
      <c r="G38" s="55"/>
      <c r="H38" s="55"/>
      <c r="I38" s="55"/>
      <c r="J38" s="55">
        <v>219471.47</v>
      </c>
      <c r="K38" s="55"/>
      <c r="L38" s="55"/>
      <c r="M38" s="55"/>
      <c r="N38" s="55"/>
    </row>
    <row r="39" spans="1:14">
      <c r="A39" t="s">
        <v>509</v>
      </c>
      <c r="B39" t="s">
        <v>510</v>
      </c>
      <c r="C39" s="55">
        <v>406640.54</v>
      </c>
      <c r="D39" s="55">
        <v>2576765.92</v>
      </c>
      <c r="E39" s="55"/>
      <c r="F39" s="55"/>
      <c r="G39" s="55"/>
      <c r="H39" s="55"/>
      <c r="I39" s="55"/>
      <c r="J39" s="55">
        <v>406107.87</v>
      </c>
      <c r="K39" s="55"/>
      <c r="L39" s="55"/>
      <c r="M39" s="55"/>
      <c r="N39" s="55"/>
    </row>
    <row r="40" spans="1:14">
      <c r="A40" t="s">
        <v>433</v>
      </c>
      <c r="B40" t="s">
        <v>434</v>
      </c>
      <c r="C40" s="55">
        <v>3480.04</v>
      </c>
      <c r="D40" s="55">
        <v>59582.2</v>
      </c>
      <c r="E40" s="55"/>
      <c r="F40" s="55"/>
      <c r="G40" s="55"/>
      <c r="H40" s="55">
        <v>4575</v>
      </c>
      <c r="I40" s="55"/>
      <c r="J40" s="55">
        <v>10564</v>
      </c>
      <c r="K40" s="55"/>
      <c r="L40" s="55"/>
      <c r="M40" s="55"/>
      <c r="N40" s="55"/>
    </row>
    <row r="41" spans="1:14">
      <c r="A41" t="s">
        <v>53</v>
      </c>
      <c r="B41" t="s">
        <v>54</v>
      </c>
      <c r="C41" s="55">
        <v>4962.8100000000004</v>
      </c>
      <c r="D41" s="55">
        <v>100226.58</v>
      </c>
      <c r="E41" s="55"/>
      <c r="F41" s="55"/>
      <c r="G41" s="55"/>
      <c r="H41" s="55"/>
      <c r="I41" s="55"/>
      <c r="J41" s="55">
        <v>23326</v>
      </c>
      <c r="K41" s="55"/>
      <c r="L41" s="55"/>
      <c r="M41" s="55"/>
      <c r="N41" s="55"/>
    </row>
    <row r="42" spans="1:14">
      <c r="A42" t="s">
        <v>435</v>
      </c>
      <c r="B42" t="s">
        <v>436</v>
      </c>
      <c r="C42" s="55">
        <v>69799.66</v>
      </c>
      <c r="D42" s="55">
        <v>1011896.27</v>
      </c>
      <c r="E42" s="55"/>
      <c r="F42" s="55"/>
      <c r="G42" s="55"/>
      <c r="H42" s="55"/>
      <c r="I42" s="55"/>
      <c r="J42" s="55">
        <v>107284.04</v>
      </c>
      <c r="K42" s="55"/>
      <c r="L42" s="55"/>
      <c r="M42" s="55"/>
      <c r="N42" s="55"/>
    </row>
    <row r="43" spans="1:14">
      <c r="A43" t="s">
        <v>85</v>
      </c>
      <c r="B43" t="s">
        <v>86</v>
      </c>
      <c r="C43" s="55">
        <v>266280.39</v>
      </c>
      <c r="D43" s="55">
        <v>2000350.21</v>
      </c>
      <c r="E43" s="55"/>
      <c r="F43" s="55"/>
      <c r="G43" s="55"/>
      <c r="H43" s="55"/>
      <c r="I43" s="55"/>
      <c r="J43" s="55">
        <v>287648.46999999997</v>
      </c>
      <c r="K43" s="55"/>
      <c r="L43" s="55">
        <v>62990.21</v>
      </c>
      <c r="M43" s="55"/>
      <c r="N43" s="55"/>
    </row>
    <row r="44" spans="1:14">
      <c r="A44" t="s">
        <v>419</v>
      </c>
      <c r="B44" t="s">
        <v>420</v>
      </c>
      <c r="C44" s="55">
        <v>318654.23</v>
      </c>
      <c r="D44" s="55">
        <v>2460048.06</v>
      </c>
      <c r="E44" s="55"/>
      <c r="F44" s="55"/>
      <c r="G44" s="55"/>
      <c r="H44" s="55"/>
      <c r="I44" s="55"/>
      <c r="J44" s="55">
        <v>325043</v>
      </c>
      <c r="K44" s="55"/>
      <c r="L44" s="55">
        <v>34892.339999999997</v>
      </c>
      <c r="M44" s="55"/>
      <c r="N44" s="55"/>
    </row>
    <row r="45" spans="1:14">
      <c r="A45" t="s">
        <v>479</v>
      </c>
      <c r="B45" t="s">
        <v>480</v>
      </c>
      <c r="C45" s="55">
        <v>17924419.359999999</v>
      </c>
      <c r="D45" s="55">
        <v>136568354.30000001</v>
      </c>
      <c r="E45" s="55"/>
      <c r="F45" s="55">
        <v>104275.68</v>
      </c>
      <c r="G45" s="55"/>
      <c r="H45" s="55"/>
      <c r="I45" s="55"/>
      <c r="J45" s="55">
        <v>14523415.32</v>
      </c>
      <c r="K45" s="55">
        <v>401050.93</v>
      </c>
      <c r="L45" s="55">
        <v>247611.46</v>
      </c>
      <c r="M45" s="55">
        <v>3400</v>
      </c>
      <c r="N45" s="55"/>
    </row>
    <row r="46" spans="1:14">
      <c r="A46" t="s">
        <v>171</v>
      </c>
      <c r="B46" t="s">
        <v>172</v>
      </c>
      <c r="C46" s="55">
        <v>8136591.4100000001</v>
      </c>
      <c r="D46" s="55">
        <v>43470731.460000001</v>
      </c>
      <c r="E46" s="55"/>
      <c r="F46" s="55">
        <v>59054.49</v>
      </c>
      <c r="G46" s="55"/>
      <c r="H46" s="55"/>
      <c r="I46" s="55"/>
      <c r="J46" s="55">
        <v>5113464.74</v>
      </c>
      <c r="K46" s="55"/>
      <c r="L46" s="55">
        <v>59054.64</v>
      </c>
      <c r="M46" s="55"/>
      <c r="N46" s="55">
        <v>792626.48</v>
      </c>
    </row>
    <row r="47" spans="1:14">
      <c r="A47" t="s">
        <v>157</v>
      </c>
      <c r="B47" t="s">
        <v>158</v>
      </c>
      <c r="C47" s="55">
        <v>1622061.12</v>
      </c>
      <c r="D47" s="55">
        <v>10916759.4</v>
      </c>
      <c r="E47" s="55"/>
      <c r="F47" s="55"/>
      <c r="G47" s="55"/>
      <c r="H47" s="55"/>
      <c r="I47" s="55"/>
      <c r="J47" s="55">
        <v>1123340.3500000001</v>
      </c>
      <c r="K47" s="55"/>
      <c r="L47" s="55">
        <v>63562.94</v>
      </c>
      <c r="M47" s="55"/>
      <c r="N47" s="55"/>
    </row>
    <row r="48" spans="1:14">
      <c r="A48" t="s">
        <v>303</v>
      </c>
      <c r="B48" t="s">
        <v>304</v>
      </c>
      <c r="C48" s="55">
        <v>787325.01</v>
      </c>
      <c r="D48" s="55">
        <v>6775128.3499999996</v>
      </c>
      <c r="E48" s="55"/>
      <c r="F48" s="55"/>
      <c r="G48" s="55"/>
      <c r="H48" s="55"/>
      <c r="I48" s="55"/>
      <c r="J48" s="55">
        <v>882495.88</v>
      </c>
      <c r="K48" s="55"/>
      <c r="L48" s="55"/>
      <c r="M48" s="55"/>
      <c r="N48" s="55"/>
    </row>
    <row r="49" spans="1:14">
      <c r="A49" t="s">
        <v>209</v>
      </c>
      <c r="B49" t="s">
        <v>210</v>
      </c>
      <c r="C49" s="55">
        <v>6497581.8899999997</v>
      </c>
      <c r="D49" s="55">
        <v>41920247.270000003</v>
      </c>
      <c r="E49" s="55"/>
      <c r="F49" s="55">
        <v>2503.2800000000002</v>
      </c>
      <c r="G49" s="55"/>
      <c r="H49" s="55"/>
      <c r="I49" s="55"/>
      <c r="J49" s="55">
        <v>4622935.8600000003</v>
      </c>
      <c r="K49" s="55"/>
      <c r="L49" s="55">
        <v>2503.2800000000002</v>
      </c>
      <c r="M49" s="55"/>
      <c r="N49" s="55">
        <v>443317.81</v>
      </c>
    </row>
    <row r="50" spans="1:14">
      <c r="A50" t="s">
        <v>585</v>
      </c>
      <c r="B50" t="s">
        <v>586</v>
      </c>
      <c r="C50" s="55">
        <v>338988.2</v>
      </c>
      <c r="D50" s="55">
        <v>2503678.42</v>
      </c>
      <c r="E50" s="55"/>
      <c r="F50" s="55"/>
      <c r="G50" s="55"/>
      <c r="H50" s="55"/>
      <c r="I50" s="55"/>
      <c r="J50" s="55">
        <v>326284</v>
      </c>
      <c r="K50" s="55"/>
      <c r="L50" s="55">
        <v>25063.01</v>
      </c>
      <c r="M50" s="55"/>
      <c r="N50" s="55"/>
    </row>
    <row r="51" spans="1:14">
      <c r="A51" t="s">
        <v>451</v>
      </c>
      <c r="B51" t="s">
        <v>452</v>
      </c>
      <c r="C51" s="55">
        <v>5953155.1299999999</v>
      </c>
      <c r="D51" s="55">
        <v>34633796.219999999</v>
      </c>
      <c r="E51" s="55"/>
      <c r="F51" s="55">
        <v>336364.68</v>
      </c>
      <c r="G51" s="55"/>
      <c r="H51" s="55"/>
      <c r="I51" s="55"/>
      <c r="J51" s="55">
        <v>3772951.33</v>
      </c>
      <c r="K51" s="55"/>
      <c r="L51" s="55">
        <v>336364.69</v>
      </c>
      <c r="M51" s="55"/>
      <c r="N51" s="55">
        <v>903979.67</v>
      </c>
    </row>
    <row r="52" spans="1:14">
      <c r="A52" t="s">
        <v>497</v>
      </c>
      <c r="B52" t="s">
        <v>498</v>
      </c>
      <c r="C52" s="55">
        <v>16492.12</v>
      </c>
      <c r="D52" s="55">
        <v>93814.14</v>
      </c>
      <c r="E52" s="55"/>
      <c r="F52" s="55"/>
      <c r="G52" s="55"/>
      <c r="H52" s="55"/>
      <c r="I52" s="55"/>
      <c r="J52" s="55"/>
      <c r="K52" s="55"/>
      <c r="L52" s="55"/>
      <c r="M52" s="55"/>
      <c r="N52" s="55"/>
    </row>
    <row r="53" spans="1:14">
      <c r="A53" t="s">
        <v>30</v>
      </c>
      <c r="B53" t="s">
        <v>31</v>
      </c>
      <c r="C53" s="55">
        <v>4519712.59</v>
      </c>
      <c r="D53" s="55">
        <v>38154486.829999998</v>
      </c>
      <c r="E53" s="55"/>
      <c r="F53" s="55">
        <v>8285.1200000000008</v>
      </c>
      <c r="G53" s="55"/>
      <c r="H53" s="55"/>
      <c r="I53" s="55"/>
      <c r="J53" s="55">
        <v>4981879.6100000003</v>
      </c>
      <c r="K53" s="55"/>
      <c r="L53" s="55"/>
      <c r="M53" s="55"/>
      <c r="N53" s="55"/>
    </row>
    <row r="54" spans="1:14">
      <c r="A54" t="s">
        <v>573</v>
      </c>
      <c r="B54" t="s">
        <v>574</v>
      </c>
      <c r="C54" s="55">
        <v>925380.54</v>
      </c>
      <c r="D54" s="55">
        <v>5790967.2699999996</v>
      </c>
      <c r="E54" s="55"/>
      <c r="F54" s="55"/>
      <c r="G54" s="55">
        <v>25353.96</v>
      </c>
      <c r="H54" s="55"/>
      <c r="I54" s="55"/>
      <c r="J54" s="55">
        <v>673680.52</v>
      </c>
      <c r="K54" s="55"/>
      <c r="L54" s="55"/>
      <c r="M54" s="55"/>
      <c r="N54" s="55"/>
    </row>
    <row r="55" spans="1:14">
      <c r="A55" t="s">
        <v>463</v>
      </c>
      <c r="B55" t="s">
        <v>464</v>
      </c>
      <c r="C55" s="55">
        <v>663208.62</v>
      </c>
      <c r="D55" s="55">
        <v>5114935.47</v>
      </c>
      <c r="E55" s="55"/>
      <c r="F55" s="55"/>
      <c r="G55" s="55"/>
      <c r="H55" s="55"/>
      <c r="I55" s="55"/>
      <c r="J55" s="55">
        <v>637928</v>
      </c>
      <c r="K55" s="55"/>
      <c r="L55" s="55"/>
      <c r="M55" s="55"/>
      <c r="N55" s="55"/>
    </row>
    <row r="56" spans="1:14">
      <c r="A56" t="s">
        <v>22</v>
      </c>
      <c r="B56" t="s">
        <v>24</v>
      </c>
      <c r="C56" s="55">
        <v>4718078.8600000003</v>
      </c>
      <c r="D56" s="55">
        <v>30269102.670000002</v>
      </c>
      <c r="E56" s="55"/>
      <c r="F56" s="55">
        <v>145732.54999999999</v>
      </c>
      <c r="G56" s="55"/>
      <c r="H56" s="55"/>
      <c r="I56" s="55"/>
      <c r="J56" s="55">
        <v>3840799.92</v>
      </c>
      <c r="K56" s="55"/>
      <c r="L56" s="55">
        <v>145732.57</v>
      </c>
      <c r="M56" s="55"/>
      <c r="N56" s="55"/>
    </row>
    <row r="57" spans="1:14">
      <c r="A57" t="s">
        <v>553</v>
      </c>
      <c r="B57" t="s">
        <v>554</v>
      </c>
      <c r="C57" s="55">
        <v>2597617.35</v>
      </c>
      <c r="D57" s="55">
        <v>19620146.359999999</v>
      </c>
      <c r="E57" s="55"/>
      <c r="F57" s="55">
        <v>1944.44</v>
      </c>
      <c r="G57" s="55"/>
      <c r="H57" s="55"/>
      <c r="I57" s="55"/>
      <c r="J57" s="55">
        <v>2045251.84</v>
      </c>
      <c r="K57" s="55"/>
      <c r="L57" s="55">
        <v>1944.44</v>
      </c>
      <c r="M57" s="55"/>
      <c r="N57" s="55"/>
    </row>
    <row r="58" spans="1:14">
      <c r="A58" t="s">
        <v>501</v>
      </c>
      <c r="B58" t="s">
        <v>502</v>
      </c>
      <c r="C58" s="55">
        <v>1773350.42</v>
      </c>
      <c r="D58" s="55">
        <v>14698000.48</v>
      </c>
      <c r="E58" s="55"/>
      <c r="F58" s="55"/>
      <c r="G58" s="55"/>
      <c r="H58" s="55"/>
      <c r="I58" s="55"/>
      <c r="J58" s="55">
        <v>1516937</v>
      </c>
      <c r="K58" s="55"/>
      <c r="L58" s="55">
        <v>33.6</v>
      </c>
      <c r="M58" s="55"/>
      <c r="N58" s="55"/>
    </row>
    <row r="59" spans="1:14">
      <c r="A59" t="s">
        <v>229</v>
      </c>
      <c r="B59" t="s">
        <v>230</v>
      </c>
      <c r="C59" s="55">
        <v>4288392.45</v>
      </c>
      <c r="D59" s="55">
        <v>30449251.84</v>
      </c>
      <c r="E59" s="55"/>
      <c r="F59" s="55"/>
      <c r="G59" s="55"/>
      <c r="H59" s="55"/>
      <c r="I59" s="55"/>
      <c r="J59" s="55">
        <v>4089905.82</v>
      </c>
      <c r="K59" s="55">
        <v>523163.63</v>
      </c>
      <c r="L59" s="55">
        <v>3693.47</v>
      </c>
      <c r="M59" s="55"/>
      <c r="N59" s="55"/>
    </row>
    <row r="60" spans="1:14">
      <c r="A60" t="s">
        <v>493</v>
      </c>
      <c r="B60" t="s">
        <v>494</v>
      </c>
      <c r="C60" s="55">
        <v>2806962.06</v>
      </c>
      <c r="D60" s="55">
        <v>20228413.050000001</v>
      </c>
      <c r="E60" s="55">
        <v>188471.25</v>
      </c>
      <c r="F60" s="55">
        <v>4950.57</v>
      </c>
      <c r="G60" s="55"/>
      <c r="H60" s="55"/>
      <c r="I60" s="55"/>
      <c r="J60" s="55">
        <v>2794853.69</v>
      </c>
      <c r="K60" s="55"/>
      <c r="L60" s="55">
        <v>6062.81</v>
      </c>
      <c r="M60" s="55"/>
      <c r="N60" s="55"/>
    </row>
    <row r="61" spans="1:14">
      <c r="A61" t="s">
        <v>263</v>
      </c>
      <c r="B61" t="s">
        <v>264</v>
      </c>
      <c r="C61" s="55">
        <v>6102503.1399999997</v>
      </c>
      <c r="D61" s="55">
        <v>47232631.530000001</v>
      </c>
      <c r="E61" s="55"/>
      <c r="F61" s="55"/>
      <c r="G61" s="55"/>
      <c r="H61" s="55"/>
      <c r="I61" s="55"/>
      <c r="J61" s="55">
        <v>6712728.4699999997</v>
      </c>
      <c r="K61" s="55"/>
      <c r="L61" s="55">
        <v>98999.57</v>
      </c>
      <c r="M61" s="55"/>
      <c r="N61" s="55"/>
    </row>
    <row r="62" spans="1:14">
      <c r="A62" t="s">
        <v>241</v>
      </c>
      <c r="B62" t="s">
        <v>242</v>
      </c>
      <c r="C62" s="55">
        <v>10108502.960000001</v>
      </c>
      <c r="D62" s="55">
        <v>57332635.960000001</v>
      </c>
      <c r="E62" s="55"/>
      <c r="F62" s="55">
        <v>7603.46</v>
      </c>
      <c r="G62" s="55"/>
      <c r="H62" s="55"/>
      <c r="I62" s="55"/>
      <c r="J62" s="55">
        <v>6436819.8899999997</v>
      </c>
      <c r="K62" s="55"/>
      <c r="L62" s="55">
        <v>7603.55</v>
      </c>
      <c r="M62" s="55"/>
      <c r="N62" s="55"/>
    </row>
    <row r="63" spans="1:14">
      <c r="A63" t="s">
        <v>359</v>
      </c>
      <c r="B63" t="s">
        <v>360</v>
      </c>
      <c r="C63" s="55">
        <v>6085511.4800000004</v>
      </c>
      <c r="D63" s="55">
        <v>52726718.420000002</v>
      </c>
      <c r="E63" s="55"/>
      <c r="F63" s="55">
        <v>151974.53</v>
      </c>
      <c r="G63" s="55"/>
      <c r="H63" s="55"/>
      <c r="I63" s="55"/>
      <c r="J63" s="55">
        <v>6015334.8899999997</v>
      </c>
      <c r="K63" s="55">
        <v>48605.38</v>
      </c>
      <c r="L63" s="55">
        <v>151184.60999999999</v>
      </c>
      <c r="M63" s="55"/>
      <c r="N63" s="55"/>
    </row>
    <row r="64" spans="1:14">
      <c r="A64" t="s">
        <v>539</v>
      </c>
      <c r="B64" t="s">
        <v>540</v>
      </c>
      <c r="C64" s="55">
        <v>55446.67</v>
      </c>
      <c r="D64" s="55">
        <v>393213.41</v>
      </c>
      <c r="E64" s="55"/>
      <c r="F64" s="55"/>
      <c r="G64" s="55"/>
      <c r="H64" s="55"/>
      <c r="I64" s="55"/>
      <c r="J64" s="55">
        <v>42357</v>
      </c>
      <c r="K64" s="55"/>
      <c r="L64" s="55"/>
      <c r="M64" s="55"/>
      <c r="N64" s="55"/>
    </row>
    <row r="65" spans="1:14">
      <c r="A65" t="s">
        <v>825</v>
      </c>
      <c r="B65" t="e">
        <v>#N/A</v>
      </c>
      <c r="C65" s="55">
        <v>153879.04000000001</v>
      </c>
      <c r="D65" s="55">
        <v>688796.89</v>
      </c>
      <c r="E65" s="55"/>
      <c r="F65" s="55"/>
      <c r="G65" s="55"/>
      <c r="H65" s="55"/>
      <c r="I65" s="55"/>
      <c r="J65" s="55"/>
      <c r="K65" s="55"/>
      <c r="L65" s="55"/>
      <c r="M65" s="55"/>
      <c r="N65" s="55"/>
    </row>
    <row r="66" spans="1:14">
      <c r="A66" t="s">
        <v>535</v>
      </c>
      <c r="B66" t="s">
        <v>536</v>
      </c>
      <c r="C66" s="55">
        <v>106148.43</v>
      </c>
      <c r="D66" s="55">
        <v>1341802.1299999999</v>
      </c>
      <c r="E66" s="55"/>
      <c r="F66" s="55"/>
      <c r="G66" s="55"/>
      <c r="H66" s="55"/>
      <c r="I66" s="55"/>
      <c r="J66" s="55">
        <v>161223</v>
      </c>
      <c r="K66" s="55"/>
      <c r="L66" s="55"/>
      <c r="M66" s="55"/>
      <c r="N66" s="55"/>
    </row>
    <row r="67" spans="1:14">
      <c r="A67" t="s">
        <v>443</v>
      </c>
      <c r="B67" t="s">
        <v>444</v>
      </c>
      <c r="C67" s="55">
        <v>25020.43</v>
      </c>
      <c r="D67" s="55">
        <v>311521.7</v>
      </c>
      <c r="E67" s="55"/>
      <c r="F67" s="55"/>
      <c r="G67" s="55"/>
      <c r="H67" s="55"/>
      <c r="I67" s="55"/>
      <c r="J67" s="55">
        <v>64310.98</v>
      </c>
      <c r="K67" s="55"/>
      <c r="L67" s="55"/>
      <c r="M67" s="55"/>
      <c r="N67" s="55"/>
    </row>
    <row r="68" spans="1:14">
      <c r="A68" t="s">
        <v>445</v>
      </c>
      <c r="B68" t="s">
        <v>446</v>
      </c>
      <c r="C68" s="55">
        <v>19645.05</v>
      </c>
      <c r="D68" s="55">
        <v>233248.1</v>
      </c>
      <c r="E68" s="55"/>
      <c r="F68" s="55"/>
      <c r="G68" s="55"/>
      <c r="H68" s="55"/>
      <c r="I68" s="55"/>
      <c r="J68" s="55">
        <v>96016</v>
      </c>
      <c r="K68" s="55"/>
      <c r="L68" s="55"/>
      <c r="M68" s="55"/>
      <c r="N68" s="55"/>
    </row>
    <row r="69" spans="1:14">
      <c r="A69" t="s">
        <v>219</v>
      </c>
      <c r="B69" t="s">
        <v>220</v>
      </c>
      <c r="C69" s="55">
        <v>82619.61</v>
      </c>
      <c r="D69" s="55">
        <v>1003876.08</v>
      </c>
      <c r="E69" s="55"/>
      <c r="F69" s="55"/>
      <c r="G69" s="55"/>
      <c r="H69" s="55"/>
      <c r="I69" s="55"/>
      <c r="J69" s="55">
        <v>89240</v>
      </c>
      <c r="K69" s="55"/>
      <c r="L69" s="55"/>
      <c r="M69" s="55"/>
      <c r="N69" s="55"/>
    </row>
    <row r="70" spans="1:14">
      <c r="A70" t="s">
        <v>221</v>
      </c>
      <c r="B70" t="s">
        <v>222</v>
      </c>
      <c r="C70" s="55">
        <v>37529.879999999997</v>
      </c>
      <c r="D70" s="55">
        <v>487274.8</v>
      </c>
      <c r="E70" s="55"/>
      <c r="F70" s="55"/>
      <c r="G70" s="55"/>
      <c r="H70" s="55"/>
      <c r="I70" s="55"/>
      <c r="J70" s="55">
        <v>52232</v>
      </c>
      <c r="K70" s="55"/>
      <c r="L70" s="55"/>
      <c r="M70" s="55"/>
      <c r="N70" s="55"/>
    </row>
    <row r="71" spans="1:14">
      <c r="A71" t="s">
        <v>623</v>
      </c>
      <c r="B71" t="s">
        <v>624</v>
      </c>
      <c r="C71" s="55">
        <v>24188.54</v>
      </c>
      <c r="D71" s="55">
        <v>221352.57</v>
      </c>
      <c r="E71" s="55"/>
      <c r="F71" s="55"/>
      <c r="G71" s="55"/>
      <c r="H71" s="55"/>
      <c r="I71" s="55"/>
      <c r="J71" s="55">
        <v>45543</v>
      </c>
      <c r="K71" s="55"/>
      <c r="L71" s="55"/>
      <c r="M71" s="55"/>
      <c r="N71" s="55"/>
    </row>
    <row r="72" spans="1:14">
      <c r="A72" t="s">
        <v>829</v>
      </c>
      <c r="B72" t="s">
        <v>1431</v>
      </c>
      <c r="C72" s="55">
        <v>24374.66</v>
      </c>
      <c r="D72" s="55">
        <v>399367.18</v>
      </c>
      <c r="E72" s="55"/>
      <c r="F72" s="55"/>
      <c r="G72" s="55"/>
      <c r="H72" s="55"/>
      <c r="I72" s="55"/>
      <c r="J72" s="55">
        <v>23376</v>
      </c>
      <c r="K72" s="55"/>
      <c r="L72" s="55"/>
      <c r="M72" s="55"/>
      <c r="N72" s="55"/>
    </row>
    <row r="73" spans="1:14">
      <c r="A73" t="s">
        <v>45</v>
      </c>
      <c r="B73" t="s">
        <v>47</v>
      </c>
      <c r="C73" s="55">
        <v>1973672.95</v>
      </c>
      <c r="D73" s="55">
        <v>11000137.189999999</v>
      </c>
      <c r="E73" s="55"/>
      <c r="F73" s="55"/>
      <c r="G73" s="55"/>
      <c r="H73" s="55">
        <v>3370</v>
      </c>
      <c r="I73" s="55"/>
      <c r="J73" s="55">
        <v>1245695.79</v>
      </c>
      <c r="K73" s="55"/>
      <c r="L73" s="55"/>
      <c r="M73" s="55"/>
      <c r="N73" s="55"/>
    </row>
    <row r="74" spans="1:14">
      <c r="A74" t="s">
        <v>25</v>
      </c>
      <c r="B74" t="s">
        <v>26</v>
      </c>
      <c r="C74" s="55">
        <v>834147.82</v>
      </c>
      <c r="D74" s="55">
        <v>7913028.6200000001</v>
      </c>
      <c r="E74" s="55"/>
      <c r="F74" s="55">
        <v>878.4</v>
      </c>
      <c r="G74" s="55"/>
      <c r="H74" s="55"/>
      <c r="I74" s="55"/>
      <c r="J74" s="55">
        <v>926022.71</v>
      </c>
      <c r="K74" s="55"/>
      <c r="L74" s="55"/>
      <c r="M74" s="55"/>
      <c r="N74" s="55"/>
    </row>
    <row r="75" spans="1:14">
      <c r="A75" t="s">
        <v>349</v>
      </c>
      <c r="B75" t="s">
        <v>350</v>
      </c>
      <c r="C75" s="55">
        <v>1348068.76</v>
      </c>
      <c r="D75" s="55">
        <v>11604441.73</v>
      </c>
      <c r="E75" s="55"/>
      <c r="F75" s="55">
        <v>25401.88</v>
      </c>
      <c r="G75" s="55"/>
      <c r="H75" s="55">
        <v>182908.79</v>
      </c>
      <c r="I75" s="55"/>
      <c r="J75" s="55">
        <v>1338296.3500000001</v>
      </c>
      <c r="K75" s="55"/>
      <c r="L75" s="55">
        <v>50448.61</v>
      </c>
      <c r="M75" s="55"/>
      <c r="N75" s="55"/>
    </row>
    <row r="76" spans="1:14">
      <c r="A76" t="s">
        <v>73</v>
      </c>
      <c r="B76" t="s">
        <v>74</v>
      </c>
      <c r="C76" s="55">
        <v>4536799.24</v>
      </c>
      <c r="D76" s="55">
        <v>26162845.530000001</v>
      </c>
      <c r="E76" s="55"/>
      <c r="F76" s="55"/>
      <c r="G76" s="55"/>
      <c r="H76" s="55">
        <v>736001.78</v>
      </c>
      <c r="I76" s="55"/>
      <c r="J76" s="55">
        <v>2880154.13</v>
      </c>
      <c r="K76" s="55"/>
      <c r="L76" s="55"/>
      <c r="M76" s="55"/>
      <c r="N76" s="55"/>
    </row>
    <row r="77" spans="1:14">
      <c r="A77" t="s">
        <v>507</v>
      </c>
      <c r="B77" t="s">
        <v>508</v>
      </c>
      <c r="C77" s="55">
        <v>4131025.42</v>
      </c>
      <c r="D77" s="55">
        <v>23492010.390000001</v>
      </c>
      <c r="E77" s="55"/>
      <c r="F77" s="55"/>
      <c r="G77" s="55"/>
      <c r="H77" s="55">
        <v>1238324.67</v>
      </c>
      <c r="I77" s="55">
        <v>111857.99</v>
      </c>
      <c r="J77" s="55">
        <v>2411097.79</v>
      </c>
      <c r="K77" s="55"/>
      <c r="L77" s="55"/>
      <c r="M77" s="55"/>
      <c r="N77" s="55"/>
    </row>
    <row r="78" spans="1:14">
      <c r="A78" t="s">
        <v>69</v>
      </c>
      <c r="B78" t="s">
        <v>70</v>
      </c>
      <c r="C78" s="55">
        <v>81443.539999999994</v>
      </c>
      <c r="D78" s="55">
        <v>1065496.74</v>
      </c>
      <c r="E78" s="55"/>
      <c r="F78" s="55"/>
      <c r="G78" s="55"/>
      <c r="H78" s="55"/>
      <c r="I78" s="55"/>
      <c r="J78" s="55">
        <v>87073.94</v>
      </c>
      <c r="K78" s="55"/>
      <c r="L78" s="55"/>
      <c r="M78" s="55"/>
      <c r="N78" s="55"/>
    </row>
    <row r="79" spans="1:14">
      <c r="A79" t="s">
        <v>123</v>
      </c>
      <c r="B79" t="s">
        <v>124</v>
      </c>
      <c r="C79" s="55">
        <v>5121.63</v>
      </c>
      <c r="D79" s="55">
        <v>76060.789999999994</v>
      </c>
      <c r="E79" s="55"/>
      <c r="F79" s="55"/>
      <c r="G79" s="55"/>
      <c r="H79" s="55"/>
      <c r="I79" s="55"/>
      <c r="J79" s="55"/>
      <c r="K79" s="55"/>
      <c r="L79" s="55"/>
      <c r="M79" s="55"/>
      <c r="N79" s="55"/>
    </row>
    <row r="80" spans="1:14">
      <c r="A80" t="s">
        <v>143</v>
      </c>
      <c r="B80" t="s">
        <v>144</v>
      </c>
      <c r="C80" s="55">
        <v>17706.689999999999</v>
      </c>
      <c r="D80" s="55">
        <v>184964.7</v>
      </c>
      <c r="E80" s="55"/>
      <c r="F80" s="55"/>
      <c r="G80" s="55"/>
      <c r="H80" s="55"/>
      <c r="I80" s="55"/>
      <c r="J80" s="55">
        <v>15610.1</v>
      </c>
      <c r="K80" s="55"/>
      <c r="L80" s="55"/>
      <c r="M80" s="55"/>
      <c r="N80" s="55"/>
    </row>
    <row r="81" spans="1:14">
      <c r="A81" t="s">
        <v>559</v>
      </c>
      <c r="B81" t="s">
        <v>560</v>
      </c>
      <c r="C81" s="55">
        <v>29269.3</v>
      </c>
      <c r="D81" s="55">
        <v>431711.22</v>
      </c>
      <c r="E81" s="55"/>
      <c r="F81" s="55"/>
      <c r="G81" s="55"/>
      <c r="H81" s="55"/>
      <c r="I81" s="55">
        <v>38192.17</v>
      </c>
      <c r="J81" s="55">
        <v>69002.81</v>
      </c>
      <c r="K81" s="55"/>
      <c r="L81" s="55"/>
      <c r="M81" s="55"/>
      <c r="N81" s="55"/>
    </row>
    <row r="82" spans="1:14">
      <c r="A82" t="s">
        <v>149</v>
      </c>
      <c r="B82" t="s">
        <v>150</v>
      </c>
      <c r="C82" s="55">
        <v>909740.55</v>
      </c>
      <c r="D82" s="55">
        <v>5448896.9000000004</v>
      </c>
      <c r="E82" s="55"/>
      <c r="F82" s="55"/>
      <c r="G82" s="55"/>
      <c r="H82" s="55"/>
      <c r="I82" s="55"/>
      <c r="J82" s="55">
        <v>721917.02</v>
      </c>
      <c r="K82" s="55"/>
      <c r="L82" s="55"/>
      <c r="M82" s="55"/>
      <c r="N82" s="55"/>
    </row>
    <row r="83" spans="1:14">
      <c r="A83" t="s">
        <v>247</v>
      </c>
      <c r="B83" t="s">
        <v>248</v>
      </c>
      <c r="C83" s="55">
        <v>132798.85999999999</v>
      </c>
      <c r="D83" s="55">
        <v>875237.95</v>
      </c>
      <c r="E83" s="55"/>
      <c r="F83" s="55"/>
      <c r="G83" s="55"/>
      <c r="H83" s="55"/>
      <c r="I83" s="55"/>
      <c r="J83" s="55">
        <v>187204.44</v>
      </c>
      <c r="K83" s="55">
        <v>35835.629999999997</v>
      </c>
      <c r="L83" s="55"/>
      <c r="M83" s="55"/>
      <c r="N83" s="55"/>
    </row>
    <row r="84" spans="1:14">
      <c r="A84" t="s">
        <v>89</v>
      </c>
      <c r="B84" t="s">
        <v>90</v>
      </c>
      <c r="C84" s="55">
        <v>217572.79</v>
      </c>
      <c r="D84" s="55">
        <v>1852615.7</v>
      </c>
      <c r="E84" s="55"/>
      <c r="F84" s="55">
        <v>174.69</v>
      </c>
      <c r="G84" s="55"/>
      <c r="H84" s="55"/>
      <c r="I84" s="55"/>
      <c r="J84" s="55">
        <v>233394</v>
      </c>
      <c r="K84" s="55"/>
      <c r="L84" s="55">
        <v>199.68</v>
      </c>
      <c r="M84" s="55"/>
      <c r="N84" s="55"/>
    </row>
    <row r="85" spans="1:14">
      <c r="A85" t="s">
        <v>635</v>
      </c>
      <c r="B85" t="s">
        <v>636</v>
      </c>
      <c r="C85" s="55">
        <v>27502.43</v>
      </c>
      <c r="D85" s="55">
        <v>214149.33</v>
      </c>
      <c r="E85" s="55"/>
      <c r="F85" s="55"/>
      <c r="G85" s="55"/>
      <c r="H85" s="55"/>
      <c r="I85" s="55"/>
      <c r="J85" s="55"/>
      <c r="K85" s="55"/>
      <c r="L85" s="55"/>
      <c r="M85" s="55"/>
      <c r="N85" s="55"/>
    </row>
    <row r="86" spans="1:14">
      <c r="A86" t="s">
        <v>38</v>
      </c>
      <c r="B86" t="s">
        <v>40</v>
      </c>
      <c r="C86" s="55">
        <v>22462.22</v>
      </c>
      <c r="D86" s="55">
        <v>169388.52</v>
      </c>
      <c r="E86" s="55"/>
      <c r="F86" s="55"/>
      <c r="G86" s="55"/>
      <c r="H86" s="55"/>
      <c r="I86" s="55"/>
      <c r="J86" s="55"/>
      <c r="K86" s="55"/>
      <c r="L86" s="55"/>
      <c r="M86" s="55"/>
      <c r="N86" s="55"/>
    </row>
    <row r="87" spans="1:14">
      <c r="A87" t="s">
        <v>71</v>
      </c>
      <c r="B87" t="s">
        <v>72</v>
      </c>
      <c r="C87" s="55">
        <v>15905.16</v>
      </c>
      <c r="D87" s="55">
        <v>119500.14</v>
      </c>
      <c r="E87" s="55"/>
      <c r="F87" s="55"/>
      <c r="G87" s="55"/>
      <c r="H87" s="55"/>
      <c r="I87" s="55"/>
      <c r="J87" s="55"/>
      <c r="K87" s="55"/>
      <c r="L87" s="55"/>
      <c r="M87" s="55"/>
      <c r="N87" s="55"/>
    </row>
    <row r="88" spans="1:14">
      <c r="A88" t="s">
        <v>571</v>
      </c>
      <c r="B88" t="s">
        <v>572</v>
      </c>
      <c r="C88" s="55">
        <v>28654.67</v>
      </c>
      <c r="D88" s="55">
        <v>214565.32</v>
      </c>
      <c r="E88" s="55"/>
      <c r="F88" s="55"/>
      <c r="G88" s="55"/>
      <c r="H88" s="55"/>
      <c r="I88" s="55"/>
      <c r="J88" s="55"/>
      <c r="K88" s="55"/>
      <c r="L88" s="55"/>
      <c r="M88" s="55"/>
      <c r="N88" s="55"/>
    </row>
    <row r="89" spans="1:14">
      <c r="A89" t="s">
        <v>185</v>
      </c>
      <c r="B89" t="s">
        <v>186</v>
      </c>
      <c r="C89" s="55">
        <v>16861.45</v>
      </c>
      <c r="D89" s="55">
        <v>126891.9</v>
      </c>
      <c r="E89" s="55"/>
      <c r="F89" s="55"/>
      <c r="G89" s="55"/>
      <c r="H89" s="55"/>
      <c r="I89" s="55"/>
      <c r="J89" s="55"/>
      <c r="K89" s="55"/>
      <c r="L89" s="55"/>
      <c r="M89" s="55"/>
      <c r="N89" s="55"/>
    </row>
    <row r="90" spans="1:14">
      <c r="A90" t="s">
        <v>249</v>
      </c>
      <c r="B90" t="s">
        <v>250</v>
      </c>
      <c r="C90" s="55">
        <v>8161.41</v>
      </c>
      <c r="D90" s="55">
        <v>88645.83</v>
      </c>
      <c r="E90" s="55"/>
      <c r="F90" s="55"/>
      <c r="G90" s="55"/>
      <c r="H90" s="55"/>
      <c r="I90" s="55"/>
      <c r="J90" s="55"/>
      <c r="K90" s="55"/>
      <c r="L90" s="55"/>
      <c r="M90" s="55"/>
      <c r="N90" s="55"/>
    </row>
    <row r="91" spans="1:14">
      <c r="A91" t="s">
        <v>467</v>
      </c>
      <c r="B91" t="s">
        <v>468</v>
      </c>
      <c r="C91" s="55">
        <v>2975.62</v>
      </c>
      <c r="D91" s="55">
        <v>21167.32</v>
      </c>
      <c r="E91" s="55"/>
      <c r="F91" s="55"/>
      <c r="G91" s="55"/>
      <c r="H91" s="55"/>
      <c r="I91" s="55"/>
      <c r="J91" s="55"/>
      <c r="K91" s="55"/>
      <c r="L91" s="55"/>
      <c r="M91" s="55"/>
      <c r="N91" s="55"/>
    </row>
    <row r="92" spans="1:14">
      <c r="A92" t="s">
        <v>187</v>
      </c>
      <c r="B92" t="s">
        <v>188</v>
      </c>
      <c r="C92" s="55">
        <v>853260.56</v>
      </c>
      <c r="D92" s="55">
        <v>5375165.1699999999</v>
      </c>
      <c r="E92" s="55"/>
      <c r="F92" s="55"/>
      <c r="G92" s="55"/>
      <c r="H92" s="55"/>
      <c r="I92" s="55"/>
      <c r="J92" s="55"/>
      <c r="K92" s="55"/>
      <c r="L92" s="55"/>
      <c r="M92" s="55"/>
      <c r="N92" s="55"/>
    </row>
    <row r="93" spans="1:14">
      <c r="A93" t="s">
        <v>621</v>
      </c>
      <c r="B93" t="s">
        <v>622</v>
      </c>
      <c r="C93" s="55">
        <v>259616.33</v>
      </c>
      <c r="D93" s="55">
        <v>1914211.14</v>
      </c>
      <c r="E93" s="55"/>
      <c r="F93" s="55"/>
      <c r="G93" s="55"/>
      <c r="H93" s="55"/>
      <c r="I93" s="55"/>
      <c r="J93" s="55"/>
      <c r="K93" s="55"/>
      <c r="L93" s="55"/>
      <c r="M93" s="55"/>
      <c r="N93" s="55"/>
    </row>
    <row r="94" spans="1:14">
      <c r="A94" t="s">
        <v>281</v>
      </c>
      <c r="B94" t="s">
        <v>282</v>
      </c>
      <c r="C94" s="55">
        <v>43016.05</v>
      </c>
      <c r="D94" s="55">
        <v>319211.93</v>
      </c>
      <c r="E94" s="55"/>
      <c r="F94" s="55"/>
      <c r="G94" s="55"/>
      <c r="H94" s="55"/>
      <c r="I94" s="55"/>
      <c r="J94" s="55"/>
      <c r="K94" s="55"/>
      <c r="L94" s="55"/>
      <c r="M94" s="55"/>
      <c r="N94" s="55"/>
    </row>
    <row r="95" spans="1:14">
      <c r="A95" t="s">
        <v>333</v>
      </c>
      <c r="B95" t="s">
        <v>334</v>
      </c>
      <c r="C95" s="55">
        <v>138038.85</v>
      </c>
      <c r="D95" s="55">
        <v>1594963.1</v>
      </c>
      <c r="E95" s="55"/>
      <c r="F95" s="55"/>
      <c r="G95" s="55"/>
      <c r="H95" s="55"/>
      <c r="I95" s="55"/>
      <c r="J95" s="55">
        <v>203806.62</v>
      </c>
      <c r="K95" s="55"/>
      <c r="L95" s="55"/>
      <c r="M95" s="55"/>
      <c r="N95" s="55"/>
    </row>
    <row r="96" spans="1:14">
      <c r="A96" t="s">
        <v>163</v>
      </c>
      <c r="B96" t="s">
        <v>164</v>
      </c>
      <c r="C96" s="55">
        <v>3241.75</v>
      </c>
      <c r="D96" s="55">
        <v>61021.25</v>
      </c>
      <c r="E96" s="55"/>
      <c r="F96" s="55"/>
      <c r="G96" s="55"/>
      <c r="H96" s="55"/>
      <c r="I96" s="55"/>
      <c r="J96" s="55">
        <v>11338</v>
      </c>
      <c r="K96" s="55"/>
      <c r="L96" s="55"/>
      <c r="M96" s="55"/>
      <c r="N96" s="55"/>
    </row>
    <row r="97" spans="1:14">
      <c r="A97" t="s">
        <v>319</v>
      </c>
      <c r="B97" t="s">
        <v>320</v>
      </c>
      <c r="C97" s="55">
        <v>281392.40999999997</v>
      </c>
      <c r="D97" s="55">
        <v>1174143.25</v>
      </c>
      <c r="E97" s="55"/>
      <c r="F97" s="55"/>
      <c r="G97" s="55"/>
      <c r="H97" s="55"/>
      <c r="I97" s="55"/>
      <c r="J97" s="55">
        <v>177481.81</v>
      </c>
      <c r="K97" s="55"/>
      <c r="L97" s="55"/>
      <c r="M97" s="55"/>
      <c r="N97" s="55"/>
    </row>
    <row r="98" spans="1:14">
      <c r="A98" t="s">
        <v>315</v>
      </c>
      <c r="B98" t="s">
        <v>316</v>
      </c>
      <c r="C98" s="55">
        <v>161812.94</v>
      </c>
      <c r="D98" s="55">
        <v>900393.88</v>
      </c>
      <c r="E98" s="55"/>
      <c r="F98" s="55"/>
      <c r="G98" s="55"/>
      <c r="H98" s="55"/>
      <c r="I98" s="55"/>
      <c r="J98" s="55">
        <v>141421.88</v>
      </c>
      <c r="K98" s="55"/>
      <c r="L98" s="55"/>
      <c r="M98" s="55"/>
      <c r="N98" s="55">
        <v>42000</v>
      </c>
    </row>
    <row r="99" spans="1:14">
      <c r="A99" t="s">
        <v>9</v>
      </c>
      <c r="B99" t="s">
        <v>10</v>
      </c>
      <c r="C99" s="55">
        <v>104485.09</v>
      </c>
      <c r="D99" s="55">
        <v>842521.75</v>
      </c>
      <c r="E99" s="55"/>
      <c r="F99" s="55"/>
      <c r="G99" s="55"/>
      <c r="H99" s="55"/>
      <c r="I99" s="55"/>
      <c r="J99" s="55">
        <v>134682</v>
      </c>
      <c r="K99" s="55"/>
      <c r="L99" s="55">
        <v>406.03</v>
      </c>
      <c r="M99" s="55"/>
      <c r="N99" s="55">
        <v>1205080.77</v>
      </c>
    </row>
    <row r="100" spans="1:14">
      <c r="A100" t="s">
        <v>631</v>
      </c>
      <c r="B100" t="s">
        <v>632</v>
      </c>
      <c r="C100" s="55">
        <v>196976.78</v>
      </c>
      <c r="D100" s="55">
        <v>1625471.57</v>
      </c>
      <c r="E100" s="55"/>
      <c r="F100" s="55">
        <v>1232.49</v>
      </c>
      <c r="G100" s="55"/>
      <c r="H100" s="55"/>
      <c r="I100" s="55"/>
      <c r="J100" s="55">
        <v>230232.57</v>
      </c>
      <c r="K100" s="55"/>
      <c r="L100" s="55">
        <v>1581.4</v>
      </c>
      <c r="M100" s="55"/>
      <c r="N100" s="55">
        <v>3463505.47</v>
      </c>
    </row>
    <row r="101" spans="1:14">
      <c r="A101" t="s">
        <v>43</v>
      </c>
      <c r="B101" t="s">
        <v>44</v>
      </c>
      <c r="C101" s="55">
        <v>57794.37</v>
      </c>
      <c r="D101" s="55">
        <v>675655.03</v>
      </c>
      <c r="E101" s="55"/>
      <c r="F101" s="55"/>
      <c r="G101" s="55"/>
      <c r="H101" s="55"/>
      <c r="I101" s="55"/>
      <c r="J101" s="55">
        <v>64361.96</v>
      </c>
      <c r="K101" s="55"/>
      <c r="L101" s="55"/>
      <c r="M101" s="55"/>
      <c r="N101" s="55"/>
    </row>
    <row r="102" spans="1:14">
      <c r="A102" t="s">
        <v>561</v>
      </c>
      <c r="B102" t="s">
        <v>562</v>
      </c>
      <c r="C102" s="55">
        <v>374903.81</v>
      </c>
      <c r="D102" s="55">
        <v>1737535.48</v>
      </c>
      <c r="E102" s="55"/>
      <c r="F102" s="55">
        <v>72.900000000000006</v>
      </c>
      <c r="G102" s="55"/>
      <c r="H102" s="55"/>
      <c r="I102" s="55"/>
      <c r="J102" s="55">
        <v>225219</v>
      </c>
      <c r="K102" s="55"/>
      <c r="L102" s="55">
        <v>49.9</v>
      </c>
      <c r="M102" s="55"/>
      <c r="N102" s="55">
        <v>272946.82</v>
      </c>
    </row>
    <row r="103" spans="1:14">
      <c r="A103" t="s">
        <v>379</v>
      </c>
      <c r="B103" t="s">
        <v>380</v>
      </c>
      <c r="C103" s="55">
        <v>333597.21000000002</v>
      </c>
      <c r="D103" s="55">
        <v>1858255.85</v>
      </c>
      <c r="E103" s="55"/>
      <c r="F103" s="55">
        <v>437.51</v>
      </c>
      <c r="G103" s="55"/>
      <c r="H103" s="55"/>
      <c r="I103" s="55">
        <v>1522.55</v>
      </c>
      <c r="J103" s="55">
        <v>239898.39</v>
      </c>
      <c r="K103" s="55"/>
      <c r="L103" s="55"/>
      <c r="M103" s="55"/>
      <c r="N103" s="55"/>
    </row>
    <row r="104" spans="1:14">
      <c r="A104" t="s">
        <v>407</v>
      </c>
      <c r="B104" t="s">
        <v>408</v>
      </c>
      <c r="C104" s="55">
        <v>93326.32</v>
      </c>
      <c r="D104" s="55">
        <v>673616.05</v>
      </c>
      <c r="E104" s="55"/>
      <c r="F104" s="55"/>
      <c r="G104" s="55"/>
      <c r="H104" s="55"/>
      <c r="I104" s="55"/>
      <c r="J104" s="55">
        <v>76185</v>
      </c>
      <c r="K104" s="55"/>
      <c r="L104" s="55"/>
      <c r="M104" s="55"/>
      <c r="N104" s="55"/>
    </row>
    <row r="105" spans="1:14">
      <c r="A105" t="s">
        <v>79</v>
      </c>
      <c r="B105" t="s">
        <v>80</v>
      </c>
      <c r="C105" s="55">
        <v>910618.06</v>
      </c>
      <c r="D105" s="55">
        <v>5315412.12</v>
      </c>
      <c r="E105" s="55"/>
      <c r="F105" s="55">
        <v>48497.4</v>
      </c>
      <c r="G105" s="55"/>
      <c r="H105" s="55"/>
      <c r="I105" s="55"/>
      <c r="J105" s="55">
        <v>727983</v>
      </c>
      <c r="K105" s="55">
        <v>767504.71</v>
      </c>
      <c r="L105" s="55">
        <v>48497.41</v>
      </c>
      <c r="M105" s="55"/>
      <c r="N105" s="55">
        <v>652454.46</v>
      </c>
    </row>
    <row r="106" spans="1:14">
      <c r="A106" t="s">
        <v>617</v>
      </c>
      <c r="B106" t="s">
        <v>618</v>
      </c>
      <c r="C106" s="55">
        <v>95879.73</v>
      </c>
      <c r="D106" s="55">
        <v>709491.62</v>
      </c>
      <c r="E106" s="55"/>
      <c r="F106" s="55"/>
      <c r="G106" s="55"/>
      <c r="H106" s="55"/>
      <c r="I106" s="55"/>
      <c r="J106" s="55">
        <v>182381.75</v>
      </c>
      <c r="K106" s="55"/>
      <c r="L106" s="55"/>
      <c r="M106" s="55"/>
      <c r="N106" s="55"/>
    </row>
    <row r="107" spans="1:14">
      <c r="A107" t="s">
        <v>77</v>
      </c>
      <c r="B107" t="s">
        <v>78</v>
      </c>
      <c r="C107" s="55">
        <v>1223283.28</v>
      </c>
      <c r="D107" s="55">
        <v>7247493.29</v>
      </c>
      <c r="E107" s="55"/>
      <c r="F107" s="55">
        <v>10246.66</v>
      </c>
      <c r="G107" s="55"/>
      <c r="H107" s="55"/>
      <c r="I107" s="55"/>
      <c r="J107" s="55">
        <v>961873.98</v>
      </c>
      <c r="K107" s="55"/>
      <c r="L107" s="55">
        <v>32315.040000000001</v>
      </c>
      <c r="M107" s="55"/>
      <c r="N107" s="55"/>
    </row>
    <row r="108" spans="1:14">
      <c r="A108" t="s">
        <v>517</v>
      </c>
      <c r="B108" t="s">
        <v>518</v>
      </c>
      <c r="C108" s="55">
        <v>18691.27</v>
      </c>
      <c r="D108" s="55">
        <v>100711.49</v>
      </c>
      <c r="E108" s="55"/>
      <c r="F108" s="55"/>
      <c r="G108" s="55"/>
      <c r="H108" s="55"/>
      <c r="I108" s="55"/>
      <c r="J108" s="55">
        <v>20983</v>
      </c>
      <c r="K108" s="55"/>
      <c r="L108" s="55"/>
      <c r="M108" s="55"/>
      <c r="N108" s="55"/>
    </row>
    <row r="109" spans="1:14">
      <c r="A109" t="s">
        <v>449</v>
      </c>
      <c r="B109" t="s">
        <v>450</v>
      </c>
      <c r="C109" s="55">
        <v>165390.20000000001</v>
      </c>
      <c r="D109" s="55">
        <v>894213.13</v>
      </c>
      <c r="E109" s="55"/>
      <c r="F109" s="55"/>
      <c r="G109" s="55"/>
      <c r="H109" s="55"/>
      <c r="I109" s="55"/>
      <c r="J109" s="55">
        <v>179440.34</v>
      </c>
      <c r="K109" s="55"/>
      <c r="L109" s="55"/>
      <c r="M109" s="55"/>
      <c r="N109" s="55"/>
    </row>
    <row r="110" spans="1:14">
      <c r="A110" t="s">
        <v>11</v>
      </c>
      <c r="B110" t="s">
        <v>13</v>
      </c>
      <c r="C110" s="55">
        <v>15418.72</v>
      </c>
      <c r="D110" s="55">
        <v>132520.01999999999</v>
      </c>
      <c r="E110" s="55"/>
      <c r="F110" s="55"/>
      <c r="G110" s="55"/>
      <c r="H110" s="55"/>
      <c r="I110" s="55"/>
      <c r="J110" s="55">
        <v>23336.99</v>
      </c>
      <c r="K110" s="55"/>
      <c r="L110" s="55"/>
      <c r="M110" s="55"/>
      <c r="N110" s="55">
        <v>7749.69</v>
      </c>
    </row>
    <row r="111" spans="1:14">
      <c r="A111" t="s">
        <v>117</v>
      </c>
      <c r="B111" t="s">
        <v>118</v>
      </c>
      <c r="C111" s="55">
        <v>19788.23</v>
      </c>
      <c r="D111" s="55">
        <v>131670.28</v>
      </c>
      <c r="E111" s="55"/>
      <c r="F111" s="55"/>
      <c r="G111" s="55"/>
      <c r="H111" s="55"/>
      <c r="I111" s="55"/>
      <c r="J111" s="55">
        <v>21194</v>
      </c>
      <c r="K111" s="55"/>
      <c r="L111" s="55"/>
      <c r="M111" s="55"/>
      <c r="N111" s="55"/>
    </row>
    <row r="112" spans="1:14">
      <c r="A112" t="s">
        <v>371</v>
      </c>
      <c r="B112" t="s">
        <v>372</v>
      </c>
      <c r="C112" s="55">
        <v>73661.97</v>
      </c>
      <c r="D112" s="55">
        <v>395715.96</v>
      </c>
      <c r="E112" s="55"/>
      <c r="F112" s="55"/>
      <c r="G112" s="55"/>
      <c r="H112" s="55"/>
      <c r="I112" s="55"/>
      <c r="J112" s="55">
        <v>55878</v>
      </c>
      <c r="K112" s="55"/>
      <c r="L112" s="55"/>
      <c r="M112" s="55"/>
      <c r="N112" s="55"/>
    </row>
    <row r="113" spans="1:14">
      <c r="A113" t="s">
        <v>625</v>
      </c>
      <c r="B113" t="s">
        <v>626</v>
      </c>
      <c r="C113" s="55">
        <v>57416.9</v>
      </c>
      <c r="D113" s="55">
        <v>407564.74</v>
      </c>
      <c r="E113" s="55"/>
      <c r="F113" s="55"/>
      <c r="G113" s="55"/>
      <c r="H113" s="55"/>
      <c r="I113" s="55"/>
      <c r="J113" s="55">
        <v>52457</v>
      </c>
      <c r="K113" s="55"/>
      <c r="L113" s="55"/>
      <c r="M113" s="55"/>
      <c r="N113" s="55"/>
    </row>
    <row r="114" spans="1:14">
      <c r="A114" t="s">
        <v>205</v>
      </c>
      <c r="B114" t="s">
        <v>206</v>
      </c>
      <c r="C114" s="55">
        <v>25741.65</v>
      </c>
      <c r="D114" s="55">
        <v>230601.48</v>
      </c>
      <c r="E114" s="55"/>
      <c r="F114" s="55"/>
      <c r="G114" s="55"/>
      <c r="H114" s="55"/>
      <c r="I114" s="55"/>
      <c r="J114" s="55">
        <v>30092.77</v>
      </c>
      <c r="K114" s="55"/>
      <c r="L114" s="55"/>
      <c r="M114" s="55"/>
      <c r="N114" s="55"/>
    </row>
    <row r="115" spans="1:14">
      <c r="A115" t="s">
        <v>127</v>
      </c>
      <c r="B115" t="s">
        <v>128</v>
      </c>
      <c r="C115" s="55">
        <v>122302.84</v>
      </c>
      <c r="D115" s="55">
        <v>1091612.8999999999</v>
      </c>
      <c r="E115" s="55"/>
      <c r="F115" s="55"/>
      <c r="G115" s="55"/>
      <c r="H115" s="55"/>
      <c r="I115" s="55"/>
      <c r="J115" s="55">
        <v>123236</v>
      </c>
      <c r="K115" s="55"/>
      <c r="L115" s="55"/>
      <c r="M115" s="55"/>
      <c r="N115" s="55"/>
    </row>
    <row r="116" spans="1:14">
      <c r="A116" t="s">
        <v>511</v>
      </c>
      <c r="B116" t="s">
        <v>512</v>
      </c>
      <c r="C116" s="55">
        <v>44933.79</v>
      </c>
      <c r="D116" s="55">
        <v>496566.17</v>
      </c>
      <c r="E116" s="55"/>
      <c r="F116" s="55"/>
      <c r="G116" s="55"/>
      <c r="H116" s="55"/>
      <c r="I116" s="55"/>
      <c r="J116" s="55">
        <v>52693.71</v>
      </c>
      <c r="K116" s="55"/>
      <c r="L116" s="55"/>
      <c r="M116" s="55"/>
      <c r="N116" s="55"/>
    </row>
    <row r="117" spans="1:14">
      <c r="A117" t="s">
        <v>197</v>
      </c>
      <c r="B117" t="s">
        <v>198</v>
      </c>
      <c r="C117" s="55">
        <v>26026.240000000002</v>
      </c>
      <c r="D117" s="55">
        <v>434302.18</v>
      </c>
      <c r="E117" s="55"/>
      <c r="F117" s="55"/>
      <c r="G117" s="55"/>
      <c r="H117" s="55"/>
      <c r="I117" s="55"/>
      <c r="J117" s="55">
        <v>42249.97</v>
      </c>
      <c r="K117" s="55"/>
      <c r="L117" s="55"/>
      <c r="M117" s="55"/>
      <c r="N117" s="55"/>
    </row>
    <row r="118" spans="1:14">
      <c r="A118" t="s">
        <v>491</v>
      </c>
      <c r="B118" t="s">
        <v>492</v>
      </c>
      <c r="C118" s="55">
        <v>1069054.3400000001</v>
      </c>
      <c r="D118" s="55">
        <v>9132665.3399999999</v>
      </c>
      <c r="E118" s="55"/>
      <c r="F118" s="55">
        <v>89109.75</v>
      </c>
      <c r="G118" s="55"/>
      <c r="H118" s="55"/>
      <c r="I118" s="55"/>
      <c r="J118" s="55">
        <v>1024584.48</v>
      </c>
      <c r="K118" s="55"/>
      <c r="L118" s="55">
        <v>64340.07</v>
      </c>
      <c r="M118" s="55"/>
      <c r="N118" s="55">
        <v>318825.28000000003</v>
      </c>
    </row>
    <row r="119" spans="1:14">
      <c r="A119" t="s">
        <v>291</v>
      </c>
      <c r="B119" t="s">
        <v>292</v>
      </c>
      <c r="C119" s="55">
        <v>221002.1</v>
      </c>
      <c r="D119" s="55">
        <v>1285256.52</v>
      </c>
      <c r="E119" s="55"/>
      <c r="F119" s="55"/>
      <c r="G119" s="55"/>
      <c r="H119" s="55"/>
      <c r="I119" s="55"/>
      <c r="J119" s="55">
        <v>136544.03</v>
      </c>
      <c r="K119" s="55"/>
      <c r="L119" s="55"/>
      <c r="M119" s="55"/>
      <c r="N119" s="55"/>
    </row>
    <row r="120" spans="1:14">
      <c r="A120" t="s">
        <v>413</v>
      </c>
      <c r="B120" t="s">
        <v>414</v>
      </c>
      <c r="C120" s="55">
        <v>243368.14</v>
      </c>
      <c r="D120" s="55">
        <v>1560242.92</v>
      </c>
      <c r="E120" s="55"/>
      <c r="F120" s="55">
        <v>487.6</v>
      </c>
      <c r="G120" s="55"/>
      <c r="H120" s="55"/>
      <c r="I120" s="55"/>
      <c r="J120" s="55">
        <v>133292.24</v>
      </c>
      <c r="K120" s="55"/>
      <c r="L120" s="55"/>
      <c r="M120" s="55"/>
      <c r="N120" s="55"/>
    </row>
    <row r="121" spans="1:14">
      <c r="A121" t="s">
        <v>351</v>
      </c>
      <c r="B121" t="s">
        <v>352</v>
      </c>
      <c r="C121" s="55">
        <v>544269.1</v>
      </c>
      <c r="D121" s="55">
        <v>4332811.32</v>
      </c>
      <c r="E121" s="55"/>
      <c r="F121" s="55">
        <v>36401.440000000002</v>
      </c>
      <c r="G121" s="55"/>
      <c r="H121" s="55">
        <v>6291</v>
      </c>
      <c r="I121" s="55"/>
      <c r="J121" s="55">
        <v>550198.55000000005</v>
      </c>
      <c r="K121" s="55"/>
      <c r="L121" s="55">
        <v>36401.42</v>
      </c>
      <c r="M121" s="55"/>
      <c r="N121" s="55">
        <v>86518.82</v>
      </c>
    </row>
    <row r="122" spans="1:14">
      <c r="A122" t="s">
        <v>213</v>
      </c>
      <c r="B122" t="s">
        <v>214</v>
      </c>
      <c r="C122" s="55">
        <v>58320.32</v>
      </c>
      <c r="D122" s="55">
        <v>742055.32</v>
      </c>
      <c r="E122" s="55"/>
      <c r="F122" s="55"/>
      <c r="G122" s="55"/>
      <c r="H122" s="55">
        <v>25165</v>
      </c>
      <c r="I122" s="55"/>
      <c r="J122" s="55">
        <v>108612.94</v>
      </c>
      <c r="K122" s="55"/>
      <c r="L122" s="55"/>
      <c r="M122" s="55"/>
      <c r="N122" s="55"/>
    </row>
    <row r="123" spans="1:14">
      <c r="A123" t="s">
        <v>337</v>
      </c>
      <c r="B123" t="s">
        <v>338</v>
      </c>
      <c r="C123" s="55">
        <v>43307.94</v>
      </c>
      <c r="D123" s="55">
        <v>390645.53</v>
      </c>
      <c r="E123" s="55"/>
      <c r="F123" s="55"/>
      <c r="G123" s="55"/>
      <c r="H123" s="55">
        <v>46899</v>
      </c>
      <c r="I123" s="55"/>
      <c r="J123" s="55">
        <v>80016.23</v>
      </c>
      <c r="K123" s="55"/>
      <c r="L123" s="55"/>
      <c r="M123" s="55"/>
      <c r="N123" s="55"/>
    </row>
    <row r="124" spans="1:14">
      <c r="A124" t="s">
        <v>377</v>
      </c>
      <c r="B124" t="s">
        <v>378</v>
      </c>
      <c r="C124" s="55">
        <v>1599120.62</v>
      </c>
      <c r="D124" s="55">
        <v>10407972.75</v>
      </c>
      <c r="E124" s="55"/>
      <c r="F124" s="55">
        <v>37138.74</v>
      </c>
      <c r="G124" s="55"/>
      <c r="H124" s="55"/>
      <c r="I124" s="55"/>
      <c r="J124" s="55">
        <v>1146643.97</v>
      </c>
      <c r="K124" s="55"/>
      <c r="L124" s="55">
        <v>47623.32</v>
      </c>
      <c r="M124" s="55"/>
      <c r="N124" s="55"/>
    </row>
    <row r="125" spans="1:14">
      <c r="A125" t="s">
        <v>373</v>
      </c>
      <c r="B125" t="s">
        <v>374</v>
      </c>
      <c r="C125" s="55">
        <v>213656.71</v>
      </c>
      <c r="D125" s="55">
        <v>1846089.24</v>
      </c>
      <c r="E125" s="55"/>
      <c r="F125" s="55"/>
      <c r="G125" s="55"/>
      <c r="H125" s="55"/>
      <c r="I125" s="55"/>
      <c r="J125" s="55">
        <v>254780</v>
      </c>
      <c r="K125" s="55"/>
      <c r="L125" s="55">
        <v>42906.46</v>
      </c>
      <c r="M125" s="55"/>
      <c r="N125" s="55"/>
    </row>
    <row r="126" spans="1:14">
      <c r="A126" t="s">
        <v>48</v>
      </c>
      <c r="B126" t="s">
        <v>50</v>
      </c>
      <c r="C126" s="55">
        <v>210054.23</v>
      </c>
      <c r="D126" s="55">
        <v>1371902.6</v>
      </c>
      <c r="E126" s="55"/>
      <c r="F126" s="55"/>
      <c r="G126" s="55"/>
      <c r="H126" s="55"/>
      <c r="I126" s="55"/>
      <c r="J126" s="55">
        <v>259854.04</v>
      </c>
      <c r="K126" s="55"/>
      <c r="L126" s="55"/>
      <c r="M126" s="55"/>
      <c r="N126" s="55"/>
    </row>
    <row r="127" spans="1:14">
      <c r="A127" t="s">
        <v>403</v>
      </c>
      <c r="B127" t="s">
        <v>404</v>
      </c>
      <c r="C127" s="55">
        <v>77650.64</v>
      </c>
      <c r="D127" s="55">
        <v>434078.53</v>
      </c>
      <c r="E127" s="55"/>
      <c r="F127" s="55"/>
      <c r="G127" s="55"/>
      <c r="H127" s="55"/>
      <c r="I127" s="55"/>
      <c r="J127" s="55">
        <v>50805</v>
      </c>
      <c r="K127" s="55"/>
      <c r="L127" s="55"/>
      <c r="M127" s="55"/>
      <c r="N127" s="55"/>
    </row>
    <row r="128" spans="1:14">
      <c r="A128" t="s">
        <v>307</v>
      </c>
      <c r="B128" t="s">
        <v>308</v>
      </c>
      <c r="C128" s="55">
        <v>149160.1</v>
      </c>
      <c r="D128" s="55">
        <v>1125202.43</v>
      </c>
      <c r="E128" s="55"/>
      <c r="F128" s="55"/>
      <c r="G128" s="55"/>
      <c r="H128" s="55"/>
      <c r="I128" s="55"/>
      <c r="J128" s="55"/>
      <c r="K128" s="55"/>
      <c r="L128" s="55"/>
      <c r="M128" s="55"/>
      <c r="N128" s="55"/>
    </row>
    <row r="129" spans="1:14">
      <c r="A129" t="s">
        <v>563</v>
      </c>
      <c r="B129" t="s">
        <v>564</v>
      </c>
      <c r="C129" s="55">
        <v>176037.69</v>
      </c>
      <c r="D129" s="55">
        <v>1560269.59</v>
      </c>
      <c r="E129" s="55"/>
      <c r="F129" s="55"/>
      <c r="G129" s="55"/>
      <c r="H129" s="55"/>
      <c r="I129" s="55"/>
      <c r="J129" s="55">
        <v>287991.53999999998</v>
      </c>
      <c r="K129" s="55"/>
      <c r="L129" s="55"/>
      <c r="M129" s="55"/>
      <c r="N129" s="55"/>
    </row>
    <row r="130" spans="1:14">
      <c r="A130" t="s">
        <v>391</v>
      </c>
      <c r="B130" t="s">
        <v>392</v>
      </c>
      <c r="C130" s="55">
        <v>103448.68</v>
      </c>
      <c r="D130" s="55">
        <v>920186.3</v>
      </c>
      <c r="E130" s="55"/>
      <c r="F130" s="55"/>
      <c r="G130" s="55"/>
      <c r="H130" s="55"/>
      <c r="I130" s="55"/>
      <c r="J130" s="55">
        <v>196697</v>
      </c>
      <c r="K130" s="55"/>
      <c r="L130" s="55">
        <v>18197.61</v>
      </c>
      <c r="M130" s="55"/>
      <c r="N130" s="55"/>
    </row>
    <row r="131" spans="1:14">
      <c r="A131" t="s">
        <v>864</v>
      </c>
      <c r="B131" t="e">
        <v>#N/A</v>
      </c>
      <c r="C131" s="55">
        <v>56933.1</v>
      </c>
      <c r="D131" s="55">
        <v>316627.49</v>
      </c>
      <c r="E131" s="55"/>
      <c r="F131" s="55"/>
      <c r="G131" s="55"/>
      <c r="H131" s="55"/>
      <c r="I131" s="55"/>
      <c r="J131" s="55"/>
      <c r="K131" s="55"/>
      <c r="L131" s="55"/>
      <c r="M131" s="55"/>
      <c r="N131" s="55"/>
    </row>
    <row r="132" spans="1:14">
      <c r="A132" t="s">
        <v>367</v>
      </c>
      <c r="B132" t="s">
        <v>368</v>
      </c>
      <c r="C132" s="55">
        <v>366569.06</v>
      </c>
      <c r="D132" s="55">
        <v>2725551.38</v>
      </c>
      <c r="E132" s="55"/>
      <c r="F132" s="55"/>
      <c r="G132" s="55"/>
      <c r="H132" s="55"/>
      <c r="I132" s="55"/>
      <c r="J132" s="55">
        <v>5179.51</v>
      </c>
      <c r="K132" s="55"/>
      <c r="L132" s="55"/>
      <c r="M132" s="55"/>
      <c r="N132" s="55"/>
    </row>
    <row r="133" spans="1:14">
      <c r="A133" t="s">
        <v>447</v>
      </c>
      <c r="B133" t="s">
        <v>448</v>
      </c>
      <c r="C133" s="55">
        <v>121217.73</v>
      </c>
      <c r="D133" s="55">
        <v>780954.01</v>
      </c>
      <c r="E133" s="55"/>
      <c r="F133" s="55"/>
      <c r="G133" s="55"/>
      <c r="H133" s="55"/>
      <c r="I133" s="55"/>
      <c r="J133" s="55">
        <v>137577.9</v>
      </c>
      <c r="K133" s="55"/>
      <c r="L133" s="55"/>
      <c r="M133" s="55"/>
      <c r="N133" s="55"/>
    </row>
    <row r="134" spans="1:14">
      <c r="A134" t="s">
        <v>505</v>
      </c>
      <c r="B134" t="s">
        <v>506</v>
      </c>
      <c r="C134" s="55">
        <v>429569.76</v>
      </c>
      <c r="D134" s="55">
        <v>1896567.33</v>
      </c>
      <c r="E134" s="55"/>
      <c r="F134" s="55">
        <v>2919.31</v>
      </c>
      <c r="G134" s="55"/>
      <c r="H134" s="55"/>
      <c r="I134" s="55"/>
      <c r="J134" s="55">
        <v>157244.19</v>
      </c>
      <c r="K134" s="55"/>
      <c r="L134" s="55">
        <v>2919.33</v>
      </c>
      <c r="M134" s="55"/>
      <c r="N134" s="55"/>
    </row>
    <row r="135" spans="1:14">
      <c r="A135" t="s">
        <v>335</v>
      </c>
      <c r="B135" t="s">
        <v>336</v>
      </c>
      <c r="C135" s="55">
        <v>65793.83</v>
      </c>
      <c r="D135" s="55">
        <v>464273.39</v>
      </c>
      <c r="E135" s="55"/>
      <c r="F135" s="55"/>
      <c r="G135" s="55"/>
      <c r="H135" s="55"/>
      <c r="I135" s="55"/>
      <c r="J135" s="55"/>
      <c r="K135" s="55"/>
      <c r="L135" s="55"/>
      <c r="M135" s="55"/>
      <c r="N135" s="55"/>
    </row>
    <row r="136" spans="1:14">
      <c r="A136" t="s">
        <v>627</v>
      </c>
      <c r="B136" t="s">
        <v>628</v>
      </c>
      <c r="C136" s="55">
        <v>93604.26</v>
      </c>
      <c r="D136" s="55">
        <v>676003.39</v>
      </c>
      <c r="E136" s="55"/>
      <c r="F136" s="55"/>
      <c r="G136" s="55"/>
      <c r="H136" s="55"/>
      <c r="I136" s="55"/>
      <c r="J136" s="55">
        <v>83121</v>
      </c>
      <c r="K136" s="55"/>
      <c r="L136" s="55"/>
      <c r="M136" s="55"/>
      <c r="N136" s="55"/>
    </row>
    <row r="137" spans="1:14">
      <c r="A137" t="s">
        <v>353</v>
      </c>
      <c r="B137" t="s">
        <v>354</v>
      </c>
      <c r="C137" s="55">
        <v>3121.43</v>
      </c>
      <c r="D137" s="55">
        <v>50067.68</v>
      </c>
      <c r="E137" s="55"/>
      <c r="F137" s="55"/>
      <c r="G137" s="55"/>
      <c r="H137" s="55"/>
      <c r="I137" s="55"/>
      <c r="J137" s="55">
        <v>11218</v>
      </c>
      <c r="K137" s="55"/>
      <c r="L137" s="55"/>
      <c r="M137" s="55"/>
      <c r="N137" s="55"/>
    </row>
    <row r="138" spans="1:14">
      <c r="A138" t="s">
        <v>339</v>
      </c>
      <c r="B138" t="s">
        <v>340</v>
      </c>
      <c r="C138" s="55">
        <v>375516.57</v>
      </c>
      <c r="D138" s="55">
        <v>2237676.33</v>
      </c>
      <c r="E138" s="55"/>
      <c r="F138" s="55"/>
      <c r="G138" s="55"/>
      <c r="H138" s="55"/>
      <c r="I138" s="55"/>
      <c r="J138" s="55">
        <v>378212</v>
      </c>
      <c r="K138" s="55"/>
      <c r="L138" s="55">
        <v>17673.189999999999</v>
      </c>
      <c r="M138" s="55"/>
      <c r="N138" s="55"/>
    </row>
    <row r="139" spans="1:14">
      <c r="A139" t="s">
        <v>121</v>
      </c>
      <c r="B139" t="s">
        <v>122</v>
      </c>
      <c r="C139" s="55">
        <v>74716.87</v>
      </c>
      <c r="D139" s="55">
        <v>565531.62</v>
      </c>
      <c r="E139" s="55"/>
      <c r="F139" s="55">
        <v>15200.29</v>
      </c>
      <c r="G139" s="55"/>
      <c r="H139" s="55">
        <v>8007</v>
      </c>
      <c r="I139" s="55"/>
      <c r="J139" s="55">
        <v>84641.32</v>
      </c>
      <c r="K139" s="55"/>
      <c r="L139" s="55">
        <v>19360.43</v>
      </c>
      <c r="M139" s="55"/>
      <c r="N139" s="55"/>
    </row>
    <row r="140" spans="1:14">
      <c r="A140" t="s">
        <v>485</v>
      </c>
      <c r="B140" t="s">
        <v>486</v>
      </c>
      <c r="C140" s="55">
        <v>74854.89</v>
      </c>
      <c r="D140" s="55">
        <v>466843.46</v>
      </c>
      <c r="E140" s="55"/>
      <c r="F140" s="55"/>
      <c r="G140" s="55"/>
      <c r="H140" s="55"/>
      <c r="I140" s="55"/>
      <c r="J140" s="55">
        <v>94471.19</v>
      </c>
      <c r="K140" s="55"/>
      <c r="L140" s="55"/>
      <c r="M140" s="55"/>
      <c r="N140" s="55"/>
    </row>
    <row r="141" spans="1:14">
      <c r="A141" t="s">
        <v>527</v>
      </c>
      <c r="B141" t="s">
        <v>528</v>
      </c>
      <c r="C141" s="55">
        <v>823251</v>
      </c>
      <c r="D141" s="55">
        <v>5869628</v>
      </c>
      <c r="E141" s="55"/>
      <c r="F141" s="55">
        <v>975</v>
      </c>
      <c r="G141" s="55"/>
      <c r="H141" s="55">
        <v>56050</v>
      </c>
      <c r="I141" s="55"/>
      <c r="J141" s="55">
        <v>572302</v>
      </c>
      <c r="K141" s="55"/>
      <c r="L141" s="55">
        <v>975</v>
      </c>
      <c r="M141" s="55"/>
      <c r="N141" s="55"/>
    </row>
    <row r="142" spans="1:14">
      <c r="A142" t="s">
        <v>431</v>
      </c>
      <c r="B142" t="s">
        <v>432</v>
      </c>
      <c r="C142" s="55">
        <v>8370367.5599999996</v>
      </c>
      <c r="D142" s="55">
        <v>44323946.130000003</v>
      </c>
      <c r="E142" s="55"/>
      <c r="F142" s="55"/>
      <c r="G142" s="55"/>
      <c r="H142" s="55">
        <v>46899</v>
      </c>
      <c r="I142" s="55"/>
      <c r="J142" s="55">
        <v>5279200</v>
      </c>
      <c r="K142" s="55"/>
      <c r="L142" s="55">
        <v>412358.57</v>
      </c>
      <c r="M142" s="55"/>
      <c r="N142" s="55">
        <v>1716410.26</v>
      </c>
    </row>
    <row r="143" spans="1:14">
      <c r="A143" t="s">
        <v>549</v>
      </c>
      <c r="B143" t="s">
        <v>550</v>
      </c>
      <c r="C143" s="55">
        <v>11573713.470000001</v>
      </c>
      <c r="D143" s="55">
        <v>61719937.259999998</v>
      </c>
      <c r="E143" s="55"/>
      <c r="F143" s="55">
        <v>117165.32</v>
      </c>
      <c r="G143" s="55"/>
      <c r="H143" s="55"/>
      <c r="I143" s="55"/>
      <c r="J143" s="55">
        <v>7840758</v>
      </c>
      <c r="K143" s="55">
        <v>150763</v>
      </c>
      <c r="L143" s="55">
        <v>117165.27</v>
      </c>
      <c r="M143" s="55"/>
      <c r="N143" s="55">
        <v>2719279.05</v>
      </c>
    </row>
    <row r="144" spans="1:14">
      <c r="A144" t="s">
        <v>61</v>
      </c>
      <c r="B144" t="s">
        <v>62</v>
      </c>
      <c r="C144" s="55">
        <v>31076.91</v>
      </c>
      <c r="D144" s="55">
        <v>353572.13</v>
      </c>
      <c r="E144" s="55"/>
      <c r="F144" s="55"/>
      <c r="G144" s="55"/>
      <c r="H144" s="55"/>
      <c r="I144" s="55"/>
      <c r="J144" s="55">
        <v>43061</v>
      </c>
      <c r="K144" s="55"/>
      <c r="L144" s="55"/>
      <c r="M144" s="55"/>
      <c r="N144" s="55"/>
    </row>
    <row r="145" spans="1:14">
      <c r="A145" t="s">
        <v>579</v>
      </c>
      <c r="B145" t="s">
        <v>580</v>
      </c>
      <c r="C145" s="55">
        <v>1451268.75</v>
      </c>
      <c r="D145" s="55">
        <v>7566736.7800000003</v>
      </c>
      <c r="E145" s="55"/>
      <c r="F145" s="55">
        <v>38356.19</v>
      </c>
      <c r="G145" s="55"/>
      <c r="H145" s="55">
        <v>17730</v>
      </c>
      <c r="I145" s="55"/>
      <c r="J145" s="55">
        <v>1282204.95</v>
      </c>
      <c r="K145" s="55"/>
      <c r="L145" s="55">
        <v>49202.15</v>
      </c>
      <c r="M145" s="55"/>
      <c r="N145" s="55"/>
    </row>
    <row r="146" spans="1:14">
      <c r="A146" t="s">
        <v>543</v>
      </c>
      <c r="B146" t="s">
        <v>544</v>
      </c>
      <c r="C146" s="55">
        <v>3525963.75</v>
      </c>
      <c r="D146" s="55">
        <v>20160524.02</v>
      </c>
      <c r="E146" s="55"/>
      <c r="F146" s="55">
        <v>28339.33</v>
      </c>
      <c r="G146" s="55"/>
      <c r="H146" s="55"/>
      <c r="I146" s="55"/>
      <c r="J146" s="55">
        <v>2235533.04</v>
      </c>
      <c r="K146" s="55"/>
      <c r="L146" s="55">
        <v>28339.37</v>
      </c>
      <c r="M146" s="55"/>
      <c r="N146" s="55">
        <v>18965.36</v>
      </c>
    </row>
    <row r="147" spans="1:14">
      <c r="A147" t="s">
        <v>133</v>
      </c>
      <c r="B147" t="s">
        <v>134</v>
      </c>
      <c r="C147" s="55">
        <v>510728.66</v>
      </c>
      <c r="D147" s="55">
        <v>2528145.85</v>
      </c>
      <c r="E147" s="55"/>
      <c r="F147" s="55">
        <v>22976.68</v>
      </c>
      <c r="G147" s="55"/>
      <c r="H147" s="55"/>
      <c r="I147" s="55"/>
      <c r="J147" s="55">
        <v>252124</v>
      </c>
      <c r="K147" s="55"/>
      <c r="L147" s="55">
        <v>22976.720000000001</v>
      </c>
      <c r="M147" s="55"/>
      <c r="N147" s="55"/>
    </row>
    <row r="148" spans="1:14">
      <c r="A148" t="s">
        <v>393</v>
      </c>
      <c r="B148" t="s">
        <v>394</v>
      </c>
      <c r="C148" s="55">
        <v>997626.87</v>
      </c>
      <c r="D148" s="55">
        <v>7410084.0700000003</v>
      </c>
      <c r="E148" s="55"/>
      <c r="F148" s="55">
        <v>41234.35</v>
      </c>
      <c r="G148" s="55"/>
      <c r="H148" s="55"/>
      <c r="I148" s="55"/>
      <c r="J148" s="55">
        <v>555483.87</v>
      </c>
      <c r="K148" s="55"/>
      <c r="L148" s="55">
        <v>41234.46</v>
      </c>
      <c r="M148" s="55"/>
      <c r="N148" s="55"/>
    </row>
    <row r="149" spans="1:14">
      <c r="A149" t="s">
        <v>91</v>
      </c>
      <c r="B149" t="s">
        <v>92</v>
      </c>
      <c r="C149" s="55">
        <v>6278133.0899999999</v>
      </c>
      <c r="D149" s="55">
        <v>29766595.68</v>
      </c>
      <c r="E149" s="55">
        <v>2865574.7</v>
      </c>
      <c r="F149" s="55">
        <v>65324.160000000003</v>
      </c>
      <c r="G149" s="55"/>
      <c r="H149" s="55">
        <v>1273145.6499999999</v>
      </c>
      <c r="I149" s="55"/>
      <c r="J149" s="55">
        <v>3089178.2</v>
      </c>
      <c r="K149" s="55">
        <v>38220.68</v>
      </c>
      <c r="L149" s="55">
        <v>83817.72</v>
      </c>
      <c r="M149" s="55"/>
      <c r="N149" s="55">
        <v>196966.96</v>
      </c>
    </row>
    <row r="150" spans="1:14">
      <c r="A150" t="s">
        <v>409</v>
      </c>
      <c r="B150" t="s">
        <v>410</v>
      </c>
      <c r="C150" s="55">
        <v>2517644.7799999998</v>
      </c>
      <c r="D150" s="55">
        <v>17953849.629999999</v>
      </c>
      <c r="E150" s="55"/>
      <c r="F150" s="55">
        <v>23</v>
      </c>
      <c r="G150" s="55"/>
      <c r="H150" s="55"/>
      <c r="I150" s="55"/>
      <c r="J150" s="55">
        <v>2158237</v>
      </c>
      <c r="K150" s="55"/>
      <c r="L150" s="55"/>
      <c r="M150" s="55"/>
      <c r="N150" s="55"/>
    </row>
    <row r="151" spans="1:14">
      <c r="A151" t="s">
        <v>179</v>
      </c>
      <c r="B151" t="s">
        <v>180</v>
      </c>
      <c r="C151" s="55">
        <v>2991971.83</v>
      </c>
      <c r="D151" s="55">
        <v>14797025.68</v>
      </c>
      <c r="E151" s="55"/>
      <c r="F151" s="55"/>
      <c r="G151" s="55"/>
      <c r="H151" s="55"/>
      <c r="I151" s="55"/>
      <c r="J151" s="55">
        <v>1743379.48</v>
      </c>
      <c r="K151" s="55"/>
      <c r="L151" s="55">
        <v>136555.32999999999</v>
      </c>
      <c r="M151" s="55"/>
      <c r="N151" s="55"/>
    </row>
    <row r="152" spans="1:14">
      <c r="A152" t="s">
        <v>36</v>
      </c>
      <c r="B152" t="s">
        <v>37</v>
      </c>
      <c r="C152" s="55">
        <v>8403423.9900000002</v>
      </c>
      <c r="D152" s="55">
        <v>40753661.380000003</v>
      </c>
      <c r="E152" s="55"/>
      <c r="F152" s="55">
        <v>150059.13</v>
      </c>
      <c r="G152" s="55"/>
      <c r="H152" s="55">
        <v>53762</v>
      </c>
      <c r="I152" s="55"/>
      <c r="J152" s="55">
        <v>4584731.88</v>
      </c>
      <c r="K152" s="55"/>
      <c r="L152" s="55">
        <v>149530.1</v>
      </c>
      <c r="M152" s="55"/>
      <c r="N152" s="55"/>
    </row>
    <row r="153" spans="1:14">
      <c r="A153" t="s">
        <v>145</v>
      </c>
      <c r="B153" t="s">
        <v>146</v>
      </c>
      <c r="C153" s="55">
        <v>609375.11</v>
      </c>
      <c r="D153" s="55">
        <v>3114137.19</v>
      </c>
      <c r="E153" s="55"/>
      <c r="F153" s="55">
        <v>5071.6499999999996</v>
      </c>
      <c r="G153" s="55"/>
      <c r="H153" s="55"/>
      <c r="I153" s="55"/>
      <c r="J153" s="55">
        <v>581857.06000000006</v>
      </c>
      <c r="K153" s="55"/>
      <c r="L153" s="55">
        <v>9600.11</v>
      </c>
      <c r="M153" s="55"/>
      <c r="N153" s="55"/>
    </row>
    <row r="154" spans="1:14">
      <c r="A154" t="s">
        <v>619</v>
      </c>
      <c r="B154" t="s">
        <v>620</v>
      </c>
      <c r="C154" s="55">
        <v>1267406.6599999999</v>
      </c>
      <c r="D154" s="55">
        <v>7321997.6299999999</v>
      </c>
      <c r="E154" s="55">
        <v>47591.15</v>
      </c>
      <c r="F154" s="55">
        <v>27954.84</v>
      </c>
      <c r="G154" s="55"/>
      <c r="H154" s="55"/>
      <c r="I154" s="55"/>
      <c r="J154" s="55">
        <v>930539.17</v>
      </c>
      <c r="K154" s="55"/>
      <c r="L154" s="55">
        <v>27965.91</v>
      </c>
      <c r="M154" s="55"/>
      <c r="N154" s="55">
        <v>132761.78</v>
      </c>
    </row>
    <row r="155" spans="1:14">
      <c r="A155" t="s">
        <v>175</v>
      </c>
      <c r="B155" t="s">
        <v>176</v>
      </c>
      <c r="C155" s="55">
        <v>1255460.8899999999</v>
      </c>
      <c r="D155" s="55">
        <v>6634837.5599999996</v>
      </c>
      <c r="E155" s="55"/>
      <c r="F155" s="55">
        <v>1095.2</v>
      </c>
      <c r="G155" s="55"/>
      <c r="H155" s="55"/>
      <c r="I155" s="55"/>
      <c r="J155" s="55">
        <v>877242.68</v>
      </c>
      <c r="K155" s="55"/>
      <c r="L155" s="55">
        <v>45439.54</v>
      </c>
      <c r="M155" s="55"/>
      <c r="N155" s="55"/>
    </row>
    <row r="156" spans="1:14">
      <c r="A156" t="s">
        <v>882</v>
      </c>
      <c r="B156" t="e">
        <v>#N/A</v>
      </c>
      <c r="C156" s="55">
        <v>201338.91</v>
      </c>
      <c r="D156" s="55">
        <v>1203143.5900000001</v>
      </c>
      <c r="E156" s="55"/>
      <c r="F156" s="55"/>
      <c r="G156" s="55"/>
      <c r="H156" s="55"/>
      <c r="I156" s="55"/>
      <c r="J156" s="55"/>
      <c r="K156" s="55"/>
      <c r="L156" s="55"/>
      <c r="M156" s="55"/>
      <c r="N156" s="55"/>
    </row>
    <row r="157" spans="1:14">
      <c r="A157" t="s">
        <v>217</v>
      </c>
      <c r="B157" t="s">
        <v>218</v>
      </c>
      <c r="C157" s="55">
        <v>66416.34</v>
      </c>
      <c r="D157" s="55">
        <v>515837.76</v>
      </c>
      <c r="E157" s="55"/>
      <c r="F157" s="55"/>
      <c r="G157" s="55"/>
      <c r="H157" s="55"/>
      <c r="I157" s="55"/>
      <c r="J157" s="55">
        <v>49546</v>
      </c>
      <c r="K157" s="55"/>
      <c r="L157" s="55"/>
      <c r="M157" s="55"/>
      <c r="N157" s="55"/>
    </row>
    <row r="158" spans="1:14">
      <c r="A158" t="s">
        <v>537</v>
      </c>
      <c r="B158" t="s">
        <v>538</v>
      </c>
      <c r="C158" s="55">
        <v>17235.810000000001</v>
      </c>
      <c r="D158" s="55">
        <v>187034.55</v>
      </c>
      <c r="E158" s="55"/>
      <c r="F158" s="55"/>
      <c r="G158" s="55"/>
      <c r="H158" s="55"/>
      <c r="I158" s="55"/>
      <c r="J158" s="55">
        <v>38544</v>
      </c>
      <c r="K158" s="55"/>
      <c r="L158" s="55"/>
      <c r="M158" s="55"/>
      <c r="N158" s="55"/>
    </row>
    <row r="159" spans="1:14">
      <c r="A159" t="s">
        <v>489</v>
      </c>
      <c r="B159" t="s">
        <v>490</v>
      </c>
      <c r="C159" s="55">
        <v>305.73</v>
      </c>
      <c r="D159" s="55">
        <v>1</v>
      </c>
      <c r="E159" s="55"/>
      <c r="F159" s="55"/>
      <c r="G159" s="55"/>
      <c r="H159" s="55"/>
      <c r="I159" s="55"/>
      <c r="J159" s="55"/>
      <c r="K159" s="55"/>
      <c r="L159" s="55"/>
      <c r="M159" s="55"/>
      <c r="N159" s="55"/>
    </row>
    <row r="160" spans="1:14">
      <c r="A160" t="s">
        <v>383</v>
      </c>
      <c r="B160" t="s">
        <v>384</v>
      </c>
      <c r="C160" s="55">
        <v>134059.10999999999</v>
      </c>
      <c r="D160" s="55">
        <v>1731389.27</v>
      </c>
      <c r="E160" s="55"/>
      <c r="F160" s="55"/>
      <c r="G160" s="55"/>
      <c r="H160" s="55"/>
      <c r="I160" s="55"/>
      <c r="J160" s="55">
        <v>179397</v>
      </c>
      <c r="K160" s="55"/>
      <c r="L160" s="55">
        <v>26684.74</v>
      </c>
      <c r="M160" s="55"/>
      <c r="N160" s="55">
        <v>65948.63</v>
      </c>
    </row>
    <row r="161" spans="1:14">
      <c r="A161" t="s">
        <v>277</v>
      </c>
      <c r="B161" t="s">
        <v>278</v>
      </c>
      <c r="C161" s="55">
        <v>53113.58</v>
      </c>
      <c r="D161" s="55">
        <v>706427.42</v>
      </c>
      <c r="E161" s="55"/>
      <c r="F161" s="55"/>
      <c r="G161" s="55"/>
      <c r="H161" s="55"/>
      <c r="I161" s="55"/>
      <c r="J161" s="55">
        <v>80586</v>
      </c>
      <c r="K161" s="55"/>
      <c r="L161" s="55">
        <v>9777.77</v>
      </c>
      <c r="M161" s="55"/>
      <c r="N161" s="55"/>
    </row>
    <row r="162" spans="1:14">
      <c r="A162" t="s">
        <v>475</v>
      </c>
      <c r="B162" t="s">
        <v>476</v>
      </c>
      <c r="C162" s="55">
        <v>193354.34</v>
      </c>
      <c r="D162" s="55">
        <v>1722396.47</v>
      </c>
      <c r="E162" s="55"/>
      <c r="F162" s="55">
        <v>9017.44</v>
      </c>
      <c r="G162" s="55"/>
      <c r="H162" s="55"/>
      <c r="I162" s="55"/>
      <c r="J162" s="55">
        <v>207789</v>
      </c>
      <c r="K162" s="55"/>
      <c r="L162" s="55">
        <v>9017.43</v>
      </c>
      <c r="M162" s="55"/>
      <c r="N162" s="55"/>
    </row>
    <row r="163" spans="1:14">
      <c r="A163" t="s">
        <v>105</v>
      </c>
      <c r="B163" t="s">
        <v>106</v>
      </c>
      <c r="C163" s="55">
        <v>173717.13</v>
      </c>
      <c r="D163" s="55">
        <v>1397805.63</v>
      </c>
      <c r="E163" s="55"/>
      <c r="F163" s="55"/>
      <c r="G163" s="55"/>
      <c r="H163" s="55"/>
      <c r="I163" s="55"/>
      <c r="J163" s="55">
        <v>158196.14000000001</v>
      </c>
      <c r="K163" s="55"/>
      <c r="L163" s="55"/>
      <c r="M163" s="55"/>
      <c r="N163" s="55"/>
    </row>
    <row r="164" spans="1:14">
      <c r="A164" t="s">
        <v>55</v>
      </c>
      <c r="B164" t="s">
        <v>56</v>
      </c>
      <c r="C164" s="55">
        <v>1104181.18</v>
      </c>
      <c r="D164" s="55">
        <v>7109085.6799999997</v>
      </c>
      <c r="E164" s="55"/>
      <c r="F164" s="55">
        <v>80476.850000000006</v>
      </c>
      <c r="G164" s="55"/>
      <c r="H164" s="55"/>
      <c r="I164" s="55"/>
      <c r="J164" s="55">
        <v>824731.35</v>
      </c>
      <c r="K164" s="55"/>
      <c r="L164" s="55">
        <v>80476.850000000006</v>
      </c>
      <c r="M164" s="55"/>
      <c r="N164" s="55"/>
    </row>
    <row r="165" spans="1:14">
      <c r="A165" t="s">
        <v>481</v>
      </c>
      <c r="B165" t="s">
        <v>482</v>
      </c>
      <c r="C165" s="55">
        <v>1837268.06</v>
      </c>
      <c r="D165" s="55">
        <v>10965120.130000001</v>
      </c>
      <c r="E165" s="55"/>
      <c r="F165" s="55">
        <v>77896.58</v>
      </c>
      <c r="G165" s="55"/>
      <c r="H165" s="55"/>
      <c r="I165" s="55"/>
      <c r="J165" s="55">
        <v>1135724.3999999999</v>
      </c>
      <c r="K165" s="55"/>
      <c r="L165" s="55">
        <v>75503.839999999997</v>
      </c>
      <c r="M165" s="55"/>
      <c r="N165" s="55"/>
    </row>
    <row r="166" spans="1:14">
      <c r="A166" t="s">
        <v>14</v>
      </c>
      <c r="B166" t="s">
        <v>16</v>
      </c>
      <c r="C166" s="55">
        <v>674791.75</v>
      </c>
      <c r="D166" s="55">
        <v>5307110.99</v>
      </c>
      <c r="E166" s="55"/>
      <c r="F166" s="55"/>
      <c r="G166" s="55"/>
      <c r="H166" s="55"/>
      <c r="I166" s="55"/>
      <c r="J166" s="55">
        <v>602153</v>
      </c>
      <c r="K166" s="55"/>
      <c r="L166" s="55">
        <v>74411.59</v>
      </c>
      <c r="M166" s="55"/>
      <c r="N166" s="55"/>
    </row>
    <row r="167" spans="1:14">
      <c r="A167" t="s">
        <v>253</v>
      </c>
      <c r="B167" t="s">
        <v>254</v>
      </c>
      <c r="C167" s="55">
        <v>192417.16</v>
      </c>
      <c r="D167" s="55">
        <v>1592048.07</v>
      </c>
      <c r="E167" s="55"/>
      <c r="F167" s="55"/>
      <c r="G167" s="55"/>
      <c r="H167" s="55">
        <v>65201</v>
      </c>
      <c r="I167" s="55"/>
      <c r="J167" s="55">
        <v>158470.69</v>
      </c>
      <c r="K167" s="55"/>
      <c r="L167" s="55">
        <v>8577.65</v>
      </c>
      <c r="M167" s="55"/>
      <c r="N167" s="55"/>
    </row>
    <row r="168" spans="1:14">
      <c r="A168" t="s">
        <v>107</v>
      </c>
      <c r="B168" t="s">
        <v>108</v>
      </c>
      <c r="C168" s="55">
        <v>51929.89</v>
      </c>
      <c r="D168" s="55">
        <v>631859.72</v>
      </c>
      <c r="E168" s="55"/>
      <c r="F168" s="55"/>
      <c r="G168" s="55"/>
      <c r="H168" s="55"/>
      <c r="I168" s="55"/>
      <c r="J168" s="55">
        <v>78888</v>
      </c>
      <c r="K168" s="55"/>
      <c r="L168" s="55"/>
      <c r="M168" s="55"/>
      <c r="N168" s="55"/>
    </row>
    <row r="169" spans="1:14">
      <c r="A169" t="s">
        <v>327</v>
      </c>
      <c r="B169" t="s">
        <v>328</v>
      </c>
      <c r="C169" s="55">
        <v>2404123.63</v>
      </c>
      <c r="D169" s="55">
        <v>14585717.720000001</v>
      </c>
      <c r="E169" s="55"/>
      <c r="F169" s="55"/>
      <c r="G169" s="55"/>
      <c r="H169" s="55"/>
      <c r="I169" s="55"/>
      <c r="J169" s="55">
        <v>1680196</v>
      </c>
      <c r="K169" s="55"/>
      <c r="L169" s="55">
        <v>239404.2</v>
      </c>
      <c r="M169" s="55"/>
      <c r="N169" s="55"/>
    </row>
    <row r="170" spans="1:14">
      <c r="A170" t="s">
        <v>495</v>
      </c>
      <c r="B170" t="s">
        <v>496</v>
      </c>
      <c r="C170" s="55">
        <v>13070.56</v>
      </c>
      <c r="D170" s="55">
        <v>107241.19</v>
      </c>
      <c r="E170" s="55"/>
      <c r="F170" s="55"/>
      <c r="G170" s="55"/>
      <c r="H170" s="55"/>
      <c r="I170" s="55"/>
      <c r="J170" s="55"/>
      <c r="K170" s="55"/>
      <c r="L170" s="55"/>
      <c r="M170" s="55"/>
      <c r="N170" s="55"/>
    </row>
    <row r="171" spans="1:14">
      <c r="A171" t="s">
        <v>325</v>
      </c>
      <c r="B171" t="s">
        <v>326</v>
      </c>
      <c r="C171" s="55">
        <v>16296.48</v>
      </c>
      <c r="D171" s="55">
        <v>124608.92</v>
      </c>
      <c r="E171" s="55"/>
      <c r="F171" s="55"/>
      <c r="G171" s="55"/>
      <c r="H171" s="55"/>
      <c r="I171" s="55"/>
      <c r="J171" s="55"/>
      <c r="K171" s="55"/>
      <c r="L171" s="55"/>
      <c r="M171" s="55"/>
      <c r="N171" s="55"/>
    </row>
    <row r="172" spans="1:14">
      <c r="A172" t="s">
        <v>309</v>
      </c>
      <c r="B172" t="s">
        <v>310</v>
      </c>
      <c r="C172" s="55">
        <v>10049.17</v>
      </c>
      <c r="D172" s="55">
        <v>77730.240000000005</v>
      </c>
      <c r="E172" s="55"/>
      <c r="F172" s="55"/>
      <c r="G172" s="55"/>
      <c r="H172" s="55"/>
      <c r="I172" s="55"/>
      <c r="J172" s="55"/>
      <c r="K172" s="55"/>
      <c r="L172" s="55"/>
      <c r="M172" s="55"/>
      <c r="N172" s="55"/>
    </row>
    <row r="173" spans="1:14">
      <c r="A173" t="s">
        <v>531</v>
      </c>
      <c r="B173" t="s">
        <v>532</v>
      </c>
      <c r="C173" s="55">
        <v>198154.61</v>
      </c>
      <c r="D173" s="55">
        <v>1481919.32</v>
      </c>
      <c r="E173" s="55"/>
      <c r="F173" s="55"/>
      <c r="G173" s="55"/>
      <c r="H173" s="55"/>
      <c r="I173" s="55"/>
      <c r="J173" s="55"/>
      <c r="K173" s="55"/>
      <c r="L173" s="55"/>
      <c r="M173" s="55"/>
      <c r="N173" s="55"/>
    </row>
    <row r="174" spans="1:14">
      <c r="A174" t="s">
        <v>165</v>
      </c>
      <c r="B174" t="s">
        <v>166</v>
      </c>
      <c r="C174" s="55">
        <v>8068727.6100000003</v>
      </c>
      <c r="D174" s="55">
        <v>44108685.060000002</v>
      </c>
      <c r="E174" s="55"/>
      <c r="F174" s="55"/>
      <c r="G174" s="55"/>
      <c r="H174" s="55"/>
      <c r="I174" s="55"/>
      <c r="J174" s="55">
        <v>5005010</v>
      </c>
      <c r="K174" s="55"/>
      <c r="L174" s="55"/>
      <c r="M174" s="55"/>
      <c r="N174" s="55"/>
    </row>
    <row r="175" spans="1:14">
      <c r="A175" t="s">
        <v>261</v>
      </c>
      <c r="B175" t="s">
        <v>262</v>
      </c>
      <c r="C175" s="55">
        <v>3918760.58</v>
      </c>
      <c r="D175" s="55">
        <v>23651178.690000001</v>
      </c>
      <c r="E175" s="55"/>
      <c r="F175" s="55">
        <v>29349.14</v>
      </c>
      <c r="G175" s="55"/>
      <c r="H175" s="55"/>
      <c r="I175" s="55"/>
      <c r="J175" s="55">
        <v>1907173.82</v>
      </c>
      <c r="K175" s="55"/>
      <c r="L175" s="55">
        <v>29349.18</v>
      </c>
      <c r="M175" s="55"/>
      <c r="N175" s="55"/>
    </row>
    <row r="176" spans="1:14">
      <c r="A176" t="s">
        <v>329</v>
      </c>
      <c r="B176" t="s">
        <v>330</v>
      </c>
      <c r="C176" s="55">
        <v>6066312.3700000001</v>
      </c>
      <c r="D176" s="55">
        <v>34591214.590000004</v>
      </c>
      <c r="E176" s="55"/>
      <c r="F176" s="55"/>
      <c r="G176" s="55"/>
      <c r="H176" s="55"/>
      <c r="I176" s="55"/>
      <c r="J176" s="55">
        <v>3670642</v>
      </c>
      <c r="K176" s="55"/>
      <c r="L176" s="55"/>
      <c r="M176" s="55"/>
      <c r="N176" s="55"/>
    </row>
    <row r="177" spans="1:14">
      <c r="A177" t="s">
        <v>147</v>
      </c>
      <c r="B177" t="s">
        <v>148</v>
      </c>
      <c r="C177" s="55">
        <v>9231710.6400000006</v>
      </c>
      <c r="D177" s="55">
        <v>48999940.240000002</v>
      </c>
      <c r="E177" s="55"/>
      <c r="F177" s="55"/>
      <c r="G177" s="55"/>
      <c r="H177" s="55"/>
      <c r="I177" s="55"/>
      <c r="J177" s="55">
        <v>5089415.4800000004</v>
      </c>
      <c r="K177" s="55"/>
      <c r="L177" s="55">
        <v>331235.34000000003</v>
      </c>
      <c r="M177" s="55">
        <v>10200</v>
      </c>
      <c r="N177" s="55">
        <v>5274983.79</v>
      </c>
    </row>
    <row r="178" spans="1:14">
      <c r="A178" t="s">
        <v>17</v>
      </c>
      <c r="B178" t="s">
        <v>18</v>
      </c>
      <c r="C178" s="55">
        <v>2058705.32</v>
      </c>
      <c r="D178" s="55">
        <v>13282023.42</v>
      </c>
      <c r="E178" s="55"/>
      <c r="F178" s="55">
        <v>115957.43</v>
      </c>
      <c r="G178" s="55"/>
      <c r="H178" s="55"/>
      <c r="I178" s="55"/>
      <c r="J178" s="55">
        <v>1254886.24</v>
      </c>
      <c r="K178" s="55"/>
      <c r="L178" s="55">
        <v>115957.26</v>
      </c>
      <c r="M178" s="55"/>
      <c r="N178" s="55"/>
    </row>
    <row r="179" spans="1:14">
      <c r="A179" t="s">
        <v>295</v>
      </c>
      <c r="B179" t="s">
        <v>296</v>
      </c>
      <c r="C179" s="55">
        <v>4877778.37</v>
      </c>
      <c r="D179" s="55">
        <v>24714917.460000001</v>
      </c>
      <c r="E179" s="55"/>
      <c r="F179" s="55">
        <v>173503.43</v>
      </c>
      <c r="G179" s="55"/>
      <c r="H179" s="55">
        <v>171008</v>
      </c>
      <c r="I179" s="55"/>
      <c r="J179" s="55">
        <v>2676178.0099999998</v>
      </c>
      <c r="K179" s="55"/>
      <c r="L179" s="55">
        <v>173503.46</v>
      </c>
      <c r="M179" s="55"/>
      <c r="N179" s="55"/>
    </row>
    <row r="180" spans="1:14">
      <c r="A180" t="s">
        <v>225</v>
      </c>
      <c r="B180" t="s">
        <v>226</v>
      </c>
      <c r="C180" s="55">
        <v>5387.55</v>
      </c>
      <c r="D180" s="55">
        <v>70551.73</v>
      </c>
      <c r="E180" s="55"/>
      <c r="F180" s="55"/>
      <c r="G180" s="55"/>
      <c r="H180" s="55"/>
      <c r="I180" s="55"/>
      <c r="J180" s="55">
        <v>8751</v>
      </c>
      <c r="K180" s="55"/>
      <c r="L180" s="55"/>
      <c r="M180" s="55"/>
      <c r="N180" s="55"/>
    </row>
    <row r="181" spans="1:14">
      <c r="A181" t="s">
        <v>311</v>
      </c>
      <c r="B181" t="s">
        <v>312</v>
      </c>
      <c r="C181" s="55">
        <v>1561869.87</v>
      </c>
      <c r="D181" s="55">
        <v>12737442.300000001</v>
      </c>
      <c r="E181" s="55"/>
      <c r="F181" s="55">
        <v>22800.22</v>
      </c>
      <c r="G181" s="55"/>
      <c r="H181" s="55"/>
      <c r="I181" s="55"/>
      <c r="J181" s="55">
        <v>1343068</v>
      </c>
      <c r="K181" s="55"/>
      <c r="L181" s="55">
        <v>22800.26</v>
      </c>
      <c r="M181" s="55"/>
      <c r="N181" s="55"/>
    </row>
    <row r="182" spans="1:14">
      <c r="A182" t="s">
        <v>499</v>
      </c>
      <c r="B182" t="s">
        <v>500</v>
      </c>
      <c r="C182" s="55">
        <v>2948739.77</v>
      </c>
      <c r="D182" s="55">
        <v>20880043.719999999</v>
      </c>
      <c r="E182" s="55"/>
      <c r="F182" s="55"/>
      <c r="G182" s="55"/>
      <c r="H182" s="55"/>
      <c r="I182" s="55"/>
      <c r="J182" s="55">
        <v>2112251</v>
      </c>
      <c r="K182" s="55"/>
      <c r="L182" s="55">
        <v>42236.19</v>
      </c>
      <c r="M182" s="55"/>
      <c r="N182" s="55"/>
    </row>
    <row r="183" spans="1:14">
      <c r="A183" t="s">
        <v>265</v>
      </c>
      <c r="B183" t="s">
        <v>266</v>
      </c>
      <c r="C183" s="55">
        <v>1145183.19</v>
      </c>
      <c r="D183" s="55">
        <v>6498068.0199999996</v>
      </c>
      <c r="E183" s="55"/>
      <c r="F183" s="55"/>
      <c r="G183" s="55"/>
      <c r="H183" s="55"/>
      <c r="I183" s="55"/>
      <c r="J183" s="55">
        <v>618453.84</v>
      </c>
      <c r="K183" s="55"/>
      <c r="L183" s="55"/>
      <c r="M183" s="55"/>
      <c r="N183" s="55"/>
    </row>
    <row r="184" spans="1:14">
      <c r="A184" t="s">
        <v>533</v>
      </c>
      <c r="B184" t="s">
        <v>534</v>
      </c>
      <c r="C184" s="55">
        <v>1012179.91</v>
      </c>
      <c r="D184" s="55">
        <v>5621399.3600000003</v>
      </c>
      <c r="E184" s="55"/>
      <c r="F184" s="55">
        <v>23</v>
      </c>
      <c r="G184" s="55"/>
      <c r="H184" s="55"/>
      <c r="I184" s="55"/>
      <c r="J184" s="55">
        <v>583975.9</v>
      </c>
      <c r="K184" s="55"/>
      <c r="L184" s="55"/>
      <c r="M184" s="55"/>
      <c r="N184" s="55"/>
    </row>
    <row r="185" spans="1:14">
      <c r="A185" t="s">
        <v>125</v>
      </c>
      <c r="B185" t="s">
        <v>126</v>
      </c>
      <c r="C185" s="55">
        <v>135946.82</v>
      </c>
      <c r="D185" s="55">
        <v>912248.78</v>
      </c>
      <c r="E185" s="55"/>
      <c r="F185" s="55"/>
      <c r="G185" s="55"/>
      <c r="H185" s="55"/>
      <c r="I185" s="55"/>
      <c r="J185" s="55">
        <v>114780.48</v>
      </c>
      <c r="K185" s="55"/>
      <c r="L185" s="55">
        <v>9769.7900000000009</v>
      </c>
      <c r="M185" s="55"/>
      <c r="N185" s="55"/>
    </row>
    <row r="186" spans="1:14">
      <c r="A186" t="s">
        <v>195</v>
      </c>
      <c r="B186" t="s">
        <v>196</v>
      </c>
      <c r="C186" s="55">
        <v>1182583.8700000001</v>
      </c>
      <c r="D186" s="55">
        <v>6979458.9800000004</v>
      </c>
      <c r="E186" s="55"/>
      <c r="F186" s="55"/>
      <c r="G186" s="55"/>
      <c r="H186" s="55"/>
      <c r="I186" s="55"/>
      <c r="J186" s="55">
        <v>568256.98</v>
      </c>
      <c r="K186" s="55"/>
      <c r="L186" s="55">
        <v>92908.160000000003</v>
      </c>
      <c r="M186" s="55"/>
      <c r="N186" s="55"/>
    </row>
    <row r="187" spans="1:14">
      <c r="A187" t="s">
        <v>519</v>
      </c>
      <c r="B187" t="s">
        <v>520</v>
      </c>
      <c r="C187" s="55">
        <v>1772637.95</v>
      </c>
      <c r="D187" s="55">
        <v>11598258.66</v>
      </c>
      <c r="E187" s="55"/>
      <c r="F187" s="55"/>
      <c r="G187" s="55"/>
      <c r="H187" s="55"/>
      <c r="I187" s="55"/>
      <c r="J187" s="55">
        <v>1154711</v>
      </c>
      <c r="K187" s="55"/>
      <c r="L187" s="55"/>
      <c r="M187" s="55"/>
      <c r="N187" s="55"/>
    </row>
    <row r="188" spans="1:14">
      <c r="A188" t="s">
        <v>513</v>
      </c>
      <c r="B188" t="s">
        <v>514</v>
      </c>
      <c r="C188" s="55">
        <v>11093232.76</v>
      </c>
      <c r="D188" s="55">
        <v>59903209.600000001</v>
      </c>
      <c r="E188" s="55"/>
      <c r="F188" s="55">
        <v>810135.95</v>
      </c>
      <c r="G188" s="55"/>
      <c r="H188" s="55"/>
      <c r="I188" s="55"/>
      <c r="J188" s="55">
        <v>7318814.4900000002</v>
      </c>
      <c r="K188" s="55"/>
      <c r="L188" s="55">
        <v>808275.61</v>
      </c>
      <c r="M188" s="55">
        <v>10200</v>
      </c>
      <c r="N188" s="55">
        <v>330924.06</v>
      </c>
    </row>
    <row r="189" spans="1:14">
      <c r="A189" t="s">
        <v>385</v>
      </c>
      <c r="B189" t="s">
        <v>386</v>
      </c>
      <c r="C189" s="55">
        <v>6906.9</v>
      </c>
      <c r="D189" s="55">
        <v>85465.51</v>
      </c>
      <c r="E189" s="55"/>
      <c r="F189" s="55"/>
      <c r="G189" s="55"/>
      <c r="H189" s="55"/>
      <c r="I189" s="55"/>
      <c r="J189" s="55">
        <v>55823.95</v>
      </c>
      <c r="K189" s="55"/>
      <c r="L189" s="55"/>
      <c r="M189" s="55"/>
      <c r="N189" s="55"/>
    </row>
    <row r="190" spans="1:14">
      <c r="A190" t="s">
        <v>199</v>
      </c>
      <c r="B190" t="s">
        <v>200</v>
      </c>
      <c r="C190" s="55">
        <v>6100.58</v>
      </c>
      <c r="D190" s="55">
        <v>78741.710000000006</v>
      </c>
      <c r="E190" s="55"/>
      <c r="F190" s="55"/>
      <c r="G190" s="55"/>
      <c r="H190" s="55"/>
      <c r="I190" s="55"/>
      <c r="J190" s="55">
        <v>12636.39</v>
      </c>
      <c r="K190" s="55"/>
      <c r="L190" s="55"/>
      <c r="M190" s="55"/>
      <c r="N190" s="55"/>
    </row>
    <row r="191" spans="1:14">
      <c r="A191" t="s">
        <v>341</v>
      </c>
      <c r="B191" t="s">
        <v>342</v>
      </c>
      <c r="C191" s="55">
        <v>336357.1</v>
      </c>
      <c r="D191" s="55">
        <v>2223418.25</v>
      </c>
      <c r="E191" s="55"/>
      <c r="F191" s="55"/>
      <c r="G191" s="55"/>
      <c r="H191" s="55"/>
      <c r="I191" s="55"/>
      <c r="J191" s="55">
        <v>318509</v>
      </c>
      <c r="K191" s="55"/>
      <c r="L191" s="55"/>
      <c r="M191" s="55"/>
      <c r="N191" s="55"/>
    </row>
    <row r="192" spans="1:14">
      <c r="A192" t="s">
        <v>301</v>
      </c>
      <c r="B192" t="s">
        <v>302</v>
      </c>
      <c r="C192" s="55">
        <v>340406.19</v>
      </c>
      <c r="D192" s="55">
        <v>3009684.62</v>
      </c>
      <c r="E192" s="55">
        <v>226411.08</v>
      </c>
      <c r="F192" s="55"/>
      <c r="G192" s="55"/>
      <c r="H192" s="55">
        <v>73780</v>
      </c>
      <c r="I192" s="55"/>
      <c r="J192" s="55">
        <v>433713.73</v>
      </c>
      <c r="K192" s="55"/>
      <c r="L192" s="55">
        <v>25596.99</v>
      </c>
      <c r="M192" s="55"/>
      <c r="N192" s="55"/>
    </row>
    <row r="193" spans="1:14">
      <c r="A193" t="s">
        <v>299</v>
      </c>
      <c r="B193" t="s">
        <v>300</v>
      </c>
      <c r="C193" s="55">
        <v>4343744.66</v>
      </c>
      <c r="D193" s="55">
        <v>21379981.57</v>
      </c>
      <c r="E193" s="55"/>
      <c r="F193" s="55"/>
      <c r="G193" s="55"/>
      <c r="H193" s="55"/>
      <c r="I193" s="55"/>
      <c r="J193" s="55">
        <v>2054185.81</v>
      </c>
      <c r="K193" s="55"/>
      <c r="L193" s="55"/>
      <c r="M193" s="55"/>
      <c r="N193" s="55"/>
    </row>
    <row r="194" spans="1:14">
      <c r="A194" t="s">
        <v>75</v>
      </c>
      <c r="B194" t="s">
        <v>76</v>
      </c>
      <c r="C194" s="55">
        <v>7123620</v>
      </c>
      <c r="D194" s="55">
        <v>28892957.41</v>
      </c>
      <c r="E194" s="55"/>
      <c r="F194" s="55">
        <v>184469.13</v>
      </c>
      <c r="G194" s="55"/>
      <c r="H194" s="55"/>
      <c r="I194" s="55"/>
      <c r="J194" s="55">
        <v>3096624.11</v>
      </c>
      <c r="K194" s="55"/>
      <c r="L194" s="55">
        <v>184469.12</v>
      </c>
      <c r="M194" s="55"/>
      <c r="N194" s="55"/>
    </row>
    <row r="195" spans="1:14">
      <c r="A195" t="s">
        <v>181</v>
      </c>
      <c r="B195" t="s">
        <v>182</v>
      </c>
      <c r="C195" s="55">
        <v>186442.3</v>
      </c>
      <c r="D195" s="55">
        <v>1322828.78</v>
      </c>
      <c r="E195" s="55"/>
      <c r="F195" s="55"/>
      <c r="G195" s="55"/>
      <c r="H195" s="55"/>
      <c r="I195" s="55"/>
      <c r="J195" s="55">
        <v>155928</v>
      </c>
      <c r="K195" s="55"/>
      <c r="L195" s="55">
        <v>7548.19</v>
      </c>
      <c r="M195" s="55"/>
      <c r="N195" s="55"/>
    </row>
    <row r="196" spans="1:14">
      <c r="A196" t="s">
        <v>81</v>
      </c>
      <c r="B196" t="s">
        <v>82</v>
      </c>
      <c r="C196" s="55">
        <v>1468821.7</v>
      </c>
      <c r="D196" s="55">
        <v>10728885.859999999</v>
      </c>
      <c r="E196" s="55"/>
      <c r="F196" s="55"/>
      <c r="G196" s="55"/>
      <c r="H196" s="55"/>
      <c r="I196" s="55"/>
      <c r="J196" s="55">
        <v>1123076.1399999999</v>
      </c>
      <c r="K196" s="55"/>
      <c r="L196" s="55"/>
      <c r="M196" s="55"/>
      <c r="N196" s="55"/>
    </row>
    <row r="197" spans="1:14">
      <c r="A197" t="s">
        <v>137</v>
      </c>
      <c r="B197" t="s">
        <v>138</v>
      </c>
      <c r="C197" s="55">
        <v>1589056.77</v>
      </c>
      <c r="D197" s="55">
        <v>7371534.3700000001</v>
      </c>
      <c r="E197" s="55"/>
      <c r="F197" s="55"/>
      <c r="G197" s="55"/>
      <c r="H197" s="55"/>
      <c r="I197" s="55"/>
      <c r="J197" s="55">
        <v>891632.01</v>
      </c>
      <c r="K197" s="55"/>
      <c r="L197" s="55"/>
      <c r="M197" s="55"/>
      <c r="N197" s="55"/>
    </row>
    <row r="198" spans="1:14">
      <c r="A198" t="s">
        <v>269</v>
      </c>
      <c r="B198" t="s">
        <v>270</v>
      </c>
      <c r="C198" s="55">
        <v>154346.23999999999</v>
      </c>
      <c r="D198" s="55">
        <v>749200.83</v>
      </c>
      <c r="E198" s="55"/>
      <c r="F198" s="55"/>
      <c r="G198" s="55"/>
      <c r="H198" s="55"/>
      <c r="I198" s="55"/>
      <c r="J198" s="55">
        <v>110709.27</v>
      </c>
      <c r="K198" s="55"/>
      <c r="L198" s="55"/>
      <c r="M198" s="55"/>
      <c r="N198" s="55"/>
    </row>
    <row r="199" spans="1:14">
      <c r="A199" t="s">
        <v>613</v>
      </c>
      <c r="B199" t="s">
        <v>614</v>
      </c>
      <c r="C199" s="55">
        <v>798338.75</v>
      </c>
      <c r="D199" s="55">
        <v>6112333.8300000001</v>
      </c>
      <c r="E199" s="55"/>
      <c r="F199" s="55"/>
      <c r="G199" s="55"/>
      <c r="H199" s="55"/>
      <c r="I199" s="55"/>
      <c r="J199" s="55">
        <v>816335.01</v>
      </c>
      <c r="K199" s="55"/>
      <c r="L199" s="55">
        <v>162659.01999999999</v>
      </c>
      <c r="M199" s="55"/>
      <c r="N199" s="55">
        <v>14976.54</v>
      </c>
    </row>
    <row r="200" spans="1:14">
      <c r="A200" t="s">
        <v>131</v>
      </c>
      <c r="B200" t="s">
        <v>132</v>
      </c>
      <c r="C200" s="55">
        <v>730596.85</v>
      </c>
      <c r="D200" s="55">
        <v>4423209.57</v>
      </c>
      <c r="E200" s="55"/>
      <c r="F200" s="55"/>
      <c r="G200" s="55"/>
      <c r="H200" s="55"/>
      <c r="I200" s="55"/>
      <c r="J200" s="55">
        <v>625058.74</v>
      </c>
      <c r="K200" s="55"/>
      <c r="L200" s="55"/>
      <c r="M200" s="55"/>
      <c r="N200" s="55"/>
    </row>
    <row r="201" spans="1:14">
      <c r="A201" t="s">
        <v>461</v>
      </c>
      <c r="B201" t="s">
        <v>462</v>
      </c>
      <c r="C201" s="55">
        <v>424773.66</v>
      </c>
      <c r="D201" s="55">
        <v>2127528.2000000002</v>
      </c>
      <c r="E201" s="55"/>
      <c r="F201" s="55"/>
      <c r="G201" s="55"/>
      <c r="H201" s="55"/>
      <c r="I201" s="55"/>
      <c r="J201" s="55">
        <v>427077.53</v>
      </c>
      <c r="K201" s="55"/>
      <c r="L201" s="55"/>
      <c r="M201" s="55"/>
      <c r="N201" s="55"/>
    </row>
    <row r="202" spans="1:14">
      <c r="A202" t="s">
        <v>515</v>
      </c>
      <c r="B202" t="s">
        <v>516</v>
      </c>
      <c r="C202" s="55">
        <v>76801.58</v>
      </c>
      <c r="D202" s="55">
        <v>1206935.25</v>
      </c>
      <c r="E202" s="55"/>
      <c r="F202" s="55"/>
      <c r="G202" s="55"/>
      <c r="H202" s="55"/>
      <c r="I202" s="55"/>
      <c r="J202" s="55">
        <v>125854</v>
      </c>
      <c r="K202" s="55"/>
      <c r="L202" s="55"/>
      <c r="M202" s="55"/>
      <c r="N202" s="55"/>
    </row>
    <row r="203" spans="1:14">
      <c r="A203" t="s">
        <v>279</v>
      </c>
      <c r="B203" t="s">
        <v>280</v>
      </c>
      <c r="C203" s="55">
        <v>3316.68</v>
      </c>
      <c r="D203" s="55">
        <v>32789.379999999997</v>
      </c>
      <c r="E203" s="55"/>
      <c r="F203" s="55"/>
      <c r="G203" s="55"/>
      <c r="H203" s="55"/>
      <c r="I203" s="55"/>
      <c r="J203" s="55">
        <v>8022</v>
      </c>
      <c r="K203" s="55"/>
      <c r="L203" s="55"/>
      <c r="M203" s="55"/>
      <c r="N203" s="55"/>
    </row>
    <row r="204" spans="1:14">
      <c r="A204" t="s">
        <v>423</v>
      </c>
      <c r="B204" t="s">
        <v>424</v>
      </c>
      <c r="C204" s="55">
        <v>42641.09</v>
      </c>
      <c r="D204" s="55">
        <v>390873.89</v>
      </c>
      <c r="E204" s="55"/>
      <c r="F204" s="55"/>
      <c r="G204" s="55"/>
      <c r="H204" s="55"/>
      <c r="I204" s="55"/>
      <c r="J204" s="55">
        <v>90313</v>
      </c>
      <c r="K204" s="55"/>
      <c r="L204" s="55"/>
      <c r="M204" s="55"/>
      <c r="N204" s="55"/>
    </row>
    <row r="205" spans="1:14">
      <c r="A205" t="s">
        <v>381</v>
      </c>
      <c r="B205" t="s">
        <v>382</v>
      </c>
      <c r="C205" s="55">
        <v>8799.93</v>
      </c>
      <c r="D205" s="55">
        <v>68842.429999999993</v>
      </c>
      <c r="E205" s="55"/>
      <c r="F205" s="55"/>
      <c r="G205" s="55"/>
      <c r="H205" s="55"/>
      <c r="I205" s="55"/>
      <c r="J205" s="55">
        <v>11710</v>
      </c>
      <c r="K205" s="55"/>
      <c r="L205" s="55"/>
      <c r="M205" s="55"/>
      <c r="N205" s="55"/>
    </row>
    <row r="206" spans="1:14">
      <c r="A206" t="s">
        <v>83</v>
      </c>
      <c r="B206" t="s">
        <v>84</v>
      </c>
      <c r="C206" s="55">
        <v>283332.47999999998</v>
      </c>
      <c r="D206" s="55">
        <v>1460597.13</v>
      </c>
      <c r="E206" s="55"/>
      <c r="F206" s="55">
        <v>6085.84</v>
      </c>
      <c r="G206" s="55"/>
      <c r="H206" s="55"/>
      <c r="I206" s="55"/>
      <c r="J206" s="55">
        <v>223540</v>
      </c>
      <c r="K206" s="55"/>
      <c r="L206" s="55">
        <v>6085.84</v>
      </c>
      <c r="M206" s="55"/>
      <c r="N206" s="55"/>
    </row>
    <row r="207" spans="1:14">
      <c r="A207" t="s">
        <v>607</v>
      </c>
      <c r="B207" t="s">
        <v>608</v>
      </c>
      <c r="C207" s="55">
        <v>83346.009999999995</v>
      </c>
      <c r="D207" s="55">
        <v>800964.94</v>
      </c>
      <c r="E207" s="55"/>
      <c r="F207" s="55"/>
      <c r="G207" s="55"/>
      <c r="H207" s="55">
        <v>43898</v>
      </c>
      <c r="I207" s="55"/>
      <c r="J207" s="55">
        <v>60828.12</v>
      </c>
      <c r="K207" s="55"/>
      <c r="L207" s="55"/>
      <c r="M207" s="55"/>
      <c r="N207" s="55"/>
    </row>
    <row r="208" spans="1:14">
      <c r="A208" t="s">
        <v>581</v>
      </c>
      <c r="B208" t="s">
        <v>582</v>
      </c>
      <c r="C208" s="55">
        <v>94385.03</v>
      </c>
      <c r="D208" s="55">
        <v>1227143.77</v>
      </c>
      <c r="E208" s="55"/>
      <c r="F208" s="55"/>
      <c r="G208" s="55"/>
      <c r="H208" s="55"/>
      <c r="I208" s="55"/>
      <c r="J208" s="55">
        <v>240691.17</v>
      </c>
      <c r="K208" s="55"/>
      <c r="L208" s="55"/>
      <c r="M208" s="55"/>
      <c r="N208" s="55"/>
    </row>
    <row r="209" spans="1:14">
      <c r="A209" t="s">
        <v>103</v>
      </c>
      <c r="B209" t="s">
        <v>104</v>
      </c>
      <c r="C209" s="55">
        <v>584427.86</v>
      </c>
      <c r="D209" s="55">
        <v>3351401.83</v>
      </c>
      <c r="E209" s="55"/>
      <c r="F209" s="55"/>
      <c r="G209" s="55"/>
      <c r="H209" s="55"/>
      <c r="I209" s="55"/>
      <c r="J209" s="55">
        <v>454659</v>
      </c>
      <c r="K209" s="55"/>
      <c r="L209" s="55"/>
      <c r="M209" s="55"/>
      <c r="N209" s="55"/>
    </row>
    <row r="210" spans="1:14">
      <c r="A210" t="s">
        <v>275</v>
      </c>
      <c r="B210" t="s">
        <v>276</v>
      </c>
      <c r="C210" s="55">
        <v>29114.68</v>
      </c>
      <c r="D210" s="55">
        <v>204490.58</v>
      </c>
      <c r="E210" s="55"/>
      <c r="F210" s="55"/>
      <c r="G210" s="55"/>
      <c r="H210" s="55"/>
      <c r="I210" s="55"/>
      <c r="J210" s="55">
        <v>57242.84</v>
      </c>
      <c r="K210" s="55"/>
      <c r="L210" s="55"/>
      <c r="M210" s="55"/>
      <c r="N210" s="55"/>
    </row>
    <row r="211" spans="1:14">
      <c r="A211" t="s">
        <v>541</v>
      </c>
      <c r="B211" t="s">
        <v>542</v>
      </c>
      <c r="C211" s="55">
        <v>13971.77</v>
      </c>
      <c r="D211" s="55">
        <v>181837.72</v>
      </c>
      <c r="E211" s="55"/>
      <c r="F211" s="55"/>
      <c r="G211" s="55"/>
      <c r="H211" s="55"/>
      <c r="I211" s="55"/>
      <c r="J211" s="55">
        <v>20570</v>
      </c>
      <c r="K211" s="55"/>
      <c r="L211" s="55"/>
      <c r="M211" s="55"/>
      <c r="N211" s="55"/>
    </row>
    <row r="212" spans="1:14">
      <c r="A212" t="s">
        <v>169</v>
      </c>
      <c r="B212" t="s">
        <v>170</v>
      </c>
      <c r="C212" s="55">
        <v>2152.08</v>
      </c>
      <c r="D212" s="55">
        <v>38402.47</v>
      </c>
      <c r="E212" s="55"/>
      <c r="F212" s="55"/>
      <c r="G212" s="55"/>
      <c r="H212" s="55"/>
      <c r="I212" s="55"/>
      <c r="J212" s="55">
        <v>17244</v>
      </c>
      <c r="K212" s="55"/>
      <c r="L212" s="55"/>
      <c r="M212" s="55"/>
      <c r="N212" s="55"/>
    </row>
    <row r="213" spans="1:14">
      <c r="A213" t="s">
        <v>99</v>
      </c>
      <c r="B213" t="s">
        <v>100</v>
      </c>
      <c r="C213" s="55">
        <v>22015.91</v>
      </c>
      <c r="D213" s="55">
        <v>210963.15</v>
      </c>
      <c r="E213" s="55"/>
      <c r="F213" s="55"/>
      <c r="G213" s="55"/>
      <c r="H213" s="55">
        <v>11439</v>
      </c>
      <c r="I213" s="55"/>
      <c r="J213" s="55">
        <v>33083</v>
      </c>
      <c r="K213" s="55"/>
      <c r="L213" s="55"/>
      <c r="M213" s="55"/>
      <c r="N213" s="55"/>
    </row>
    <row r="214" spans="1:14">
      <c r="A214" t="s">
        <v>293</v>
      </c>
      <c r="B214" t="s">
        <v>294</v>
      </c>
      <c r="C214" s="55">
        <v>148120.04</v>
      </c>
      <c r="D214" s="55">
        <v>1008221.75</v>
      </c>
      <c r="E214" s="55"/>
      <c r="F214" s="55"/>
      <c r="G214" s="55"/>
      <c r="H214" s="55"/>
      <c r="I214" s="55"/>
      <c r="J214" s="55">
        <v>233310.61</v>
      </c>
      <c r="K214" s="55"/>
      <c r="L214" s="55"/>
      <c r="M214" s="55"/>
      <c r="N214" s="55"/>
    </row>
    <row r="215" spans="1:14">
      <c r="A215" t="s">
        <v>357</v>
      </c>
      <c r="B215" t="s">
        <v>358</v>
      </c>
      <c r="C215" s="55">
        <v>49672.15</v>
      </c>
      <c r="D215" s="55">
        <v>453663.51</v>
      </c>
      <c r="E215" s="55"/>
      <c r="F215" s="55"/>
      <c r="G215" s="55"/>
      <c r="H215" s="55"/>
      <c r="I215" s="55"/>
      <c r="J215" s="55">
        <v>36237.18</v>
      </c>
      <c r="K215" s="55"/>
      <c r="L215" s="55"/>
      <c r="M215" s="55"/>
      <c r="N215" s="55"/>
    </row>
    <row r="216" spans="1:14">
      <c r="A216" t="s">
        <v>243</v>
      </c>
      <c r="B216" t="s">
        <v>244</v>
      </c>
      <c r="C216" s="55">
        <v>274704.44</v>
      </c>
      <c r="D216" s="55">
        <v>1780730.46</v>
      </c>
      <c r="E216" s="55"/>
      <c r="F216" s="55"/>
      <c r="G216" s="55"/>
      <c r="H216" s="55"/>
      <c r="I216" s="55"/>
      <c r="J216" s="55">
        <v>239041.42</v>
      </c>
      <c r="K216" s="55"/>
      <c r="L216" s="55"/>
      <c r="M216" s="55"/>
      <c r="N216" s="55"/>
    </row>
    <row r="217" spans="1:14">
      <c r="A217" t="s">
        <v>641</v>
      </c>
      <c r="B217" t="s">
        <v>642</v>
      </c>
      <c r="C217" s="55">
        <v>2082327.3</v>
      </c>
      <c r="D217" s="55">
        <v>12121274.24</v>
      </c>
      <c r="E217" s="55"/>
      <c r="F217" s="55">
        <v>35699.699999999997</v>
      </c>
      <c r="G217" s="55"/>
      <c r="H217" s="55">
        <v>45755</v>
      </c>
      <c r="I217" s="55"/>
      <c r="J217" s="55">
        <v>1302661.47</v>
      </c>
      <c r="K217" s="55"/>
      <c r="L217" s="55">
        <v>67191.360000000001</v>
      </c>
      <c r="M217" s="55"/>
      <c r="N217" s="55"/>
    </row>
    <row r="218" spans="1:14">
      <c r="A218" t="s">
        <v>355</v>
      </c>
      <c r="B218" t="s">
        <v>356</v>
      </c>
      <c r="C218" s="55">
        <v>6206638.0499999998</v>
      </c>
      <c r="D218" s="55">
        <v>36956597.670000002</v>
      </c>
      <c r="E218" s="55"/>
      <c r="F218" s="55">
        <v>131061.93</v>
      </c>
      <c r="G218" s="55"/>
      <c r="H218" s="55">
        <v>442945.35</v>
      </c>
      <c r="I218" s="55"/>
      <c r="J218" s="55">
        <v>3511304.15</v>
      </c>
      <c r="K218" s="55"/>
      <c r="L218" s="55">
        <v>125522.13</v>
      </c>
      <c r="M218" s="55"/>
      <c r="N218" s="55"/>
    </row>
    <row r="219" spans="1:14">
      <c r="A219" t="s">
        <v>575</v>
      </c>
      <c r="B219" t="s">
        <v>576</v>
      </c>
      <c r="C219" s="55">
        <v>2031733.13</v>
      </c>
      <c r="D219" s="55">
        <v>12049612.02</v>
      </c>
      <c r="E219" s="55"/>
      <c r="F219" s="55"/>
      <c r="G219" s="55"/>
      <c r="H219" s="55"/>
      <c r="I219" s="55"/>
      <c r="J219" s="55">
        <v>1536304.72</v>
      </c>
      <c r="K219" s="55"/>
      <c r="L219" s="55"/>
      <c r="M219" s="55"/>
      <c r="N219" s="55">
        <v>17012.53</v>
      </c>
    </row>
    <row r="220" spans="1:14">
      <c r="A220" t="s">
        <v>375</v>
      </c>
      <c r="B220" t="s">
        <v>376</v>
      </c>
      <c r="C220" s="55">
        <v>3617912.78</v>
      </c>
      <c r="D220" s="55">
        <v>20993144.870000001</v>
      </c>
      <c r="E220" s="55"/>
      <c r="F220" s="55"/>
      <c r="G220" s="55"/>
      <c r="H220" s="55"/>
      <c r="I220" s="55"/>
      <c r="J220" s="55">
        <v>2420933.5299999998</v>
      </c>
      <c r="K220" s="55">
        <v>62441</v>
      </c>
      <c r="L220" s="55">
        <v>1080.3699999999999</v>
      </c>
      <c r="M220" s="55"/>
      <c r="N220" s="55"/>
    </row>
    <row r="221" spans="1:14">
      <c r="A221" t="s">
        <v>441</v>
      </c>
      <c r="B221" t="s">
        <v>442</v>
      </c>
      <c r="C221" s="55">
        <v>282738.21000000002</v>
      </c>
      <c r="D221" s="55">
        <v>1813250.87</v>
      </c>
      <c r="E221" s="55"/>
      <c r="F221" s="55"/>
      <c r="G221" s="55"/>
      <c r="H221" s="55"/>
      <c r="I221" s="55"/>
      <c r="J221" s="55">
        <v>211402</v>
      </c>
      <c r="K221" s="55"/>
      <c r="L221" s="55">
        <v>75.2</v>
      </c>
      <c r="M221" s="55"/>
      <c r="N221" s="55"/>
    </row>
    <row r="222" spans="1:14">
      <c r="A222" t="s">
        <v>203</v>
      </c>
      <c r="B222" t="s">
        <v>204</v>
      </c>
      <c r="C222" s="55">
        <v>112400.67</v>
      </c>
      <c r="D222" s="55">
        <v>1291657.6299999999</v>
      </c>
      <c r="E222" s="55"/>
      <c r="F222" s="55"/>
      <c r="G222" s="55"/>
      <c r="H222" s="55"/>
      <c r="I222" s="55"/>
      <c r="J222" s="55">
        <v>137710.63</v>
      </c>
      <c r="K222" s="55"/>
      <c r="L222" s="55"/>
      <c r="M222" s="55"/>
      <c r="N222" s="55"/>
    </row>
    <row r="223" spans="1:14">
      <c r="A223" t="s">
        <v>465</v>
      </c>
      <c r="B223" t="s">
        <v>466</v>
      </c>
      <c r="C223" s="55">
        <v>683893.71</v>
      </c>
      <c r="D223" s="55">
        <v>4614281.6100000003</v>
      </c>
      <c r="E223" s="55"/>
      <c r="F223" s="55"/>
      <c r="G223" s="55"/>
      <c r="H223" s="55"/>
      <c r="I223" s="55"/>
      <c r="J223" s="55">
        <v>583574.53</v>
      </c>
      <c r="K223" s="55"/>
      <c r="L223" s="55">
        <v>99509.31</v>
      </c>
      <c r="M223" s="55"/>
      <c r="N223" s="55">
        <v>29295.81</v>
      </c>
    </row>
    <row r="224" spans="1:14">
      <c r="A224" t="s">
        <v>557</v>
      </c>
      <c r="B224" t="s">
        <v>558</v>
      </c>
      <c r="C224" s="55">
        <v>377269.35</v>
      </c>
      <c r="D224" s="55">
        <v>2158058.17</v>
      </c>
      <c r="E224" s="55"/>
      <c r="F224" s="55"/>
      <c r="G224" s="55"/>
      <c r="H224" s="55"/>
      <c r="I224" s="55"/>
      <c r="J224" s="55">
        <v>302804.43</v>
      </c>
      <c r="K224" s="55"/>
      <c r="L224" s="55">
        <v>13517.47</v>
      </c>
      <c r="M224" s="55"/>
      <c r="N224" s="55"/>
    </row>
    <row r="225" spans="1:14">
      <c r="A225" t="s">
        <v>937</v>
      </c>
      <c r="B225" t="e">
        <v>#N/A</v>
      </c>
      <c r="C225" s="55">
        <v>58335.09</v>
      </c>
      <c r="D225" s="55">
        <v>140949.46</v>
      </c>
      <c r="E225" s="55"/>
      <c r="F225" s="55"/>
      <c r="G225" s="55"/>
      <c r="H225" s="55"/>
      <c r="I225" s="55"/>
      <c r="J225" s="55"/>
      <c r="K225" s="55"/>
      <c r="L225" s="55"/>
      <c r="M225" s="55"/>
      <c r="N225" s="55"/>
    </row>
    <row r="226" spans="1:14">
      <c r="A226" t="s">
        <v>589</v>
      </c>
      <c r="B226" t="s">
        <v>590</v>
      </c>
      <c r="C226" s="55">
        <v>90339.16</v>
      </c>
      <c r="D226" s="55">
        <v>804699.5</v>
      </c>
      <c r="E226" s="55"/>
      <c r="F226" s="55"/>
      <c r="G226" s="55"/>
      <c r="H226" s="55"/>
      <c r="I226" s="55"/>
      <c r="J226" s="55"/>
      <c r="K226" s="55"/>
      <c r="L226" s="55"/>
      <c r="M226" s="55"/>
      <c r="N226" s="55"/>
    </row>
    <row r="227" spans="1:14">
      <c r="A227" t="s">
        <v>135</v>
      </c>
      <c r="B227" t="s">
        <v>136</v>
      </c>
      <c r="C227" s="55">
        <v>3126.83</v>
      </c>
      <c r="D227" s="55">
        <v>72136.52</v>
      </c>
      <c r="E227" s="55"/>
      <c r="F227" s="55"/>
      <c r="G227" s="55"/>
      <c r="H227" s="55"/>
      <c r="I227" s="55"/>
      <c r="J227" s="55"/>
      <c r="K227" s="55"/>
      <c r="L227" s="55"/>
      <c r="M227" s="55"/>
      <c r="N227" s="55"/>
    </row>
    <row r="228" spans="1:14">
      <c r="A228" t="s">
        <v>595</v>
      </c>
      <c r="B228" t="s">
        <v>596</v>
      </c>
      <c r="C228" s="55">
        <v>1621160.56</v>
      </c>
      <c r="D228" s="55">
        <v>10078409.4</v>
      </c>
      <c r="E228" s="55"/>
      <c r="F228" s="55"/>
      <c r="G228" s="55"/>
      <c r="H228" s="55"/>
      <c r="I228" s="55"/>
      <c r="J228" s="55">
        <v>1383265.5</v>
      </c>
      <c r="K228" s="55"/>
      <c r="L228" s="55">
        <v>55669.82</v>
      </c>
      <c r="M228" s="55"/>
      <c r="N228" s="55"/>
    </row>
    <row r="229" spans="1:14">
      <c r="A229" t="s">
        <v>95</v>
      </c>
      <c r="B229" t="s">
        <v>96</v>
      </c>
      <c r="C229" s="55">
        <v>627585.76</v>
      </c>
      <c r="D229" s="55">
        <v>2849192.02</v>
      </c>
      <c r="E229" s="55"/>
      <c r="F229" s="55"/>
      <c r="G229" s="55"/>
      <c r="H229" s="55"/>
      <c r="I229" s="55"/>
      <c r="J229" s="55">
        <v>507419.76</v>
      </c>
      <c r="K229" s="55"/>
      <c r="L229" s="55">
        <v>107.22</v>
      </c>
      <c r="M229" s="55"/>
      <c r="N229" s="55"/>
    </row>
    <row r="230" spans="1:14">
      <c r="A230" t="s">
        <v>567</v>
      </c>
      <c r="B230" t="s">
        <v>568</v>
      </c>
      <c r="C230" s="55">
        <v>8256.51</v>
      </c>
      <c r="D230" s="55">
        <v>115193.39</v>
      </c>
      <c r="E230" s="55"/>
      <c r="F230" s="55"/>
      <c r="G230" s="55"/>
      <c r="H230" s="55"/>
      <c r="I230" s="55"/>
      <c r="J230" s="55">
        <v>56789</v>
      </c>
      <c r="K230" s="55"/>
      <c r="L230" s="55"/>
      <c r="M230" s="55"/>
      <c r="N230" s="55"/>
    </row>
    <row r="231" spans="1:14">
      <c r="A231" t="s">
        <v>101</v>
      </c>
      <c r="B231" t="s">
        <v>102</v>
      </c>
      <c r="C231" s="55">
        <v>228803.56</v>
      </c>
      <c r="D231" s="55">
        <v>1327589.01</v>
      </c>
      <c r="E231" s="55"/>
      <c r="F231" s="55"/>
      <c r="G231" s="55"/>
      <c r="H231" s="55"/>
      <c r="I231" s="55"/>
      <c r="J231" s="55">
        <v>223164.93</v>
      </c>
      <c r="K231" s="55"/>
      <c r="L231" s="55">
        <v>11726.43</v>
      </c>
      <c r="M231" s="55"/>
      <c r="N231" s="55"/>
    </row>
    <row r="232" spans="1:14">
      <c r="A232" t="s">
        <v>593</v>
      </c>
      <c r="B232" t="s">
        <v>594</v>
      </c>
      <c r="C232" s="55">
        <v>51310.16</v>
      </c>
      <c r="D232" s="55">
        <v>440579.14</v>
      </c>
      <c r="E232" s="55"/>
      <c r="F232" s="55"/>
      <c r="G232" s="55"/>
      <c r="H232" s="55"/>
      <c r="I232" s="55"/>
      <c r="J232" s="55"/>
      <c r="K232" s="55"/>
      <c r="L232" s="55"/>
      <c r="M232" s="55"/>
      <c r="N232" s="55"/>
    </row>
    <row r="233" spans="1:14">
      <c r="A233" t="s">
        <v>421</v>
      </c>
      <c r="B233" t="s">
        <v>422</v>
      </c>
      <c r="C233" s="55">
        <v>59657.01</v>
      </c>
      <c r="D233" s="55">
        <v>469415.58</v>
      </c>
      <c r="E233" s="55"/>
      <c r="F233" s="55"/>
      <c r="G233" s="55"/>
      <c r="H233" s="55"/>
      <c r="I233" s="55"/>
      <c r="J233" s="55">
        <v>53071</v>
      </c>
      <c r="K233" s="55"/>
      <c r="L233" s="55"/>
      <c r="M233" s="55"/>
      <c r="N233" s="55"/>
    </row>
    <row r="234" spans="1:14">
      <c r="A234" t="s">
        <v>32</v>
      </c>
      <c r="B234" t="s">
        <v>33</v>
      </c>
      <c r="C234" s="55">
        <v>3478635.16</v>
      </c>
      <c r="D234" s="55">
        <v>24733576.260000002</v>
      </c>
      <c r="E234" s="55"/>
      <c r="F234" s="55">
        <v>153444.39000000001</v>
      </c>
      <c r="G234" s="55"/>
      <c r="H234" s="55"/>
      <c r="I234" s="55"/>
      <c r="J234" s="55">
        <v>2705146</v>
      </c>
      <c r="K234" s="55"/>
      <c r="L234" s="55">
        <v>153444.38</v>
      </c>
      <c r="M234" s="55"/>
      <c r="N234" s="55">
        <v>5517.7</v>
      </c>
    </row>
    <row r="235" spans="1:14">
      <c r="A235" t="s">
        <v>173</v>
      </c>
      <c r="B235" t="s">
        <v>174</v>
      </c>
      <c r="C235" s="55">
        <v>1468180.04</v>
      </c>
      <c r="D235" s="55">
        <v>9894905.6199999992</v>
      </c>
      <c r="E235" s="55"/>
      <c r="F235" s="55"/>
      <c r="G235" s="55"/>
      <c r="H235" s="55">
        <v>120106</v>
      </c>
      <c r="I235" s="55"/>
      <c r="J235" s="55">
        <v>1126248.1299999999</v>
      </c>
      <c r="K235" s="55"/>
      <c r="L235" s="55"/>
      <c r="M235" s="55"/>
      <c r="N235" s="55"/>
    </row>
    <row r="236" spans="1:14">
      <c r="A236" t="s">
        <v>41</v>
      </c>
      <c r="B236" t="s">
        <v>42</v>
      </c>
      <c r="C236" s="55">
        <v>532362.93000000005</v>
      </c>
      <c r="D236" s="55">
        <v>4584571.33</v>
      </c>
      <c r="E236" s="55"/>
      <c r="F236" s="55">
        <v>14338.45</v>
      </c>
      <c r="G236" s="55"/>
      <c r="H236" s="55"/>
      <c r="I236" s="55"/>
      <c r="J236" s="55">
        <v>455979.74</v>
      </c>
      <c r="K236" s="55"/>
      <c r="L236" s="55">
        <v>14338.46</v>
      </c>
      <c r="M236" s="55"/>
      <c r="N236" s="55"/>
    </row>
    <row r="237" spans="1:14">
      <c r="A237" t="s">
        <v>283</v>
      </c>
      <c r="B237" t="s">
        <v>284</v>
      </c>
      <c r="C237" s="55">
        <v>850589.84</v>
      </c>
      <c r="D237" s="55">
        <v>6869162.5800000001</v>
      </c>
      <c r="E237" s="55"/>
      <c r="F237" s="55"/>
      <c r="G237" s="55"/>
      <c r="H237" s="55"/>
      <c r="I237" s="55"/>
      <c r="J237" s="55">
        <v>890004.33</v>
      </c>
      <c r="K237" s="55"/>
      <c r="L237" s="55">
        <v>187278.58</v>
      </c>
      <c r="M237" s="55"/>
      <c r="N237" s="55"/>
    </row>
    <row r="238" spans="1:14">
      <c r="A238" t="s">
        <v>305</v>
      </c>
      <c r="B238" t="s">
        <v>306</v>
      </c>
      <c r="C238" s="55">
        <v>383221.19</v>
      </c>
      <c r="D238" s="55">
        <v>3434132.1</v>
      </c>
      <c r="E238" s="55"/>
      <c r="F238" s="55"/>
      <c r="G238" s="55"/>
      <c r="H238" s="55"/>
      <c r="I238" s="55"/>
      <c r="J238" s="55">
        <v>383663</v>
      </c>
      <c r="K238" s="55"/>
      <c r="L238" s="55"/>
      <c r="M238" s="55"/>
      <c r="N238" s="55"/>
    </row>
    <row r="239" spans="1:14">
      <c r="A239" t="s">
        <v>343</v>
      </c>
      <c r="B239" t="s">
        <v>344</v>
      </c>
      <c r="C239" s="55">
        <v>843556.87</v>
      </c>
      <c r="D239" s="55">
        <v>4280385.62</v>
      </c>
      <c r="E239" s="55"/>
      <c r="F239" s="55">
        <v>20643.439999999999</v>
      </c>
      <c r="G239" s="55"/>
      <c r="H239" s="55">
        <v>13827</v>
      </c>
      <c r="I239" s="55"/>
      <c r="J239" s="55">
        <v>442859</v>
      </c>
      <c r="K239" s="55"/>
      <c r="L239" s="55">
        <v>20643.46</v>
      </c>
      <c r="M239" s="55"/>
      <c r="N239" s="55"/>
    </row>
    <row r="240" spans="1:14">
      <c r="A240" t="s">
        <v>323</v>
      </c>
      <c r="B240" t="s">
        <v>324</v>
      </c>
      <c r="C240" s="55">
        <v>555788.06000000006</v>
      </c>
      <c r="D240" s="55">
        <v>3949529.2</v>
      </c>
      <c r="E240" s="55"/>
      <c r="F240" s="55"/>
      <c r="G240" s="55"/>
      <c r="H240" s="55"/>
      <c r="I240" s="55"/>
      <c r="J240" s="55">
        <v>408698.33</v>
      </c>
      <c r="K240" s="55"/>
      <c r="L240" s="55">
        <v>51165.95</v>
      </c>
      <c r="M240" s="55"/>
      <c r="N240" s="55"/>
    </row>
    <row r="241" spans="1:14">
      <c r="A241" t="s">
        <v>615</v>
      </c>
      <c r="B241" t="s">
        <v>616</v>
      </c>
      <c r="C241" s="55">
        <v>34193.94</v>
      </c>
      <c r="D241" s="55">
        <v>120204.22</v>
      </c>
      <c r="E241" s="55"/>
      <c r="F241" s="55"/>
      <c r="G241" s="55"/>
      <c r="H241" s="55"/>
      <c r="I241" s="55"/>
      <c r="J241" s="55">
        <v>11015.7</v>
      </c>
      <c r="K241" s="55"/>
      <c r="L241" s="55"/>
      <c r="M241" s="55"/>
      <c r="N241" s="55"/>
    </row>
    <row r="242" spans="1:14">
      <c r="A242" t="s">
        <v>255</v>
      </c>
      <c r="B242" t="s">
        <v>256</v>
      </c>
      <c r="C242" s="55">
        <v>9472</v>
      </c>
      <c r="D242" s="55">
        <v>144112.22</v>
      </c>
      <c r="E242" s="55"/>
      <c r="F242" s="55"/>
      <c r="G242" s="55"/>
      <c r="H242" s="55"/>
      <c r="I242" s="55"/>
      <c r="J242" s="55">
        <v>19576</v>
      </c>
      <c r="K242" s="55"/>
      <c r="L242" s="55"/>
      <c r="M242" s="55"/>
      <c r="N242" s="55"/>
    </row>
    <row r="243" spans="1:14">
      <c r="A243" t="s">
        <v>267</v>
      </c>
      <c r="B243" t="s">
        <v>268</v>
      </c>
      <c r="C243" s="55">
        <v>24320.97</v>
      </c>
      <c r="D243" s="55">
        <v>49752.56</v>
      </c>
      <c r="E243" s="55"/>
      <c r="F243" s="55"/>
      <c r="G243" s="55"/>
      <c r="H243" s="55"/>
      <c r="I243" s="55"/>
      <c r="J243" s="55">
        <v>5327</v>
      </c>
      <c r="K243" s="55"/>
      <c r="L243" s="55"/>
      <c r="M243" s="55"/>
      <c r="N243" s="55"/>
    </row>
    <row r="244" spans="1:14">
      <c r="A244" t="s">
        <v>555</v>
      </c>
      <c r="B244" t="s">
        <v>556</v>
      </c>
      <c r="C244" s="55">
        <v>42753.33</v>
      </c>
      <c r="D244" s="55">
        <v>356022.68</v>
      </c>
      <c r="E244" s="55"/>
      <c r="F244" s="55"/>
      <c r="G244" s="55"/>
      <c r="H244" s="55"/>
      <c r="I244" s="55"/>
      <c r="J244" s="55">
        <v>42043</v>
      </c>
      <c r="K244" s="55"/>
      <c r="L244" s="55">
        <v>8843.7099999999991</v>
      </c>
      <c r="M244" s="55"/>
      <c r="N244" s="55"/>
    </row>
    <row r="245" spans="1:14">
      <c r="A245" t="s">
        <v>427</v>
      </c>
      <c r="B245" t="s">
        <v>428</v>
      </c>
      <c r="C245" s="55">
        <v>638385.18000000005</v>
      </c>
      <c r="D245" s="55">
        <v>4655254.7699999996</v>
      </c>
      <c r="E245" s="55"/>
      <c r="F245" s="55">
        <v>65198.52</v>
      </c>
      <c r="G245" s="55"/>
      <c r="H245" s="55"/>
      <c r="I245" s="55"/>
      <c r="J245" s="55">
        <v>559904.41</v>
      </c>
      <c r="K245" s="55"/>
      <c r="L245" s="55">
        <v>65198.38</v>
      </c>
      <c r="M245" s="55"/>
      <c r="N245" s="55"/>
    </row>
    <row r="246" spans="1:14">
      <c r="A246" t="s">
        <v>93</v>
      </c>
      <c r="B246" t="s">
        <v>94</v>
      </c>
      <c r="C246" s="55">
        <v>101919.61</v>
      </c>
      <c r="D246" s="55">
        <v>808898.49</v>
      </c>
      <c r="E246" s="55"/>
      <c r="F246" s="55">
        <v>4467.32</v>
      </c>
      <c r="G246" s="55"/>
      <c r="H246" s="55"/>
      <c r="I246" s="55"/>
      <c r="J246" s="55">
        <v>110821.89</v>
      </c>
      <c r="K246" s="55"/>
      <c r="L246" s="55">
        <v>5497.23</v>
      </c>
      <c r="M246" s="55"/>
      <c r="N246" s="55">
        <v>17541.759999999998</v>
      </c>
    </row>
    <row r="247" spans="1:14">
      <c r="A247" t="s">
        <v>399</v>
      </c>
      <c r="B247" t="s">
        <v>400</v>
      </c>
      <c r="C247" s="55">
        <v>27397.73</v>
      </c>
      <c r="D247" s="55">
        <v>265148.34999999998</v>
      </c>
      <c r="E247" s="55"/>
      <c r="F247" s="55"/>
      <c r="G247" s="55"/>
      <c r="H247" s="55"/>
      <c r="I247" s="55"/>
      <c r="J247" s="55">
        <v>48147</v>
      </c>
      <c r="K247" s="55"/>
      <c r="L247" s="55"/>
      <c r="M247" s="55"/>
      <c r="N247" s="55"/>
    </row>
    <row r="248" spans="1:14">
      <c r="A248" t="s">
        <v>183</v>
      </c>
      <c r="B248" t="s">
        <v>184</v>
      </c>
      <c r="C248" s="55">
        <v>26337.31</v>
      </c>
      <c r="D248" s="55">
        <v>225047.94</v>
      </c>
      <c r="E248" s="55"/>
      <c r="F248" s="55"/>
      <c r="G248" s="55"/>
      <c r="H248" s="55"/>
      <c r="I248" s="55"/>
      <c r="J248" s="55">
        <v>36836</v>
      </c>
      <c r="K248" s="55"/>
      <c r="L248" s="55"/>
      <c r="M248" s="55"/>
      <c r="N248" s="55"/>
    </row>
    <row r="249" spans="1:14">
      <c r="A249" t="s">
        <v>529</v>
      </c>
      <c r="B249" t="s">
        <v>530</v>
      </c>
      <c r="C249" s="55">
        <v>6346.53</v>
      </c>
      <c r="D249" s="55">
        <v>62864.93</v>
      </c>
      <c r="E249" s="55"/>
      <c r="F249" s="55"/>
      <c r="G249" s="55"/>
      <c r="H249" s="55"/>
      <c r="I249" s="55"/>
      <c r="J249" s="55">
        <v>8767</v>
      </c>
      <c r="K249" s="55"/>
      <c r="L249" s="55"/>
      <c r="M249" s="55"/>
      <c r="N249" s="55"/>
    </row>
    <row r="250" spans="1:14">
      <c r="A250" t="s">
        <v>97</v>
      </c>
      <c r="B250" t="s">
        <v>98</v>
      </c>
      <c r="C250" s="55">
        <v>35286.1</v>
      </c>
      <c r="D250" s="55">
        <v>286740.53999999998</v>
      </c>
      <c r="E250" s="55"/>
      <c r="F250" s="55"/>
      <c r="G250" s="55"/>
      <c r="H250" s="55"/>
      <c r="I250" s="55"/>
      <c r="J250" s="55">
        <v>40859</v>
      </c>
      <c r="K250" s="55"/>
      <c r="L250" s="55"/>
      <c r="M250" s="55"/>
      <c r="N250" s="55"/>
    </row>
    <row r="251" spans="1:14">
      <c r="A251" t="s">
        <v>153</v>
      </c>
      <c r="B251" t="s">
        <v>154</v>
      </c>
      <c r="C251" s="55">
        <v>19356.169999999998</v>
      </c>
      <c r="D251" s="55">
        <v>169119.72</v>
      </c>
      <c r="E251" s="55"/>
      <c r="F251" s="55"/>
      <c r="G251" s="55"/>
      <c r="H251" s="55"/>
      <c r="I251" s="55"/>
      <c r="J251" s="55">
        <v>20563</v>
      </c>
      <c r="K251" s="55"/>
      <c r="L251" s="55"/>
      <c r="M251" s="55"/>
      <c r="N251" s="55"/>
    </row>
    <row r="252" spans="1:14">
      <c r="A252" t="s">
        <v>469</v>
      </c>
      <c r="B252" t="s">
        <v>470</v>
      </c>
      <c r="C252" s="55">
        <v>26269</v>
      </c>
      <c r="D252" s="55">
        <v>268177.09000000003</v>
      </c>
      <c r="E252" s="55"/>
      <c r="F252" s="55"/>
      <c r="G252" s="55"/>
      <c r="H252" s="55"/>
      <c r="I252" s="55"/>
      <c r="J252" s="55">
        <v>45206.46</v>
      </c>
      <c r="K252" s="55"/>
      <c r="L252" s="55"/>
      <c r="M252" s="55"/>
      <c r="N252" s="55"/>
    </row>
    <row r="253" spans="1:14">
      <c r="A253" t="s">
        <v>473</v>
      </c>
      <c r="B253" t="s">
        <v>474</v>
      </c>
      <c r="C253" s="55">
        <v>27067.9</v>
      </c>
      <c r="D253" s="55">
        <v>270503.69</v>
      </c>
      <c r="E253" s="55"/>
      <c r="F253" s="55"/>
      <c r="G253" s="55"/>
      <c r="H253" s="55"/>
      <c r="I253" s="55"/>
      <c r="J253" s="55">
        <v>70527</v>
      </c>
      <c r="K253" s="55"/>
      <c r="L253" s="55"/>
      <c r="M253" s="55"/>
      <c r="N253" s="55"/>
    </row>
    <row r="254" spans="1:14">
      <c r="A254" t="s">
        <v>363</v>
      </c>
      <c r="B254" t="s">
        <v>364</v>
      </c>
      <c r="C254" s="55">
        <v>32381.759999999998</v>
      </c>
      <c r="D254" s="55">
        <v>274631</v>
      </c>
      <c r="E254" s="55"/>
      <c r="F254" s="55"/>
      <c r="G254" s="55"/>
      <c r="H254" s="55"/>
      <c r="I254" s="55"/>
      <c r="J254" s="55">
        <v>49503.08</v>
      </c>
      <c r="K254" s="55"/>
      <c r="L254" s="55"/>
      <c r="M254" s="55"/>
      <c r="N254" s="55"/>
    </row>
    <row r="255" spans="1:14">
      <c r="A255" t="s">
        <v>577</v>
      </c>
      <c r="B255" t="s">
        <v>578</v>
      </c>
      <c r="C255" s="55">
        <v>113759.88</v>
      </c>
      <c r="D255" s="55">
        <v>935622.65</v>
      </c>
      <c r="E255" s="55"/>
      <c r="F255" s="55"/>
      <c r="G255" s="55"/>
      <c r="H255" s="55"/>
      <c r="I255" s="55"/>
      <c r="J255" s="55">
        <v>45742.97</v>
      </c>
      <c r="K255" s="55"/>
      <c r="L255" s="55">
        <v>27547.86</v>
      </c>
      <c r="M255" s="55"/>
      <c r="N255" s="55"/>
    </row>
    <row r="256" spans="1:14">
      <c r="A256" t="s">
        <v>331</v>
      </c>
      <c r="B256" t="s">
        <v>332</v>
      </c>
      <c r="C256" s="55">
        <v>244570.69</v>
      </c>
      <c r="D256" s="55">
        <v>2192414.92</v>
      </c>
      <c r="E256" s="55"/>
      <c r="F256" s="55"/>
      <c r="G256" s="55"/>
      <c r="H256" s="55"/>
      <c r="I256" s="55"/>
      <c r="J256" s="55">
        <v>305443.78000000003</v>
      </c>
      <c r="K256" s="55"/>
      <c r="L256" s="55"/>
      <c r="M256" s="55"/>
      <c r="N256" s="55"/>
    </row>
    <row r="257" spans="1:14">
      <c r="A257" t="s">
        <v>639</v>
      </c>
      <c r="B257" t="s">
        <v>640</v>
      </c>
      <c r="C257" s="55">
        <v>6138267.8700000001</v>
      </c>
      <c r="D257" s="55">
        <v>27603379.899999999</v>
      </c>
      <c r="E257" s="55"/>
      <c r="F257" s="55"/>
      <c r="G257" s="55"/>
      <c r="H257" s="55"/>
      <c r="I257" s="55"/>
      <c r="J257" s="55">
        <v>3826897.12</v>
      </c>
      <c r="K257" s="55"/>
      <c r="L257" s="55">
        <v>310046.18</v>
      </c>
      <c r="M257" s="55"/>
      <c r="N257" s="55"/>
    </row>
    <row r="258" spans="1:14">
      <c r="A258" t="s">
        <v>139</v>
      </c>
      <c r="B258" t="s">
        <v>140</v>
      </c>
      <c r="C258" s="55">
        <v>829044.92</v>
      </c>
      <c r="D258" s="55">
        <v>5273478.78</v>
      </c>
      <c r="E258" s="55"/>
      <c r="F258" s="55"/>
      <c r="G258" s="55"/>
      <c r="H258" s="55"/>
      <c r="I258" s="55"/>
      <c r="J258" s="55">
        <v>685943.78</v>
      </c>
      <c r="K258" s="55"/>
      <c r="L258" s="55"/>
      <c r="M258" s="55"/>
      <c r="N258" s="55"/>
    </row>
    <row r="259" spans="1:14">
      <c r="A259" t="s">
        <v>483</v>
      </c>
      <c r="B259" t="s">
        <v>484</v>
      </c>
      <c r="C259" s="55">
        <v>781410.9</v>
      </c>
      <c r="D259" s="55">
        <v>5666063.5499999998</v>
      </c>
      <c r="E259" s="55">
        <v>251746.92</v>
      </c>
      <c r="F259" s="55"/>
      <c r="G259" s="55"/>
      <c r="H259" s="55"/>
      <c r="I259" s="55"/>
      <c r="J259" s="55">
        <v>858290.87</v>
      </c>
      <c r="K259" s="55"/>
      <c r="L259" s="55"/>
      <c r="M259" s="55"/>
      <c r="N259" s="55">
        <v>85837.4</v>
      </c>
    </row>
    <row r="260" spans="1:14">
      <c r="A260" t="s">
        <v>285</v>
      </c>
      <c r="B260" t="s">
        <v>286</v>
      </c>
      <c r="C260" s="55">
        <v>133952.88</v>
      </c>
      <c r="D260" s="55">
        <v>833005.34</v>
      </c>
      <c r="E260" s="55"/>
      <c r="F260" s="55"/>
      <c r="G260" s="55"/>
      <c r="H260" s="55"/>
      <c r="I260" s="55"/>
      <c r="J260" s="55">
        <v>223565</v>
      </c>
      <c r="K260" s="55"/>
      <c r="L260" s="55"/>
      <c r="M260" s="55"/>
      <c r="N260" s="55"/>
    </row>
    <row r="261" spans="1:14">
      <c r="A261" t="s">
        <v>191</v>
      </c>
      <c r="B261" t="s">
        <v>192</v>
      </c>
      <c r="C261" s="55">
        <v>1516434.65</v>
      </c>
      <c r="D261" s="55">
        <v>6623000.2199999997</v>
      </c>
      <c r="E261" s="55"/>
      <c r="F261" s="55"/>
      <c r="G261" s="55"/>
      <c r="H261" s="55"/>
      <c r="I261" s="55"/>
      <c r="J261" s="55">
        <v>828371</v>
      </c>
      <c r="K261" s="55"/>
      <c r="L261" s="55"/>
      <c r="M261" s="55"/>
      <c r="N261" s="55"/>
    </row>
    <row r="262" spans="1:14">
      <c r="A262" t="s">
        <v>545</v>
      </c>
      <c r="B262" t="s">
        <v>546</v>
      </c>
      <c r="C262" s="55">
        <v>1966907.06</v>
      </c>
      <c r="D262" s="55">
        <v>10027904.34</v>
      </c>
      <c r="E262" s="55"/>
      <c r="F262" s="55"/>
      <c r="G262" s="55"/>
      <c r="H262" s="55"/>
      <c r="I262" s="55"/>
      <c r="J262" s="55">
        <v>1497794.94</v>
      </c>
      <c r="K262" s="55"/>
      <c r="L262" s="55"/>
      <c r="M262" s="55"/>
      <c r="N262" s="55"/>
    </row>
    <row r="263" spans="1:14">
      <c r="A263" t="s">
        <v>565</v>
      </c>
      <c r="B263" t="s">
        <v>566</v>
      </c>
      <c r="C263" s="55">
        <v>652421.71</v>
      </c>
      <c r="D263" s="55">
        <v>5965240.5700000003</v>
      </c>
      <c r="E263" s="55"/>
      <c r="F263" s="55">
        <v>39112.300000000003</v>
      </c>
      <c r="G263" s="55"/>
      <c r="H263" s="55">
        <v>74923</v>
      </c>
      <c r="I263" s="55"/>
      <c r="J263" s="55">
        <v>886942</v>
      </c>
      <c r="K263" s="55"/>
      <c r="L263" s="55">
        <v>39112.300000000003</v>
      </c>
      <c r="M263" s="55"/>
      <c r="N263" s="55"/>
    </row>
    <row r="264" spans="1:14">
      <c r="A264" t="s">
        <v>207</v>
      </c>
      <c r="B264" t="s">
        <v>208</v>
      </c>
      <c r="C264" s="55">
        <v>277979.21000000002</v>
      </c>
      <c r="D264" s="55">
        <v>1539326.9</v>
      </c>
      <c r="E264" s="55"/>
      <c r="F264" s="55"/>
      <c r="G264" s="55"/>
      <c r="H264" s="55"/>
      <c r="I264" s="55"/>
      <c r="J264" s="55">
        <v>195308.22</v>
      </c>
      <c r="K264" s="55"/>
      <c r="L264" s="55"/>
      <c r="M264" s="55"/>
      <c r="N264" s="55"/>
    </row>
    <row r="265" spans="1:14">
      <c r="A265" t="s">
        <v>193</v>
      </c>
      <c r="B265" t="s">
        <v>194</v>
      </c>
      <c r="C265" s="55">
        <v>494170.55</v>
      </c>
      <c r="D265" s="55">
        <v>2489081.59</v>
      </c>
      <c r="E265" s="55"/>
      <c r="F265" s="55"/>
      <c r="G265" s="55"/>
      <c r="H265" s="55">
        <v>18302</v>
      </c>
      <c r="I265" s="55"/>
      <c r="J265" s="55">
        <v>412687.43</v>
      </c>
      <c r="K265" s="55"/>
      <c r="L265" s="55"/>
      <c r="M265" s="55"/>
      <c r="N265" s="55"/>
    </row>
    <row r="266" spans="1:14">
      <c r="A266" t="s">
        <v>643</v>
      </c>
      <c r="B266" t="s">
        <v>644</v>
      </c>
      <c r="C266" s="55">
        <v>228383.01</v>
      </c>
      <c r="D266" s="55">
        <v>1636711.63</v>
      </c>
      <c r="E266" s="55"/>
      <c r="F266" s="55"/>
      <c r="G266" s="55"/>
      <c r="H266" s="55"/>
      <c r="I266" s="55"/>
      <c r="J266" s="55">
        <v>275395.40000000002</v>
      </c>
      <c r="K266" s="55"/>
      <c r="L266" s="55"/>
      <c r="M266" s="55"/>
      <c r="N266" s="55"/>
    </row>
    <row r="267" spans="1:14">
      <c r="A267" t="s">
        <v>597</v>
      </c>
      <c r="B267" t="s">
        <v>598</v>
      </c>
      <c r="C267" s="55">
        <v>775535.29</v>
      </c>
      <c r="D267" s="55">
        <v>4753963.0199999996</v>
      </c>
      <c r="E267" s="55"/>
      <c r="F267" s="55"/>
      <c r="G267" s="55"/>
      <c r="H267" s="55">
        <v>124682</v>
      </c>
      <c r="I267" s="55"/>
      <c r="J267" s="55">
        <v>748996.21</v>
      </c>
      <c r="K267" s="55"/>
      <c r="L267" s="55"/>
      <c r="M267" s="55"/>
      <c r="N267" s="55"/>
    </row>
    <row r="268" spans="1:14">
      <c r="A268" t="s">
        <v>611</v>
      </c>
      <c r="B268" t="s">
        <v>612</v>
      </c>
      <c r="C268" s="55">
        <v>1415771.35</v>
      </c>
      <c r="D268" s="55">
        <v>9192671.1899999995</v>
      </c>
      <c r="E268" s="55"/>
      <c r="F268" s="55"/>
      <c r="G268" s="55"/>
      <c r="H268" s="55"/>
      <c r="I268" s="55"/>
      <c r="J268" s="55">
        <v>1219118.31</v>
      </c>
      <c r="K268" s="55"/>
      <c r="L268" s="55"/>
      <c r="M268" s="55"/>
      <c r="N268" s="55"/>
    </row>
    <row r="269" spans="1:14">
      <c r="A269" t="s">
        <v>321</v>
      </c>
      <c r="B269" t="s">
        <v>322</v>
      </c>
      <c r="C269" s="55">
        <v>191613.1</v>
      </c>
      <c r="D269" s="55">
        <v>1276452.6399999999</v>
      </c>
      <c r="E269" s="55"/>
      <c r="F269" s="55"/>
      <c r="G269" s="55"/>
      <c r="H269" s="55">
        <v>83502</v>
      </c>
      <c r="I269" s="55"/>
      <c r="J269" s="55">
        <v>255955</v>
      </c>
      <c r="K269" s="55"/>
      <c r="L269" s="55"/>
      <c r="M269" s="55"/>
      <c r="N269" s="55"/>
    </row>
    <row r="270" spans="1:14">
      <c r="A270" t="s">
        <v>982</v>
      </c>
      <c r="B270" t="e">
        <v>#N/A</v>
      </c>
      <c r="C270" s="55">
        <v>38609.160000000003</v>
      </c>
      <c r="D270" s="55">
        <v>36927.71</v>
      </c>
      <c r="E270" s="55"/>
      <c r="F270" s="55"/>
      <c r="G270" s="55"/>
      <c r="H270" s="55"/>
      <c r="I270" s="55"/>
      <c r="J270" s="55"/>
      <c r="K270" s="55"/>
      <c r="L270" s="55"/>
      <c r="M270" s="55"/>
      <c r="N270" s="55"/>
    </row>
    <row r="271" spans="1:14">
      <c r="A271" t="s">
        <v>603</v>
      </c>
      <c r="B271" t="s">
        <v>604</v>
      </c>
      <c r="C271" s="55">
        <v>11574.17</v>
      </c>
      <c r="D271" s="55">
        <v>121410.81</v>
      </c>
      <c r="E271" s="55"/>
      <c r="F271" s="55"/>
      <c r="G271" s="55"/>
      <c r="H271" s="55"/>
      <c r="I271" s="55"/>
      <c r="J271" s="55">
        <v>22017</v>
      </c>
      <c r="K271" s="55"/>
      <c r="L271" s="55"/>
      <c r="M271" s="55"/>
      <c r="N271" s="55"/>
    </row>
    <row r="272" spans="1:14">
      <c r="A272" t="s">
        <v>34</v>
      </c>
      <c r="B272" t="s">
        <v>35</v>
      </c>
      <c r="C272" s="55"/>
      <c r="D272" s="55">
        <v>6958.91</v>
      </c>
      <c r="E272" s="55"/>
      <c r="F272" s="55"/>
      <c r="G272" s="55"/>
      <c r="H272" s="55"/>
      <c r="I272" s="55"/>
      <c r="J272" s="55">
        <v>1167.83</v>
      </c>
      <c r="K272" s="55"/>
      <c r="L272" s="55"/>
      <c r="M272" s="55"/>
      <c r="N272" s="55"/>
    </row>
    <row r="273" spans="1:14">
      <c r="A273" t="s">
        <v>395</v>
      </c>
      <c r="B273" t="s">
        <v>396</v>
      </c>
      <c r="C273" s="55">
        <v>1070959.19</v>
      </c>
      <c r="D273" s="55">
        <v>6009017.3499999996</v>
      </c>
      <c r="E273" s="55"/>
      <c r="F273" s="55">
        <v>30591.09</v>
      </c>
      <c r="G273" s="55"/>
      <c r="H273" s="55"/>
      <c r="I273" s="55"/>
      <c r="J273" s="55">
        <v>956337.84</v>
      </c>
      <c r="K273" s="55"/>
      <c r="L273" s="55">
        <v>30591.119999999999</v>
      </c>
      <c r="M273" s="55"/>
      <c r="N273" s="55">
        <v>88374</v>
      </c>
    </row>
    <row r="274" spans="1:14">
      <c r="A274" t="s">
        <v>271</v>
      </c>
      <c r="B274" t="s">
        <v>272</v>
      </c>
      <c r="C274" s="55">
        <v>16907.810000000001</v>
      </c>
      <c r="D274" s="55">
        <v>167667</v>
      </c>
      <c r="E274" s="55"/>
      <c r="F274" s="55"/>
      <c r="G274" s="55"/>
      <c r="H274" s="55"/>
      <c r="I274" s="55"/>
      <c r="J274" s="55">
        <v>55436</v>
      </c>
      <c r="K274" s="55"/>
      <c r="L274" s="55"/>
      <c r="M274" s="55"/>
      <c r="N274" s="55"/>
    </row>
    <row r="275" spans="1:14">
      <c r="A275" t="s">
        <v>459</v>
      </c>
      <c r="B275" t="s">
        <v>460</v>
      </c>
      <c r="C275" s="55">
        <v>56905.36</v>
      </c>
      <c r="D275" s="55">
        <v>582903.14</v>
      </c>
      <c r="E275" s="55"/>
      <c r="F275" s="55"/>
      <c r="G275" s="55"/>
      <c r="H275" s="55"/>
      <c r="I275" s="55"/>
      <c r="J275" s="55">
        <v>91875.48</v>
      </c>
      <c r="K275" s="55"/>
      <c r="L275" s="55"/>
      <c r="M275" s="55"/>
      <c r="N275" s="55"/>
    </row>
    <row r="276" spans="1:14">
      <c r="A276" t="s">
        <v>87</v>
      </c>
      <c r="B276" t="s">
        <v>88</v>
      </c>
      <c r="C276" s="55">
        <v>890877.67</v>
      </c>
      <c r="D276" s="55">
        <v>4682517.3</v>
      </c>
      <c r="E276" s="55"/>
      <c r="F276" s="55"/>
      <c r="G276" s="55"/>
      <c r="H276" s="55"/>
      <c r="I276" s="55"/>
      <c r="J276" s="55">
        <v>642139.01</v>
      </c>
      <c r="K276" s="55"/>
      <c r="L276" s="55">
        <v>77748.05</v>
      </c>
      <c r="M276" s="55"/>
      <c r="N276" s="55"/>
    </row>
    <row r="277" spans="1:14">
      <c r="A277" t="s">
        <v>19</v>
      </c>
      <c r="B277" t="s">
        <v>21</v>
      </c>
      <c r="C277" s="55">
        <v>181763.95</v>
      </c>
      <c r="D277" s="55">
        <v>1105492.8</v>
      </c>
      <c r="E277" s="55"/>
      <c r="F277" s="55"/>
      <c r="G277" s="55"/>
      <c r="H277" s="55"/>
      <c r="I277" s="55"/>
      <c r="J277" s="55">
        <v>197549.59</v>
      </c>
      <c r="K277" s="55"/>
      <c r="L277" s="55">
        <v>21155.84</v>
      </c>
      <c r="M277" s="55"/>
      <c r="N277" s="55"/>
    </row>
    <row r="278" spans="1:14">
      <c r="A278" t="s">
        <v>239</v>
      </c>
      <c r="B278" t="s">
        <v>240</v>
      </c>
      <c r="C278" s="55">
        <v>6530569.6600000001</v>
      </c>
      <c r="D278" s="55">
        <v>29405128.699999999</v>
      </c>
      <c r="E278" s="55"/>
      <c r="F278" s="55">
        <v>155450.1</v>
      </c>
      <c r="G278" s="55"/>
      <c r="H278" s="55"/>
      <c r="I278" s="55"/>
      <c r="J278" s="55">
        <v>4128982.63</v>
      </c>
      <c r="K278" s="55"/>
      <c r="L278" s="55">
        <v>175821.77</v>
      </c>
      <c r="M278" s="55"/>
      <c r="N278" s="55"/>
    </row>
    <row r="279" spans="1:14">
      <c r="A279" t="s">
        <v>405</v>
      </c>
      <c r="B279" t="s">
        <v>406</v>
      </c>
      <c r="C279" s="55">
        <v>19062.060000000001</v>
      </c>
      <c r="D279" s="55">
        <v>251753.60000000001</v>
      </c>
      <c r="E279" s="55"/>
      <c r="F279" s="55"/>
      <c r="G279" s="55"/>
      <c r="H279" s="55"/>
      <c r="I279" s="55"/>
      <c r="J279" s="55"/>
      <c r="K279" s="55"/>
      <c r="L279" s="55"/>
      <c r="M279" s="55"/>
      <c r="N279" s="55"/>
    </row>
    <row r="280" spans="1:14">
      <c r="A280" t="s">
        <v>245</v>
      </c>
      <c r="B280" t="s">
        <v>246</v>
      </c>
      <c r="C280" s="55">
        <v>339358.38</v>
      </c>
      <c r="D280" s="55">
        <v>2234304.65</v>
      </c>
      <c r="E280" s="55"/>
      <c r="F280" s="55"/>
      <c r="G280" s="55"/>
      <c r="H280" s="55"/>
      <c r="I280" s="55"/>
      <c r="J280" s="55">
        <v>263131.71000000002</v>
      </c>
      <c r="K280" s="55"/>
      <c r="L280" s="55"/>
      <c r="M280" s="55"/>
      <c r="N280" s="55"/>
    </row>
    <row r="281" spans="1:14">
      <c r="A281" t="s">
        <v>177</v>
      </c>
      <c r="B281" t="s">
        <v>178</v>
      </c>
      <c r="C281" s="55">
        <v>264381.8</v>
      </c>
      <c r="D281" s="55">
        <v>1391278.74</v>
      </c>
      <c r="E281" s="55"/>
      <c r="F281" s="55"/>
      <c r="G281" s="55"/>
      <c r="H281" s="55"/>
      <c r="I281" s="55"/>
      <c r="J281" s="55">
        <v>225724.68</v>
      </c>
      <c r="K281" s="55"/>
      <c r="L281" s="55">
        <v>34467.800000000003</v>
      </c>
      <c r="M281" s="55"/>
      <c r="N281" s="55"/>
    </row>
    <row r="282" spans="1:14">
      <c r="A282" t="s">
        <v>425</v>
      </c>
      <c r="B282" t="s">
        <v>426</v>
      </c>
      <c r="C282" s="55">
        <v>824860.82</v>
      </c>
      <c r="D282" s="55">
        <v>4212325.37</v>
      </c>
      <c r="E282" s="55"/>
      <c r="F282" s="55"/>
      <c r="G282" s="55"/>
      <c r="H282" s="55"/>
      <c r="I282" s="55"/>
      <c r="J282" s="55">
        <v>690548.67</v>
      </c>
      <c r="K282" s="55"/>
      <c r="L282" s="55">
        <v>105569.38</v>
      </c>
      <c r="M282" s="55"/>
      <c r="N282" s="55"/>
    </row>
    <row r="283" spans="1:14">
      <c r="A283" t="s">
        <v>455</v>
      </c>
      <c r="B283" t="s">
        <v>456</v>
      </c>
      <c r="C283" s="55">
        <v>5010949.05</v>
      </c>
      <c r="D283" s="55">
        <v>26008877.800000001</v>
      </c>
      <c r="E283" s="55"/>
      <c r="F283" s="55">
        <v>392088.1</v>
      </c>
      <c r="G283" s="55"/>
      <c r="H283" s="55"/>
      <c r="I283" s="55"/>
      <c r="J283" s="55">
        <v>2891412.56</v>
      </c>
      <c r="K283" s="55"/>
      <c r="L283" s="55"/>
      <c r="M283" s="55"/>
      <c r="N283" s="55"/>
    </row>
    <row r="284" spans="1:14">
      <c r="A284" t="s">
        <v>289</v>
      </c>
      <c r="B284" t="s">
        <v>290</v>
      </c>
      <c r="C284" s="55">
        <v>126991.24</v>
      </c>
      <c r="D284" s="55">
        <v>975009.9</v>
      </c>
      <c r="E284" s="55"/>
      <c r="F284" s="55"/>
      <c r="G284" s="55"/>
      <c r="H284" s="55"/>
      <c r="I284" s="55"/>
      <c r="J284" s="55"/>
      <c r="K284" s="55"/>
      <c r="L284" s="55"/>
      <c r="M284" s="55"/>
      <c r="N284" s="55"/>
    </row>
    <row r="285" spans="1:14">
      <c r="A285" t="s">
        <v>155</v>
      </c>
      <c r="B285" t="s">
        <v>156</v>
      </c>
      <c r="C285" s="55">
        <v>62379.3</v>
      </c>
      <c r="D285" s="55">
        <v>518636.39</v>
      </c>
      <c r="E285" s="55"/>
      <c r="F285" s="55"/>
      <c r="G285" s="55"/>
      <c r="H285" s="55"/>
      <c r="I285" s="55"/>
      <c r="J285" s="55"/>
      <c r="K285" s="55"/>
      <c r="L285" s="55"/>
      <c r="M285" s="55"/>
      <c r="N285" s="55"/>
    </row>
    <row r="286" spans="1:14">
      <c r="A286" t="s">
        <v>257</v>
      </c>
      <c r="B286" t="s">
        <v>258</v>
      </c>
      <c r="C286" s="55">
        <v>187360.31</v>
      </c>
      <c r="D286" s="55">
        <v>1839956.61</v>
      </c>
      <c r="E286" s="55"/>
      <c r="F286" s="55"/>
      <c r="G286" s="55"/>
      <c r="H286" s="55"/>
      <c r="I286" s="55"/>
      <c r="J286" s="55">
        <v>322617.36</v>
      </c>
      <c r="K286" s="55"/>
      <c r="L286" s="55"/>
      <c r="M286" s="55"/>
      <c r="N286" s="55"/>
    </row>
    <row r="287" spans="1:14">
      <c r="A287" t="s">
        <v>65</v>
      </c>
      <c r="B287" t="s">
        <v>66</v>
      </c>
      <c r="C287" s="55">
        <v>213730.53</v>
      </c>
      <c r="D287" s="55">
        <v>2321040.62</v>
      </c>
      <c r="E287" s="55"/>
      <c r="F287" s="55"/>
      <c r="G287" s="55"/>
      <c r="H287" s="55"/>
      <c r="I287" s="55"/>
      <c r="J287" s="55">
        <v>361848.25</v>
      </c>
      <c r="K287" s="55"/>
      <c r="L287" s="55">
        <v>93094.45</v>
      </c>
      <c r="M287" s="55"/>
      <c r="N287" s="55"/>
    </row>
    <row r="288" spans="1:14">
      <c r="A288" t="s">
        <v>609</v>
      </c>
      <c r="B288" t="s">
        <v>610</v>
      </c>
      <c r="C288" s="55">
        <v>1571462.06</v>
      </c>
      <c r="D288" s="55">
        <v>13216429.689999999</v>
      </c>
      <c r="E288" s="55"/>
      <c r="F288" s="55">
        <v>200505.01</v>
      </c>
      <c r="G288" s="55"/>
      <c r="H288" s="55"/>
      <c r="I288" s="55"/>
      <c r="J288" s="55">
        <v>1681048.47</v>
      </c>
      <c r="K288" s="55"/>
      <c r="L288" s="55">
        <v>144784.24</v>
      </c>
      <c r="M288" s="55"/>
      <c r="N288" s="55"/>
    </row>
    <row r="289" spans="1:14">
      <c r="A289" t="s">
        <v>411</v>
      </c>
      <c r="B289" t="s">
        <v>412</v>
      </c>
      <c r="C289" s="55">
        <v>51985.120000000003</v>
      </c>
      <c r="D289" s="55">
        <v>364950.95</v>
      </c>
      <c r="E289" s="55"/>
      <c r="F289" s="55"/>
      <c r="G289" s="55"/>
      <c r="H289" s="55"/>
      <c r="I289" s="55"/>
      <c r="J289" s="55">
        <v>39821</v>
      </c>
      <c r="K289" s="55"/>
      <c r="L289" s="55"/>
      <c r="M289" s="55"/>
      <c r="N289" s="55"/>
    </row>
    <row r="290" spans="1:14">
      <c r="A290" t="s">
        <v>417</v>
      </c>
      <c r="B290" t="s">
        <v>418</v>
      </c>
      <c r="C290" s="55">
        <v>1398166.67</v>
      </c>
      <c r="D290" s="55">
        <v>7079761.4900000002</v>
      </c>
      <c r="E290" s="55"/>
      <c r="F290" s="55"/>
      <c r="G290" s="55"/>
      <c r="H290" s="55">
        <v>37176</v>
      </c>
      <c r="I290" s="55"/>
      <c r="J290" s="55">
        <v>1043044.6</v>
      </c>
      <c r="K290" s="55"/>
      <c r="L290" s="55">
        <v>130276.98</v>
      </c>
      <c r="M290" s="55"/>
      <c r="N290" s="55"/>
    </row>
    <row r="291" spans="1:14">
      <c r="A291" t="s">
        <v>115</v>
      </c>
      <c r="B291" t="s">
        <v>116</v>
      </c>
      <c r="C291" s="55">
        <v>72392.03</v>
      </c>
      <c r="D291" s="55">
        <v>560860.31999999995</v>
      </c>
      <c r="E291" s="55"/>
      <c r="F291" s="55"/>
      <c r="G291" s="55"/>
      <c r="H291" s="55">
        <v>2119</v>
      </c>
      <c r="I291" s="55"/>
      <c r="J291" s="55">
        <v>81504.179999999993</v>
      </c>
      <c r="K291" s="55"/>
      <c r="L291" s="55">
        <v>52.2</v>
      </c>
      <c r="M291" s="55"/>
      <c r="N291" s="55"/>
    </row>
    <row r="292" spans="1:14">
      <c r="A292" t="s">
        <v>487</v>
      </c>
      <c r="B292" t="s">
        <v>488</v>
      </c>
      <c r="C292" s="55">
        <v>604603.43000000005</v>
      </c>
      <c r="D292" s="55">
        <v>5518450.7999999998</v>
      </c>
      <c r="E292" s="55"/>
      <c r="F292" s="55"/>
      <c r="G292" s="55"/>
      <c r="H292" s="55"/>
      <c r="I292" s="55"/>
      <c r="J292" s="55">
        <v>586622</v>
      </c>
      <c r="K292" s="55"/>
      <c r="L292" s="55">
        <v>154366.57</v>
      </c>
      <c r="M292" s="55"/>
      <c r="N292" s="55"/>
    </row>
    <row r="293" spans="1:14">
      <c r="A293" t="s">
        <v>59</v>
      </c>
      <c r="B293" t="s">
        <v>60</v>
      </c>
      <c r="C293" s="55">
        <v>110907.86</v>
      </c>
      <c r="D293" s="55">
        <v>1078717.93</v>
      </c>
      <c r="E293" s="55"/>
      <c r="F293" s="55"/>
      <c r="G293" s="55"/>
      <c r="H293" s="55">
        <v>66344</v>
      </c>
      <c r="I293" s="55"/>
      <c r="J293" s="55">
        <v>144743.72</v>
      </c>
      <c r="K293" s="55"/>
      <c r="L293" s="55"/>
      <c r="M293" s="55"/>
      <c r="N293" s="55"/>
    </row>
    <row r="294" spans="1:14">
      <c r="A294" t="s">
        <v>437</v>
      </c>
      <c r="B294" t="s">
        <v>438</v>
      </c>
      <c r="C294" s="55">
        <v>983406.74</v>
      </c>
      <c r="D294" s="55">
        <v>6941263.9900000002</v>
      </c>
      <c r="E294" s="55"/>
      <c r="F294" s="55"/>
      <c r="G294" s="55"/>
      <c r="H294" s="55"/>
      <c r="I294" s="55"/>
      <c r="J294" s="55">
        <v>698486</v>
      </c>
      <c r="K294" s="55"/>
      <c r="L294" s="55"/>
      <c r="M294" s="55"/>
      <c r="N294" s="55"/>
    </row>
    <row r="295" spans="1:14">
      <c r="A295" t="s">
        <v>766</v>
      </c>
      <c r="B295" t="e">
        <v>#N/A</v>
      </c>
      <c r="C295" s="55">
        <v>20758.14</v>
      </c>
      <c r="D295" s="55">
        <v>197457.72</v>
      </c>
      <c r="E295" s="55"/>
      <c r="F295" s="55"/>
      <c r="G295" s="55"/>
      <c r="H295" s="55"/>
      <c r="I295" s="55"/>
      <c r="J295" s="55"/>
      <c r="K295" s="55"/>
      <c r="L295" s="55"/>
      <c r="M295" s="55"/>
      <c r="N295" s="55"/>
    </row>
    <row r="296" spans="1:14">
      <c r="A296" t="s">
        <v>583</v>
      </c>
      <c r="B296" t="s">
        <v>584</v>
      </c>
      <c r="C296" s="55">
        <v>8772548.2699999996</v>
      </c>
      <c r="D296" s="55">
        <v>47536740.759999998</v>
      </c>
      <c r="E296" s="55"/>
      <c r="F296" s="55"/>
      <c r="G296" s="55"/>
      <c r="H296" s="55"/>
      <c r="I296" s="55"/>
      <c r="J296" s="55">
        <v>5338186</v>
      </c>
      <c r="K296" s="55"/>
      <c r="L296" s="55">
        <v>515415.78</v>
      </c>
      <c r="M296" s="55"/>
      <c r="N296" s="55">
        <v>1327950</v>
      </c>
    </row>
    <row r="297" spans="1:14">
      <c r="A297" t="s">
        <v>211</v>
      </c>
      <c r="B297" t="s">
        <v>212</v>
      </c>
      <c r="C297" s="55">
        <v>363789.6</v>
      </c>
      <c r="D297" s="55">
        <v>3397193.63</v>
      </c>
      <c r="E297" s="55"/>
      <c r="F297" s="55">
        <v>11080.72</v>
      </c>
      <c r="G297" s="55"/>
      <c r="H297" s="55"/>
      <c r="I297" s="55"/>
      <c r="J297" s="55">
        <v>553425</v>
      </c>
      <c r="K297" s="55"/>
      <c r="L297" s="55">
        <v>16621.28</v>
      </c>
      <c r="M297" s="55"/>
      <c r="N297" s="55"/>
    </row>
    <row r="298" spans="1:14">
      <c r="A298" t="s">
        <v>251</v>
      </c>
      <c r="B298" t="s">
        <v>252</v>
      </c>
      <c r="C298" s="55">
        <v>535651.26</v>
      </c>
      <c r="D298" s="55">
        <v>3807307.98</v>
      </c>
      <c r="E298" s="55"/>
      <c r="F298" s="55"/>
      <c r="G298" s="55"/>
      <c r="H298" s="55"/>
      <c r="I298" s="55"/>
      <c r="J298" s="55">
        <v>407328.51</v>
      </c>
      <c r="K298" s="55"/>
      <c r="L298" s="55"/>
      <c r="M298" s="55"/>
      <c r="N298" s="55"/>
    </row>
    <row r="299" spans="1:14">
      <c r="A299" t="s">
        <v>201</v>
      </c>
      <c r="B299" t="s">
        <v>202</v>
      </c>
      <c r="C299" s="55">
        <v>25690.86</v>
      </c>
      <c r="D299" s="55">
        <v>191992.18</v>
      </c>
      <c r="E299" s="55"/>
      <c r="F299" s="55"/>
      <c r="G299" s="55"/>
      <c r="H299" s="55"/>
      <c r="I299" s="55"/>
      <c r="J299" s="55"/>
      <c r="K299" s="55"/>
      <c r="L299" s="55"/>
      <c r="M299" s="55"/>
      <c r="N299" s="55"/>
    </row>
    <row r="300" spans="1:14">
      <c r="A300" t="s">
        <v>601</v>
      </c>
      <c r="B300" t="s">
        <v>602</v>
      </c>
      <c r="C300" s="55">
        <v>1013076.16</v>
      </c>
      <c r="D300" s="55">
        <v>6480870.1500000004</v>
      </c>
      <c r="E300" s="55"/>
      <c r="F300" s="55"/>
      <c r="G300" s="55"/>
      <c r="H300" s="55"/>
      <c r="I300" s="55"/>
      <c r="J300" s="55">
        <v>679383</v>
      </c>
      <c r="K300" s="55"/>
      <c r="L300" s="55">
        <v>60416.2</v>
      </c>
      <c r="M300" s="55"/>
      <c r="N300" s="55"/>
    </row>
    <row r="301" spans="1:14">
      <c r="A301" t="s">
        <v>167</v>
      </c>
      <c r="B301" t="s">
        <v>168</v>
      </c>
      <c r="C301" s="55">
        <v>6871577.3899999997</v>
      </c>
      <c r="D301" s="55">
        <v>45470711.329999998</v>
      </c>
      <c r="E301" s="55"/>
      <c r="F301" s="55">
        <v>88753.23</v>
      </c>
      <c r="G301" s="55"/>
      <c r="H301" s="55"/>
      <c r="I301" s="55"/>
      <c r="J301" s="55">
        <v>4871878</v>
      </c>
      <c r="K301" s="55"/>
      <c r="L301" s="55">
        <v>90062.28</v>
      </c>
      <c r="M301" s="55"/>
      <c r="N301" s="55">
        <v>609435</v>
      </c>
    </row>
    <row r="302" spans="1:14">
      <c r="A302" t="s">
        <v>57</v>
      </c>
      <c r="B302" t="s">
        <v>58</v>
      </c>
      <c r="C302" s="55">
        <v>1702433.61</v>
      </c>
      <c r="D302" s="55">
        <v>13708171.17</v>
      </c>
      <c r="E302" s="55"/>
      <c r="F302" s="55"/>
      <c r="G302" s="55"/>
      <c r="H302" s="55"/>
      <c r="I302" s="55"/>
      <c r="J302" s="55">
        <v>1698587</v>
      </c>
      <c r="K302" s="55"/>
      <c r="L302" s="55"/>
      <c r="M302" s="55"/>
      <c r="N302" s="55"/>
    </row>
    <row r="303" spans="1:14">
      <c r="A303" t="s">
        <v>27</v>
      </c>
      <c r="B303" t="s">
        <v>29</v>
      </c>
      <c r="C303" s="55">
        <v>3750463.5</v>
      </c>
      <c r="D303" s="55">
        <v>24939612.670000002</v>
      </c>
      <c r="E303" s="55"/>
      <c r="F303" s="55">
        <v>135495</v>
      </c>
      <c r="G303" s="55"/>
      <c r="H303" s="55"/>
      <c r="I303" s="55"/>
      <c r="J303" s="55">
        <v>3032098.41</v>
      </c>
      <c r="K303" s="55"/>
      <c r="L303" s="55">
        <v>135495.01</v>
      </c>
      <c r="M303" s="55"/>
      <c r="N303" s="55"/>
    </row>
    <row r="304" spans="1:14">
      <c r="A304" t="s">
        <v>457</v>
      </c>
      <c r="B304" t="s">
        <v>458</v>
      </c>
      <c r="C304" s="55">
        <v>777061.12</v>
      </c>
      <c r="D304" s="55">
        <v>7003029.6699999999</v>
      </c>
      <c r="E304" s="55"/>
      <c r="F304" s="55"/>
      <c r="G304" s="55"/>
      <c r="H304" s="55"/>
      <c r="I304" s="55"/>
      <c r="J304" s="55">
        <v>704782</v>
      </c>
      <c r="K304" s="55"/>
      <c r="L304" s="55"/>
      <c r="M304" s="55">
        <v>31579.45</v>
      </c>
      <c r="N304" s="55">
        <v>233833</v>
      </c>
    </row>
    <row r="305" spans="1:14">
      <c r="A305" t="s">
        <v>699</v>
      </c>
      <c r="B305" t="s">
        <v>1430</v>
      </c>
      <c r="C305" s="55">
        <v>19930.32</v>
      </c>
      <c r="D305" s="55">
        <v>128172.69</v>
      </c>
      <c r="E305" s="55"/>
      <c r="F305" s="55"/>
      <c r="G305" s="55"/>
      <c r="H305" s="55"/>
      <c r="I305" s="55"/>
      <c r="J305" s="55">
        <v>8367</v>
      </c>
      <c r="K305" s="55"/>
      <c r="L305" s="55"/>
      <c r="M305" s="55"/>
      <c r="N305" s="55"/>
    </row>
    <row r="306" spans="1:14">
      <c r="A306" t="s">
        <v>129</v>
      </c>
      <c r="B306" t="s">
        <v>130</v>
      </c>
      <c r="C306" s="55">
        <v>74221.210000000006</v>
      </c>
      <c r="D306" s="55">
        <v>547747.14</v>
      </c>
      <c r="E306" s="55"/>
      <c r="F306" s="55"/>
      <c r="G306" s="55"/>
      <c r="H306" s="55"/>
      <c r="I306" s="55"/>
      <c r="J306" s="55"/>
      <c r="K306" s="55"/>
      <c r="L306" s="55"/>
      <c r="M306" s="55"/>
      <c r="N306" s="55"/>
    </row>
    <row r="307" spans="1:14">
      <c r="A307" t="s">
        <v>523</v>
      </c>
      <c r="B307" t="s">
        <v>524</v>
      </c>
      <c r="C307" s="55">
        <v>435470.01</v>
      </c>
      <c r="D307" s="55">
        <v>1292684.25</v>
      </c>
      <c r="E307" s="55"/>
      <c r="F307" s="55"/>
      <c r="G307" s="55"/>
      <c r="H307" s="55"/>
      <c r="I307" s="55"/>
      <c r="J307" s="55">
        <v>16030.23</v>
      </c>
      <c r="K307" s="55"/>
      <c r="L307" s="55"/>
      <c r="M307" s="55"/>
      <c r="N307" s="55"/>
    </row>
    <row r="308" spans="1:14">
      <c r="A308" t="s">
        <v>273</v>
      </c>
      <c r="B308" t="s">
        <v>274</v>
      </c>
      <c r="C308" s="55">
        <v>2630480.7000000002</v>
      </c>
      <c r="D308" s="55">
        <v>13855826.949999999</v>
      </c>
      <c r="E308" s="55"/>
      <c r="F308" s="55">
        <v>63764.98</v>
      </c>
      <c r="G308" s="55"/>
      <c r="H308" s="55"/>
      <c r="I308" s="55"/>
      <c r="J308" s="55">
        <v>1814435.75</v>
      </c>
      <c r="K308" s="55"/>
      <c r="L308" s="55">
        <v>117295.45</v>
      </c>
      <c r="M308" s="55"/>
      <c r="N308" s="55"/>
    </row>
    <row r="309" spans="1:14">
      <c r="A309" t="s">
        <v>569</v>
      </c>
      <c r="B309" t="s">
        <v>570</v>
      </c>
      <c r="C309" s="55">
        <v>146194.01</v>
      </c>
      <c r="D309" s="55">
        <v>1104673.79</v>
      </c>
      <c r="E309" s="55"/>
      <c r="F309" s="55"/>
      <c r="G309" s="55"/>
      <c r="H309" s="55"/>
      <c r="I309" s="55"/>
      <c r="J309" s="55"/>
      <c r="K309" s="55"/>
      <c r="L309" s="55"/>
      <c r="M309" s="55"/>
      <c r="N309" s="55"/>
    </row>
    <row r="310" spans="1:14">
      <c r="A310" t="s">
        <v>67</v>
      </c>
      <c r="B310" t="s">
        <v>68</v>
      </c>
      <c r="C310" s="55">
        <v>355318.69</v>
      </c>
      <c r="D310" s="55">
        <v>2966475.74</v>
      </c>
      <c r="E310" s="55"/>
      <c r="F310" s="55">
        <v>62969.45</v>
      </c>
      <c r="G310" s="55"/>
      <c r="H310" s="55"/>
      <c r="I310" s="55"/>
      <c r="J310" s="55">
        <v>327650</v>
      </c>
      <c r="K310" s="55"/>
      <c r="L310" s="55">
        <v>59985.89</v>
      </c>
      <c r="M310" s="55"/>
      <c r="N310" s="55"/>
    </row>
    <row r="311" spans="1:14">
      <c r="A311" t="s">
        <v>233</v>
      </c>
      <c r="B311" t="s">
        <v>234</v>
      </c>
      <c r="C311" s="55">
        <v>285664.99</v>
      </c>
      <c r="D311" s="55">
        <v>2141787.48</v>
      </c>
      <c r="E311" s="55"/>
      <c r="F311" s="55"/>
      <c r="G311" s="55"/>
      <c r="H311" s="55"/>
      <c r="I311" s="55"/>
      <c r="J311" s="55"/>
      <c r="K311" s="55"/>
      <c r="L311" s="55"/>
      <c r="M311" s="55"/>
      <c r="N311" s="55"/>
    </row>
    <row r="312" spans="1:14">
      <c r="A312" t="s">
        <v>637</v>
      </c>
      <c r="B312" t="s">
        <v>638</v>
      </c>
      <c r="C312" s="55">
        <v>781426.58</v>
      </c>
      <c r="D312" s="55">
        <v>5276322.92</v>
      </c>
      <c r="E312" s="55"/>
      <c r="F312" s="55">
        <v>4056.83</v>
      </c>
      <c r="G312" s="55"/>
      <c r="H312" s="55"/>
      <c r="I312" s="55"/>
      <c r="J312" s="55">
        <v>510847</v>
      </c>
      <c r="K312" s="55"/>
      <c r="L312" s="55">
        <v>4056.82</v>
      </c>
      <c r="M312" s="55"/>
      <c r="N312" s="55">
        <v>29880</v>
      </c>
    </row>
    <row r="313" spans="1:14">
      <c r="A313" t="s">
        <v>237</v>
      </c>
      <c r="B313" t="s">
        <v>238</v>
      </c>
      <c r="C313" s="55">
        <v>1854349.25</v>
      </c>
      <c r="D313" s="55">
        <v>10906825.26</v>
      </c>
      <c r="E313" s="55"/>
      <c r="F313" s="55">
        <v>65261.78</v>
      </c>
      <c r="G313" s="55"/>
      <c r="H313" s="55"/>
      <c r="I313" s="55"/>
      <c r="J313" s="55">
        <v>1227422.0900000001</v>
      </c>
      <c r="K313" s="55"/>
      <c r="L313" s="55">
        <v>65261.83</v>
      </c>
      <c r="M313" s="55"/>
      <c r="N313" s="55"/>
    </row>
    <row r="314" spans="1:14">
      <c r="A314" t="s">
        <v>389</v>
      </c>
      <c r="B314" t="s">
        <v>390</v>
      </c>
      <c r="C314" s="55">
        <v>22879.78</v>
      </c>
      <c r="D314" s="55">
        <v>192032.11</v>
      </c>
      <c r="E314" s="55"/>
      <c r="F314" s="55"/>
      <c r="G314" s="55"/>
      <c r="H314" s="55"/>
      <c r="I314" s="55"/>
      <c r="J314" s="55"/>
      <c r="K314" s="55"/>
      <c r="L314" s="55"/>
      <c r="M314" s="55"/>
      <c r="N314" s="55"/>
    </row>
    <row r="315" spans="1:14">
      <c r="A315" t="s">
        <v>51</v>
      </c>
      <c r="B315" t="s">
        <v>52</v>
      </c>
      <c r="C315" s="55">
        <v>102732.13</v>
      </c>
      <c r="D315" s="55">
        <v>1061704.3999999999</v>
      </c>
      <c r="E315" s="55"/>
      <c r="F315" s="55"/>
      <c r="G315" s="55"/>
      <c r="H315" s="55"/>
      <c r="I315" s="55"/>
      <c r="J315" s="55">
        <v>179916.5</v>
      </c>
      <c r="K315" s="55"/>
      <c r="L315" s="55">
        <v>57744.77</v>
      </c>
      <c r="M315" s="55"/>
      <c r="N315" s="55"/>
    </row>
    <row r="316" spans="1:14">
      <c r="A316" t="s">
        <v>397</v>
      </c>
      <c r="B316" t="s">
        <v>398</v>
      </c>
      <c r="C316" s="55">
        <v>3875.67</v>
      </c>
      <c r="D316" s="55">
        <v>33598.910000000003</v>
      </c>
      <c r="E316" s="55"/>
      <c r="F316" s="55"/>
      <c r="G316" s="55"/>
      <c r="H316" s="55"/>
      <c r="I316" s="55"/>
      <c r="J316" s="55">
        <v>4996.6099999999997</v>
      </c>
      <c r="K316" s="55"/>
      <c r="L316" s="55"/>
      <c r="M316" s="55"/>
      <c r="N316" s="55"/>
    </row>
    <row r="317" spans="1:14">
      <c r="A317" t="s">
        <v>141</v>
      </c>
      <c r="B317" t="s">
        <v>142</v>
      </c>
      <c r="C317" s="55">
        <v>1387942.1</v>
      </c>
      <c r="D317" s="55">
        <v>9526158.9700000007</v>
      </c>
      <c r="E317" s="55"/>
      <c r="F317" s="55">
        <v>99504.06</v>
      </c>
      <c r="G317" s="55"/>
      <c r="H317" s="55"/>
      <c r="I317" s="55"/>
      <c r="J317" s="55">
        <v>1319436.1299999999</v>
      </c>
      <c r="K317" s="55">
        <v>44238.33</v>
      </c>
      <c r="L317" s="55">
        <v>127674.17</v>
      </c>
      <c r="M317" s="55"/>
      <c r="N317" s="55"/>
    </row>
    <row r="318" spans="1:14">
      <c r="A318" t="s">
        <v>287</v>
      </c>
      <c r="B318" t="s">
        <v>288</v>
      </c>
      <c r="C318" s="55">
        <v>15051.72</v>
      </c>
      <c r="D318" s="55">
        <v>148858.06</v>
      </c>
      <c r="E318" s="55"/>
      <c r="F318" s="55"/>
      <c r="G318" s="55"/>
      <c r="H318" s="55"/>
      <c r="I318" s="55"/>
      <c r="J318" s="55"/>
      <c r="K318" s="55"/>
      <c r="L318" s="55"/>
      <c r="M318" s="55"/>
      <c r="N318" s="55"/>
    </row>
    <row r="319" spans="1:14">
      <c r="A319" t="s">
        <v>605</v>
      </c>
      <c r="B319" t="s">
        <v>606</v>
      </c>
      <c r="C319" s="55">
        <v>70906.02</v>
      </c>
      <c r="D319" s="55">
        <v>532228</v>
      </c>
      <c r="E319" s="55"/>
      <c r="F319" s="55"/>
      <c r="G319" s="55"/>
      <c r="H319" s="55"/>
      <c r="I319" s="55"/>
      <c r="J319" s="55">
        <v>5500</v>
      </c>
      <c r="K319" s="55"/>
      <c r="L319" s="55"/>
      <c r="M319" s="55"/>
      <c r="N319" s="5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20917-DD50-4F7D-AA78-9572B04B6CAA}">
  <sheetPr>
    <tabColor rgb="FF92D050"/>
  </sheetPr>
  <dimension ref="A1:C329"/>
  <sheetViews>
    <sheetView workbookViewId="0">
      <selection activeCell="I16" sqref="I16"/>
    </sheetView>
  </sheetViews>
  <sheetFormatPr defaultRowHeight="12.75"/>
  <cols>
    <col min="2" max="2" width="36.28515625" bestFit="1" customWidth="1"/>
    <col min="3" max="3" width="33.28515625" bestFit="1" customWidth="1"/>
  </cols>
  <sheetData>
    <row r="1" spans="1:3" ht="15">
      <c r="B1" s="113" t="s">
        <v>1432</v>
      </c>
      <c r="C1" s="114" t="s">
        <v>1433</v>
      </c>
    </row>
    <row r="3" spans="1:3">
      <c r="A3">
        <v>1</v>
      </c>
      <c r="B3">
        <v>2</v>
      </c>
      <c r="C3">
        <v>3</v>
      </c>
    </row>
    <row r="4" spans="1:3">
      <c r="A4" t="s">
        <v>680</v>
      </c>
      <c r="B4" t="s">
        <v>1325</v>
      </c>
      <c r="C4" t="s">
        <v>1448</v>
      </c>
    </row>
    <row r="5" spans="1:3">
      <c r="A5" t="s">
        <v>6</v>
      </c>
      <c r="B5" t="s">
        <v>988</v>
      </c>
      <c r="C5" s="55">
        <v>220553.59</v>
      </c>
    </row>
    <row r="6" spans="1:3">
      <c r="A6" t="s">
        <v>9</v>
      </c>
      <c r="B6" t="s">
        <v>989</v>
      </c>
      <c r="C6" s="55">
        <v>0</v>
      </c>
    </row>
    <row r="7" spans="1:3">
      <c r="A7" t="s">
        <v>11</v>
      </c>
      <c r="B7" t="s">
        <v>990</v>
      </c>
      <c r="C7" s="55">
        <v>0</v>
      </c>
    </row>
    <row r="8" spans="1:3">
      <c r="A8" t="s">
        <v>14</v>
      </c>
      <c r="B8" t="s">
        <v>991</v>
      </c>
      <c r="C8" s="55">
        <v>127751.03</v>
      </c>
    </row>
    <row r="9" spans="1:3">
      <c r="A9" t="s">
        <v>17</v>
      </c>
      <c r="B9" t="s">
        <v>992</v>
      </c>
      <c r="C9" s="55">
        <v>1052512.54</v>
      </c>
    </row>
    <row r="10" spans="1:3">
      <c r="A10" t="s">
        <v>19</v>
      </c>
      <c r="B10" t="s">
        <v>1326</v>
      </c>
      <c r="C10" s="55">
        <v>20630.03</v>
      </c>
    </row>
    <row r="11" spans="1:3">
      <c r="A11" t="s">
        <v>22</v>
      </c>
      <c r="B11" t="s">
        <v>994</v>
      </c>
      <c r="C11" s="55">
        <v>4993086.01</v>
      </c>
    </row>
    <row r="12" spans="1:3">
      <c r="A12" t="s">
        <v>25</v>
      </c>
      <c r="B12" t="s">
        <v>995</v>
      </c>
      <c r="C12" s="55">
        <v>200144.35</v>
      </c>
    </row>
    <row r="13" spans="1:3">
      <c r="A13" t="s">
        <v>27</v>
      </c>
      <c r="B13" t="s">
        <v>996</v>
      </c>
      <c r="C13" s="55">
        <v>2525325.31</v>
      </c>
    </row>
    <row r="14" spans="1:3">
      <c r="A14" t="s">
        <v>30</v>
      </c>
      <c r="B14" t="s">
        <v>997</v>
      </c>
      <c r="C14" s="55">
        <v>5492554.3399999999</v>
      </c>
    </row>
    <row r="15" spans="1:3">
      <c r="A15" t="s">
        <v>32</v>
      </c>
      <c r="B15" t="s">
        <v>998</v>
      </c>
      <c r="C15" s="55">
        <v>1598346.21</v>
      </c>
    </row>
    <row r="16" spans="1:3">
      <c r="A16" t="s">
        <v>34</v>
      </c>
      <c r="B16" t="s">
        <v>999</v>
      </c>
      <c r="C16" s="55">
        <v>0</v>
      </c>
    </row>
    <row r="17" spans="1:3">
      <c r="A17" t="s">
        <v>36</v>
      </c>
      <c r="B17" t="s">
        <v>1000</v>
      </c>
      <c r="C17" s="55">
        <v>1384903.95</v>
      </c>
    </row>
    <row r="18" spans="1:3">
      <c r="A18" t="s">
        <v>38</v>
      </c>
      <c r="B18" t="s">
        <v>1001</v>
      </c>
      <c r="C18" s="55">
        <v>0</v>
      </c>
    </row>
    <row r="19" spans="1:3">
      <c r="A19" t="s">
        <v>41</v>
      </c>
      <c r="B19" t="s">
        <v>1002</v>
      </c>
      <c r="C19" s="55">
        <v>342453.06</v>
      </c>
    </row>
    <row r="20" spans="1:3">
      <c r="A20" t="s">
        <v>43</v>
      </c>
      <c r="B20" t="s">
        <v>1003</v>
      </c>
      <c r="C20" s="55">
        <v>0</v>
      </c>
    </row>
    <row r="21" spans="1:3">
      <c r="A21" t="s">
        <v>45</v>
      </c>
      <c r="B21" t="s">
        <v>1004</v>
      </c>
      <c r="C21" s="55">
        <v>396946.92000000004</v>
      </c>
    </row>
    <row r="22" spans="1:3">
      <c r="A22" t="s">
        <v>48</v>
      </c>
      <c r="B22" t="s">
        <v>1005</v>
      </c>
      <c r="C22" s="55">
        <v>11626.22</v>
      </c>
    </row>
    <row r="23" spans="1:3">
      <c r="A23" t="s">
        <v>51</v>
      </c>
      <c r="B23" t="s">
        <v>1006</v>
      </c>
      <c r="C23" s="55">
        <v>0</v>
      </c>
    </row>
    <row r="24" spans="1:3">
      <c r="A24" t="s">
        <v>53</v>
      </c>
      <c r="B24" t="s">
        <v>1007</v>
      </c>
      <c r="C24" s="55">
        <v>940.08</v>
      </c>
    </row>
    <row r="25" spans="1:3">
      <c r="A25" t="s">
        <v>55</v>
      </c>
      <c r="B25" t="s">
        <v>1008</v>
      </c>
      <c r="C25" s="55">
        <v>462371.05000000005</v>
      </c>
    </row>
    <row r="26" spans="1:3">
      <c r="A26" t="s">
        <v>57</v>
      </c>
      <c r="B26" t="s">
        <v>1009</v>
      </c>
      <c r="C26" s="55">
        <v>1121125.8400000001</v>
      </c>
    </row>
    <row r="27" spans="1:3">
      <c r="A27" t="s">
        <v>59</v>
      </c>
      <c r="B27" t="s">
        <v>1010</v>
      </c>
      <c r="C27" s="55">
        <v>21313.200000000001</v>
      </c>
    </row>
    <row r="28" spans="1:3">
      <c r="A28" t="s">
        <v>61</v>
      </c>
      <c r="B28" t="s">
        <v>1011</v>
      </c>
      <c r="C28" s="55">
        <v>0</v>
      </c>
    </row>
    <row r="29" spans="1:3">
      <c r="A29" t="s">
        <v>63</v>
      </c>
      <c r="B29" t="s">
        <v>1012</v>
      </c>
      <c r="C29" s="55">
        <v>18421.900000000001</v>
      </c>
    </row>
    <row r="30" spans="1:3">
      <c r="A30" t="s">
        <v>65</v>
      </c>
      <c r="B30" t="s">
        <v>1013</v>
      </c>
      <c r="C30" s="55">
        <v>111431.01999999999</v>
      </c>
    </row>
    <row r="31" spans="1:3">
      <c r="A31" t="s">
        <v>67</v>
      </c>
      <c r="B31" t="s">
        <v>1014</v>
      </c>
      <c r="C31" s="55">
        <v>103778.73</v>
      </c>
    </row>
    <row r="32" spans="1:3">
      <c r="A32" t="s">
        <v>69</v>
      </c>
      <c r="B32" t="s">
        <v>1327</v>
      </c>
      <c r="C32" s="55">
        <v>0</v>
      </c>
    </row>
    <row r="33" spans="1:3">
      <c r="A33" t="s">
        <v>71</v>
      </c>
      <c r="B33" t="s">
        <v>1016</v>
      </c>
      <c r="C33" s="55">
        <v>0</v>
      </c>
    </row>
    <row r="34" spans="1:3">
      <c r="A34" t="s">
        <v>73</v>
      </c>
      <c r="B34" t="s">
        <v>1017</v>
      </c>
      <c r="C34" s="55">
        <v>109915.5</v>
      </c>
    </row>
    <row r="35" spans="1:3">
      <c r="A35" t="s">
        <v>75</v>
      </c>
      <c r="B35" t="s">
        <v>1018</v>
      </c>
      <c r="C35" s="55">
        <v>1207267.49</v>
      </c>
    </row>
    <row r="36" spans="1:3">
      <c r="A36" t="s">
        <v>77</v>
      </c>
      <c r="B36" t="s">
        <v>1019</v>
      </c>
      <c r="C36" s="55">
        <v>413186.13</v>
      </c>
    </row>
    <row r="37" spans="1:3">
      <c r="A37" t="s">
        <v>79</v>
      </c>
      <c r="B37" t="s">
        <v>1020</v>
      </c>
      <c r="C37" s="55">
        <v>141725.76999999999</v>
      </c>
    </row>
    <row r="38" spans="1:3">
      <c r="A38" t="s">
        <v>81</v>
      </c>
      <c r="B38" t="s">
        <v>1021</v>
      </c>
      <c r="C38" s="55">
        <v>488966.76</v>
      </c>
    </row>
    <row r="39" spans="1:3">
      <c r="A39" t="s">
        <v>83</v>
      </c>
      <c r="B39" t="s">
        <v>1022</v>
      </c>
      <c r="C39" s="55">
        <v>99025.03</v>
      </c>
    </row>
    <row r="40" spans="1:3">
      <c r="A40" t="s">
        <v>882</v>
      </c>
      <c r="B40" t="s">
        <v>1328</v>
      </c>
      <c r="C40" s="55">
        <v>4238.34</v>
      </c>
    </row>
    <row r="41" spans="1:3">
      <c r="A41" t="s">
        <v>85</v>
      </c>
      <c r="B41" t="s">
        <v>1024</v>
      </c>
      <c r="C41" s="55">
        <v>39876.980000000003</v>
      </c>
    </row>
    <row r="42" spans="1:3">
      <c r="A42" t="s">
        <v>87</v>
      </c>
      <c r="B42" t="s">
        <v>1025</v>
      </c>
      <c r="C42" s="55">
        <v>318992.58</v>
      </c>
    </row>
    <row r="43" spans="1:3">
      <c r="A43" t="s">
        <v>89</v>
      </c>
      <c r="B43" t="s">
        <v>1026</v>
      </c>
      <c r="C43" s="55">
        <v>75986.38</v>
      </c>
    </row>
    <row r="44" spans="1:3">
      <c r="A44" t="s">
        <v>91</v>
      </c>
      <c r="B44" t="s">
        <v>1027</v>
      </c>
      <c r="C44" s="55">
        <v>2395869.0099999998</v>
      </c>
    </row>
    <row r="45" spans="1:3">
      <c r="A45" t="s">
        <v>93</v>
      </c>
      <c r="B45" t="s">
        <v>1028</v>
      </c>
      <c r="C45" s="55">
        <v>16912.189999999999</v>
      </c>
    </row>
    <row r="46" spans="1:3">
      <c r="A46" t="s">
        <v>95</v>
      </c>
      <c r="B46" t="s">
        <v>1029</v>
      </c>
      <c r="C46" s="55">
        <v>29264.71</v>
      </c>
    </row>
    <row r="47" spans="1:3">
      <c r="A47" t="s">
        <v>97</v>
      </c>
      <c r="B47" t="s">
        <v>1030</v>
      </c>
      <c r="C47" s="55">
        <v>0</v>
      </c>
    </row>
    <row r="48" spans="1:3">
      <c r="A48" t="s">
        <v>99</v>
      </c>
      <c r="B48" t="s">
        <v>1329</v>
      </c>
      <c r="C48" s="55">
        <v>0</v>
      </c>
    </row>
    <row r="49" spans="1:3">
      <c r="A49" t="s">
        <v>101</v>
      </c>
      <c r="B49" t="s">
        <v>1330</v>
      </c>
      <c r="C49" s="55">
        <v>43510.68</v>
      </c>
    </row>
    <row r="50" spans="1:3">
      <c r="A50" t="s">
        <v>103</v>
      </c>
      <c r="B50" t="s">
        <v>1033</v>
      </c>
      <c r="C50" s="55">
        <v>64560.29</v>
      </c>
    </row>
    <row r="51" spans="1:3">
      <c r="A51" t="s">
        <v>105</v>
      </c>
      <c r="B51" t="s">
        <v>1034</v>
      </c>
      <c r="C51" s="55">
        <v>10616.240000000002</v>
      </c>
    </row>
    <row r="52" spans="1:3">
      <c r="A52" t="s">
        <v>107</v>
      </c>
      <c r="B52" t="s">
        <v>1035</v>
      </c>
      <c r="C52" s="55">
        <v>36492.839999999997</v>
      </c>
    </row>
    <row r="53" spans="1:3">
      <c r="A53" t="s">
        <v>109</v>
      </c>
      <c r="B53" t="s">
        <v>1036</v>
      </c>
      <c r="C53" s="55">
        <v>0</v>
      </c>
    </row>
    <row r="54" spans="1:3">
      <c r="A54" t="s">
        <v>111</v>
      </c>
      <c r="B54" t="s">
        <v>1037</v>
      </c>
      <c r="C54" s="55">
        <v>0</v>
      </c>
    </row>
    <row r="55" spans="1:3">
      <c r="A55" t="s">
        <v>113</v>
      </c>
      <c r="B55" t="s">
        <v>1038</v>
      </c>
      <c r="C55" s="55">
        <v>21811.77</v>
      </c>
    </row>
    <row r="56" spans="1:3">
      <c r="A56" t="s">
        <v>115</v>
      </c>
      <c r="B56" t="s">
        <v>1039</v>
      </c>
      <c r="C56" s="55">
        <v>0</v>
      </c>
    </row>
    <row r="57" spans="1:3">
      <c r="A57" t="s">
        <v>117</v>
      </c>
      <c r="B57" t="s">
        <v>1040</v>
      </c>
      <c r="C57" s="55">
        <v>3319.5</v>
      </c>
    </row>
    <row r="58" spans="1:3">
      <c r="A58" t="s">
        <v>119</v>
      </c>
      <c r="B58" t="s">
        <v>1041</v>
      </c>
      <c r="C58" s="55">
        <v>12258.25</v>
      </c>
    </row>
    <row r="59" spans="1:3">
      <c r="A59" t="s">
        <v>121</v>
      </c>
      <c r="B59" t="s">
        <v>1042</v>
      </c>
      <c r="C59" s="55">
        <v>10056.299999999999</v>
      </c>
    </row>
    <row r="60" spans="1:3">
      <c r="A60" t="s">
        <v>123</v>
      </c>
      <c r="B60" t="s">
        <v>1043</v>
      </c>
      <c r="C60" s="55">
        <v>0</v>
      </c>
    </row>
    <row r="61" spans="1:3">
      <c r="A61" t="s">
        <v>125</v>
      </c>
      <c r="B61" t="s">
        <v>1044</v>
      </c>
      <c r="C61" s="55">
        <v>66610.14</v>
      </c>
    </row>
    <row r="62" spans="1:3">
      <c r="A62" t="s">
        <v>127</v>
      </c>
      <c r="B62" t="s">
        <v>1045</v>
      </c>
      <c r="C62" s="55">
        <v>23297.58</v>
      </c>
    </row>
    <row r="63" spans="1:3">
      <c r="A63" t="s">
        <v>129</v>
      </c>
      <c r="B63" t="s">
        <v>1046</v>
      </c>
      <c r="C63" s="55">
        <v>0</v>
      </c>
    </row>
    <row r="64" spans="1:3">
      <c r="A64" t="s">
        <v>131</v>
      </c>
      <c r="B64" t="s">
        <v>1047</v>
      </c>
      <c r="C64" s="55">
        <v>122013.92</v>
      </c>
    </row>
    <row r="65" spans="1:3">
      <c r="A65" t="s">
        <v>133</v>
      </c>
      <c r="B65" t="s">
        <v>1048</v>
      </c>
      <c r="C65" s="55">
        <v>133445.23000000001</v>
      </c>
    </row>
    <row r="66" spans="1:3">
      <c r="A66" t="s">
        <v>135</v>
      </c>
      <c r="B66" t="s">
        <v>1049</v>
      </c>
      <c r="C66" s="55">
        <v>0</v>
      </c>
    </row>
    <row r="67" spans="1:3">
      <c r="A67" t="s">
        <v>137</v>
      </c>
      <c r="B67" t="s">
        <v>1331</v>
      </c>
      <c r="C67" s="55">
        <v>155766.87</v>
      </c>
    </row>
    <row r="68" spans="1:3">
      <c r="A68" t="s">
        <v>139</v>
      </c>
      <c r="B68" t="s">
        <v>1332</v>
      </c>
      <c r="C68" s="55">
        <v>185830.45</v>
      </c>
    </row>
    <row r="69" spans="1:3">
      <c r="A69" t="s">
        <v>141</v>
      </c>
      <c r="B69" t="s">
        <v>1052</v>
      </c>
      <c r="C69" s="55">
        <v>200896.88</v>
      </c>
    </row>
    <row r="70" spans="1:3">
      <c r="A70" t="s">
        <v>143</v>
      </c>
      <c r="B70" t="s">
        <v>1053</v>
      </c>
      <c r="C70" s="55">
        <v>0</v>
      </c>
    </row>
    <row r="71" spans="1:3">
      <c r="A71" t="s">
        <v>145</v>
      </c>
      <c r="B71" t="s">
        <v>1054</v>
      </c>
      <c r="C71" s="55">
        <v>124874.3</v>
      </c>
    </row>
    <row r="72" spans="1:3">
      <c r="A72" t="s">
        <v>147</v>
      </c>
      <c r="B72" t="s">
        <v>1055</v>
      </c>
      <c r="C72" s="55">
        <v>558567.43999999994</v>
      </c>
    </row>
    <row r="73" spans="1:3">
      <c r="A73" t="s">
        <v>149</v>
      </c>
      <c r="B73" t="s">
        <v>1056</v>
      </c>
      <c r="C73" s="55">
        <v>294039.98</v>
      </c>
    </row>
    <row r="74" spans="1:3">
      <c r="A74" t="s">
        <v>151</v>
      </c>
      <c r="B74" t="s">
        <v>1057</v>
      </c>
      <c r="C74" s="55">
        <v>41420.229999999996</v>
      </c>
    </row>
    <row r="75" spans="1:3">
      <c r="A75" t="s">
        <v>153</v>
      </c>
      <c r="B75" t="s">
        <v>1058</v>
      </c>
      <c r="C75" s="55">
        <v>0</v>
      </c>
    </row>
    <row r="76" spans="1:3">
      <c r="A76" t="s">
        <v>155</v>
      </c>
      <c r="B76" t="s">
        <v>1059</v>
      </c>
      <c r="C76" s="55">
        <v>0</v>
      </c>
    </row>
    <row r="77" spans="1:3">
      <c r="A77" t="s">
        <v>157</v>
      </c>
      <c r="B77" t="s">
        <v>1060</v>
      </c>
      <c r="C77" s="55">
        <v>442009.60000000003</v>
      </c>
    </row>
    <row r="78" spans="1:3">
      <c r="A78" t="s">
        <v>159</v>
      </c>
      <c r="B78" t="s">
        <v>1061</v>
      </c>
      <c r="C78" s="55">
        <v>410863.81</v>
      </c>
    </row>
    <row r="79" spans="1:3">
      <c r="A79" t="s">
        <v>161</v>
      </c>
      <c r="B79" t="s">
        <v>162</v>
      </c>
      <c r="C79" s="55">
        <v>0</v>
      </c>
    </row>
    <row r="80" spans="1:3">
      <c r="A80" t="s">
        <v>163</v>
      </c>
      <c r="B80" t="s">
        <v>1062</v>
      </c>
      <c r="C80" s="55">
        <v>730.29</v>
      </c>
    </row>
    <row r="81" spans="1:3">
      <c r="A81" t="s">
        <v>165</v>
      </c>
      <c r="B81" t="s">
        <v>1063</v>
      </c>
      <c r="C81" s="55">
        <v>8128048.0300000003</v>
      </c>
    </row>
    <row r="82" spans="1:3">
      <c r="A82" t="s">
        <v>167</v>
      </c>
      <c r="B82" t="s">
        <v>1333</v>
      </c>
      <c r="C82" s="55">
        <v>2942889.45</v>
      </c>
    </row>
    <row r="83" spans="1:3">
      <c r="A83" t="s">
        <v>169</v>
      </c>
      <c r="B83" t="s">
        <v>1334</v>
      </c>
      <c r="C83" s="55">
        <v>0</v>
      </c>
    </row>
    <row r="84" spans="1:3">
      <c r="A84" t="s">
        <v>171</v>
      </c>
      <c r="B84" t="s">
        <v>1066</v>
      </c>
      <c r="C84" s="55">
        <v>5041070.37</v>
      </c>
    </row>
    <row r="85" spans="1:3">
      <c r="A85" t="s">
        <v>173</v>
      </c>
      <c r="B85" t="s">
        <v>1067</v>
      </c>
      <c r="C85" s="55">
        <v>809784.47000000009</v>
      </c>
    </row>
    <row r="86" spans="1:3">
      <c r="A86" t="s">
        <v>175</v>
      </c>
      <c r="B86" t="s">
        <v>1068</v>
      </c>
      <c r="C86" s="55">
        <v>384565.4</v>
      </c>
    </row>
    <row r="87" spans="1:3">
      <c r="A87" t="s">
        <v>177</v>
      </c>
      <c r="B87" t="s">
        <v>1069</v>
      </c>
      <c r="C87" s="55">
        <v>57852.25</v>
      </c>
    </row>
    <row r="88" spans="1:3">
      <c r="A88" t="s">
        <v>179</v>
      </c>
      <c r="B88" t="s">
        <v>1070</v>
      </c>
      <c r="C88" s="55">
        <v>1066694.77</v>
      </c>
    </row>
    <row r="89" spans="1:3">
      <c r="A89" t="s">
        <v>181</v>
      </c>
      <c r="B89" t="s">
        <v>1071</v>
      </c>
      <c r="C89" s="55">
        <v>10538.75</v>
      </c>
    </row>
    <row r="90" spans="1:3">
      <c r="A90" t="s">
        <v>183</v>
      </c>
      <c r="B90" t="s">
        <v>1072</v>
      </c>
      <c r="C90" s="55">
        <v>13081.49</v>
      </c>
    </row>
    <row r="91" spans="1:3">
      <c r="A91" t="s">
        <v>185</v>
      </c>
      <c r="B91" t="s">
        <v>1073</v>
      </c>
      <c r="C91" s="55">
        <v>0</v>
      </c>
    </row>
    <row r="92" spans="1:3">
      <c r="A92" t="s">
        <v>187</v>
      </c>
      <c r="B92" t="s">
        <v>1074</v>
      </c>
      <c r="C92" s="55">
        <v>0</v>
      </c>
    </row>
    <row r="93" spans="1:3">
      <c r="A93" t="s">
        <v>189</v>
      </c>
      <c r="B93" t="s">
        <v>1075</v>
      </c>
      <c r="C93" s="55">
        <v>20816.79</v>
      </c>
    </row>
    <row r="94" spans="1:3">
      <c r="A94" t="s">
        <v>191</v>
      </c>
      <c r="B94" t="s">
        <v>1076</v>
      </c>
      <c r="C94" s="55">
        <v>284135.73000000004</v>
      </c>
    </row>
    <row r="95" spans="1:3">
      <c r="A95" t="s">
        <v>193</v>
      </c>
      <c r="B95" t="s">
        <v>1077</v>
      </c>
      <c r="C95" s="55">
        <v>6639</v>
      </c>
    </row>
    <row r="96" spans="1:3">
      <c r="A96" t="s">
        <v>195</v>
      </c>
      <c r="B96" t="s">
        <v>1078</v>
      </c>
      <c r="C96" s="55">
        <v>541785.92000000004</v>
      </c>
    </row>
    <row r="97" spans="1:3">
      <c r="A97" t="s">
        <v>197</v>
      </c>
      <c r="B97" t="s">
        <v>1079</v>
      </c>
      <c r="C97" s="55">
        <v>3300.91</v>
      </c>
    </row>
    <row r="98" spans="1:3">
      <c r="A98" t="s">
        <v>199</v>
      </c>
      <c r="B98" t="s">
        <v>1080</v>
      </c>
      <c r="C98" s="55">
        <v>0</v>
      </c>
    </row>
    <row r="99" spans="1:3">
      <c r="A99" t="s">
        <v>201</v>
      </c>
      <c r="B99" t="s">
        <v>1082</v>
      </c>
      <c r="C99" s="55">
        <v>0</v>
      </c>
    </row>
    <row r="100" spans="1:3">
      <c r="A100" t="s">
        <v>203</v>
      </c>
      <c r="B100" t="s">
        <v>1083</v>
      </c>
      <c r="C100" s="55">
        <v>0</v>
      </c>
    </row>
    <row r="101" spans="1:3">
      <c r="A101" t="s">
        <v>205</v>
      </c>
      <c r="B101" t="s">
        <v>1084</v>
      </c>
      <c r="C101" s="55">
        <v>9279.99</v>
      </c>
    </row>
    <row r="102" spans="1:3">
      <c r="A102" t="s">
        <v>207</v>
      </c>
      <c r="B102" t="s">
        <v>1085</v>
      </c>
      <c r="C102" s="55">
        <v>7839.33</v>
      </c>
    </row>
    <row r="103" spans="1:3">
      <c r="A103" t="s">
        <v>209</v>
      </c>
      <c r="B103" t="s">
        <v>1086</v>
      </c>
      <c r="C103" s="55">
        <v>3560892.71</v>
      </c>
    </row>
    <row r="104" spans="1:3">
      <c r="A104" t="s">
        <v>211</v>
      </c>
      <c r="B104" t="s">
        <v>1087</v>
      </c>
      <c r="C104" s="55">
        <v>104450.06</v>
      </c>
    </row>
    <row r="105" spans="1:3">
      <c r="A105" t="s">
        <v>213</v>
      </c>
      <c r="B105" t="s">
        <v>1088</v>
      </c>
      <c r="C105" s="55">
        <v>38292.42</v>
      </c>
    </row>
    <row r="106" spans="1:3">
      <c r="A106" t="s">
        <v>215</v>
      </c>
      <c r="B106" t="s">
        <v>1089</v>
      </c>
      <c r="C106" s="55">
        <v>237500.34999999998</v>
      </c>
    </row>
    <row r="107" spans="1:3">
      <c r="A107" t="s">
        <v>829</v>
      </c>
      <c r="B107" t="s">
        <v>1383</v>
      </c>
      <c r="C107" s="55">
        <v>0</v>
      </c>
    </row>
    <row r="108" spans="1:3">
      <c r="A108" t="s">
        <v>217</v>
      </c>
      <c r="B108" t="s">
        <v>1335</v>
      </c>
      <c r="C108" s="55">
        <v>0</v>
      </c>
    </row>
    <row r="109" spans="1:3">
      <c r="A109" t="s">
        <v>219</v>
      </c>
      <c r="B109" t="s">
        <v>1336</v>
      </c>
      <c r="C109" s="55">
        <v>0</v>
      </c>
    </row>
    <row r="110" spans="1:3">
      <c r="A110" t="s">
        <v>221</v>
      </c>
      <c r="B110" t="s">
        <v>1337</v>
      </c>
      <c r="C110" s="55">
        <v>0</v>
      </c>
    </row>
    <row r="111" spans="1:3">
      <c r="A111" t="s">
        <v>223</v>
      </c>
      <c r="B111" t="s">
        <v>1093</v>
      </c>
      <c r="C111" s="55">
        <v>0</v>
      </c>
    </row>
    <row r="112" spans="1:3">
      <c r="A112" t="s">
        <v>225</v>
      </c>
      <c r="B112" t="s">
        <v>1094</v>
      </c>
      <c r="C112" s="55">
        <v>633.36</v>
      </c>
    </row>
    <row r="113" spans="1:3">
      <c r="A113" t="s">
        <v>227</v>
      </c>
      <c r="B113" t="s">
        <v>1338</v>
      </c>
      <c r="C113" s="55">
        <v>0</v>
      </c>
    </row>
    <row r="114" spans="1:3">
      <c r="A114" t="s">
        <v>229</v>
      </c>
      <c r="B114" t="s">
        <v>1095</v>
      </c>
      <c r="C114" s="55">
        <v>1881805.96</v>
      </c>
    </row>
    <row r="115" spans="1:3">
      <c r="A115" t="s">
        <v>231</v>
      </c>
      <c r="B115" t="s">
        <v>1096</v>
      </c>
      <c r="C115" s="55">
        <v>0</v>
      </c>
    </row>
    <row r="116" spans="1:3">
      <c r="A116" t="s">
        <v>233</v>
      </c>
      <c r="B116" t="s">
        <v>1097</v>
      </c>
      <c r="C116" s="55">
        <v>0</v>
      </c>
    </row>
    <row r="117" spans="1:3">
      <c r="A117" t="s">
        <v>235</v>
      </c>
      <c r="B117" t="s">
        <v>1098</v>
      </c>
      <c r="C117" s="55">
        <v>12005.97</v>
      </c>
    </row>
    <row r="118" spans="1:3">
      <c r="A118" t="s">
        <v>237</v>
      </c>
      <c r="B118" t="s">
        <v>1099</v>
      </c>
      <c r="C118" s="55">
        <v>0</v>
      </c>
    </row>
    <row r="119" spans="1:3">
      <c r="A119" t="s">
        <v>239</v>
      </c>
      <c r="B119" t="s">
        <v>1100</v>
      </c>
      <c r="C119" s="55">
        <v>1228751.3400000001</v>
      </c>
    </row>
    <row r="120" spans="1:3">
      <c r="A120" t="s">
        <v>241</v>
      </c>
      <c r="B120" t="s">
        <v>1101</v>
      </c>
      <c r="C120" s="55">
        <v>3304692.37</v>
      </c>
    </row>
    <row r="121" spans="1:3">
      <c r="A121" t="s">
        <v>243</v>
      </c>
      <c r="B121" t="s">
        <v>1102</v>
      </c>
      <c r="C121" s="55">
        <v>0</v>
      </c>
    </row>
    <row r="122" spans="1:3">
      <c r="A122" t="s">
        <v>245</v>
      </c>
      <c r="B122" t="s">
        <v>1339</v>
      </c>
      <c r="C122" s="55">
        <v>74996.800000000003</v>
      </c>
    </row>
    <row r="123" spans="1:3">
      <c r="A123" t="s">
        <v>247</v>
      </c>
      <c r="B123" t="s">
        <v>1104</v>
      </c>
      <c r="C123" s="55">
        <v>24313.390000000003</v>
      </c>
    </row>
    <row r="124" spans="1:3">
      <c r="A124" t="s">
        <v>249</v>
      </c>
      <c r="B124" t="s">
        <v>1105</v>
      </c>
      <c r="C124" s="55">
        <v>0</v>
      </c>
    </row>
    <row r="125" spans="1:3">
      <c r="A125" t="s">
        <v>251</v>
      </c>
      <c r="B125" t="s">
        <v>1340</v>
      </c>
      <c r="C125" s="55">
        <v>98747.16</v>
      </c>
    </row>
    <row r="126" spans="1:3">
      <c r="A126" t="s">
        <v>253</v>
      </c>
      <c r="B126" t="s">
        <v>1106</v>
      </c>
      <c r="C126" s="55">
        <v>73295.27</v>
      </c>
    </row>
    <row r="127" spans="1:3">
      <c r="A127" t="s">
        <v>255</v>
      </c>
      <c r="B127" t="s">
        <v>1108</v>
      </c>
      <c r="C127" s="55">
        <v>0</v>
      </c>
    </row>
    <row r="128" spans="1:3">
      <c r="A128" t="s">
        <v>257</v>
      </c>
      <c r="B128" t="s">
        <v>1109</v>
      </c>
      <c r="C128" s="55">
        <v>120687.73</v>
      </c>
    </row>
    <row r="129" spans="1:3">
      <c r="A129" t="s">
        <v>259</v>
      </c>
      <c r="B129" t="s">
        <v>1341</v>
      </c>
      <c r="C129" s="55">
        <v>0</v>
      </c>
    </row>
    <row r="130" spans="1:3">
      <c r="A130" t="s">
        <v>261</v>
      </c>
      <c r="B130" t="s">
        <v>1110</v>
      </c>
      <c r="C130" s="55">
        <v>2752447.1100000003</v>
      </c>
    </row>
    <row r="131" spans="1:3">
      <c r="A131" t="s">
        <v>263</v>
      </c>
      <c r="B131" t="s">
        <v>1111</v>
      </c>
      <c r="C131" s="55">
        <v>6423449</v>
      </c>
    </row>
    <row r="132" spans="1:3">
      <c r="A132" t="s">
        <v>265</v>
      </c>
      <c r="B132" t="s">
        <v>1112</v>
      </c>
      <c r="C132" s="55">
        <v>425778.99</v>
      </c>
    </row>
    <row r="133" spans="1:3">
      <c r="A133" t="s">
        <v>267</v>
      </c>
      <c r="B133" t="s">
        <v>1113</v>
      </c>
      <c r="C133" s="55">
        <v>3120.33</v>
      </c>
    </row>
    <row r="134" spans="1:3">
      <c r="A134" t="s">
        <v>269</v>
      </c>
      <c r="B134" t="s">
        <v>1114</v>
      </c>
      <c r="C134" s="55">
        <v>0</v>
      </c>
    </row>
    <row r="135" spans="1:3">
      <c r="A135" t="s">
        <v>271</v>
      </c>
      <c r="B135" t="s">
        <v>1115</v>
      </c>
      <c r="C135" s="55">
        <v>0</v>
      </c>
    </row>
    <row r="136" spans="1:3">
      <c r="A136" t="s">
        <v>273</v>
      </c>
      <c r="B136" t="s">
        <v>1116</v>
      </c>
      <c r="C136" s="55">
        <v>827716</v>
      </c>
    </row>
    <row r="137" spans="1:3">
      <c r="A137" t="s">
        <v>275</v>
      </c>
      <c r="B137" t="s">
        <v>1117</v>
      </c>
      <c r="C137" s="55">
        <v>16504.879999999997</v>
      </c>
    </row>
    <row r="138" spans="1:3">
      <c r="A138" t="s">
        <v>277</v>
      </c>
      <c r="B138" t="s">
        <v>1342</v>
      </c>
      <c r="C138" s="55">
        <v>8578.92</v>
      </c>
    </row>
    <row r="139" spans="1:3">
      <c r="A139" t="s">
        <v>279</v>
      </c>
      <c r="B139" t="s">
        <v>1343</v>
      </c>
      <c r="C139" s="55">
        <v>0</v>
      </c>
    </row>
    <row r="140" spans="1:3">
      <c r="A140" t="s">
        <v>953</v>
      </c>
      <c r="B140" t="s">
        <v>1344</v>
      </c>
      <c r="C140" s="55">
        <v>0</v>
      </c>
    </row>
    <row r="141" spans="1:3">
      <c r="A141" t="s">
        <v>281</v>
      </c>
      <c r="B141" t="s">
        <v>1121</v>
      </c>
      <c r="C141" s="55">
        <v>0</v>
      </c>
    </row>
    <row r="142" spans="1:3">
      <c r="A142" t="s">
        <v>283</v>
      </c>
      <c r="B142" t="s">
        <v>1122</v>
      </c>
      <c r="C142" s="55">
        <v>344595.5</v>
      </c>
    </row>
    <row r="143" spans="1:3">
      <c r="A143" t="s">
        <v>285</v>
      </c>
      <c r="B143" t="s">
        <v>1123</v>
      </c>
      <c r="C143" s="55">
        <v>0</v>
      </c>
    </row>
    <row r="144" spans="1:3">
      <c r="A144" t="s">
        <v>287</v>
      </c>
      <c r="B144" t="s">
        <v>1124</v>
      </c>
      <c r="C144" s="55">
        <v>0</v>
      </c>
    </row>
    <row r="145" spans="1:3">
      <c r="A145" t="s">
        <v>289</v>
      </c>
      <c r="B145" t="s">
        <v>1125</v>
      </c>
      <c r="C145" s="55">
        <v>0</v>
      </c>
    </row>
    <row r="146" spans="1:3">
      <c r="A146" t="s">
        <v>291</v>
      </c>
      <c r="B146" t="s">
        <v>1126</v>
      </c>
      <c r="C146" s="55">
        <v>9265.39</v>
      </c>
    </row>
    <row r="147" spans="1:3">
      <c r="A147" t="s">
        <v>293</v>
      </c>
      <c r="B147" t="s">
        <v>1127</v>
      </c>
      <c r="C147" s="55">
        <v>31695.91</v>
      </c>
    </row>
    <row r="148" spans="1:3">
      <c r="A148" t="s">
        <v>295</v>
      </c>
      <c r="B148" t="s">
        <v>1128</v>
      </c>
      <c r="C148" s="55">
        <v>2609804.64</v>
      </c>
    </row>
    <row r="149" spans="1:3">
      <c r="A149" t="s">
        <v>297</v>
      </c>
      <c r="B149" t="s">
        <v>1129</v>
      </c>
      <c r="C149" s="55">
        <v>0</v>
      </c>
    </row>
    <row r="150" spans="1:3">
      <c r="A150" t="s">
        <v>299</v>
      </c>
      <c r="B150" t="s">
        <v>1130</v>
      </c>
      <c r="C150" s="55">
        <v>1305717.06</v>
      </c>
    </row>
    <row r="151" spans="1:3">
      <c r="A151" t="s">
        <v>301</v>
      </c>
      <c r="B151" t="s">
        <v>1131</v>
      </c>
      <c r="C151" s="55">
        <v>176383</v>
      </c>
    </row>
    <row r="152" spans="1:3">
      <c r="A152" t="s">
        <v>303</v>
      </c>
      <c r="B152" t="s">
        <v>1132</v>
      </c>
      <c r="C152" s="55">
        <v>835704.57000000007</v>
      </c>
    </row>
    <row r="153" spans="1:3">
      <c r="A153" t="s">
        <v>305</v>
      </c>
      <c r="B153" t="s">
        <v>1133</v>
      </c>
      <c r="C153" s="55">
        <v>267866.88</v>
      </c>
    </row>
    <row r="154" spans="1:3">
      <c r="A154" t="s">
        <v>307</v>
      </c>
      <c r="B154" t="s">
        <v>1134</v>
      </c>
      <c r="C154" s="55">
        <v>0</v>
      </c>
    </row>
    <row r="155" spans="1:3">
      <c r="A155" t="s">
        <v>309</v>
      </c>
      <c r="B155" t="s">
        <v>1135</v>
      </c>
      <c r="C155" s="55">
        <v>0</v>
      </c>
    </row>
    <row r="156" spans="1:3">
      <c r="A156" t="s">
        <v>311</v>
      </c>
      <c r="B156" t="s">
        <v>1136</v>
      </c>
      <c r="C156" s="55">
        <v>545103.19999999995</v>
      </c>
    </row>
    <row r="157" spans="1:3">
      <c r="A157" t="s">
        <v>313</v>
      </c>
      <c r="B157" t="s">
        <v>1137</v>
      </c>
      <c r="C157" s="55">
        <v>73225.509999999995</v>
      </c>
    </row>
    <row r="158" spans="1:3">
      <c r="A158" t="s">
        <v>315</v>
      </c>
      <c r="B158" t="s">
        <v>1138</v>
      </c>
      <c r="C158" s="55">
        <v>12619.41</v>
      </c>
    </row>
    <row r="159" spans="1:3">
      <c r="A159" t="s">
        <v>317</v>
      </c>
      <c r="B159" t="s">
        <v>1139</v>
      </c>
      <c r="C159" s="55">
        <v>990469.75</v>
      </c>
    </row>
    <row r="160" spans="1:3">
      <c r="A160" t="s">
        <v>319</v>
      </c>
      <c r="B160" t="s">
        <v>1140</v>
      </c>
      <c r="C160" s="55">
        <v>3316.84</v>
      </c>
    </row>
    <row r="161" spans="1:3">
      <c r="A161" t="s">
        <v>321</v>
      </c>
      <c r="B161" t="s">
        <v>1141</v>
      </c>
      <c r="C161" s="55">
        <v>1272.03</v>
      </c>
    </row>
    <row r="162" spans="1:3">
      <c r="A162" t="s">
        <v>323</v>
      </c>
      <c r="B162" t="s">
        <v>1142</v>
      </c>
      <c r="C162" s="55">
        <v>372002.66000000003</v>
      </c>
    </row>
    <row r="163" spans="1:3">
      <c r="A163" t="s">
        <v>325</v>
      </c>
      <c r="B163" t="s">
        <v>1143</v>
      </c>
      <c r="C163" s="55">
        <v>0</v>
      </c>
    </row>
    <row r="164" spans="1:3">
      <c r="A164" t="s">
        <v>327</v>
      </c>
      <c r="B164" t="s">
        <v>1144</v>
      </c>
      <c r="C164" s="55">
        <v>961384.54</v>
      </c>
    </row>
    <row r="165" spans="1:3">
      <c r="A165" t="s">
        <v>825</v>
      </c>
      <c r="B165" t="s">
        <v>1345</v>
      </c>
      <c r="C165" s="55">
        <v>0</v>
      </c>
    </row>
    <row r="166" spans="1:3">
      <c r="A166" t="s">
        <v>329</v>
      </c>
      <c r="B166" t="s">
        <v>1146</v>
      </c>
      <c r="C166" s="55">
        <v>5391045.9299999997</v>
      </c>
    </row>
    <row r="167" spans="1:3">
      <c r="A167" t="s">
        <v>331</v>
      </c>
      <c r="B167" t="s">
        <v>1147</v>
      </c>
      <c r="C167" s="55">
        <v>62895.86</v>
      </c>
    </row>
    <row r="168" spans="1:3">
      <c r="A168" t="s">
        <v>333</v>
      </c>
      <c r="B168" t="s">
        <v>1148</v>
      </c>
      <c r="C168" s="55">
        <v>22974.559999999998</v>
      </c>
    </row>
    <row r="169" spans="1:3">
      <c r="A169" t="s">
        <v>335</v>
      </c>
      <c r="B169" t="s">
        <v>1346</v>
      </c>
      <c r="C169" s="55">
        <v>0</v>
      </c>
    </row>
    <row r="170" spans="1:3">
      <c r="A170" t="s">
        <v>337</v>
      </c>
      <c r="B170" t="s">
        <v>1150</v>
      </c>
      <c r="C170" s="55">
        <v>0</v>
      </c>
    </row>
    <row r="171" spans="1:3">
      <c r="A171" t="s">
        <v>339</v>
      </c>
      <c r="B171" t="s">
        <v>1151</v>
      </c>
      <c r="C171" s="55">
        <v>36125.97</v>
      </c>
    </row>
    <row r="172" spans="1:3">
      <c r="A172" t="s">
        <v>341</v>
      </c>
      <c r="B172" t="s">
        <v>1152</v>
      </c>
      <c r="C172" s="55">
        <v>31926.95</v>
      </c>
    </row>
    <row r="173" spans="1:3">
      <c r="A173" t="s">
        <v>343</v>
      </c>
      <c r="B173" t="s">
        <v>1153</v>
      </c>
      <c r="C173" s="55">
        <v>168118.41999999998</v>
      </c>
    </row>
    <row r="174" spans="1:3">
      <c r="A174" t="s">
        <v>345</v>
      </c>
      <c r="B174" t="s">
        <v>1154</v>
      </c>
      <c r="C174" s="55">
        <v>0</v>
      </c>
    </row>
    <row r="175" spans="1:3">
      <c r="A175" t="s">
        <v>347</v>
      </c>
      <c r="B175" t="s">
        <v>1155</v>
      </c>
      <c r="C175" s="55">
        <v>37920.639999999999</v>
      </c>
    </row>
    <row r="176" spans="1:3">
      <c r="A176" t="s">
        <v>349</v>
      </c>
      <c r="B176" t="s">
        <v>1156</v>
      </c>
      <c r="C176" s="55">
        <v>1148582.26</v>
      </c>
    </row>
    <row r="177" spans="1:3">
      <c r="A177" t="s">
        <v>351</v>
      </c>
      <c r="B177" t="s">
        <v>1157</v>
      </c>
      <c r="C177" s="55">
        <v>103183.34</v>
      </c>
    </row>
    <row r="178" spans="1:3">
      <c r="A178" t="s">
        <v>353</v>
      </c>
      <c r="B178" t="s">
        <v>1158</v>
      </c>
      <c r="C178" s="55">
        <v>3983.4</v>
      </c>
    </row>
    <row r="179" spans="1:3">
      <c r="A179" t="s">
        <v>355</v>
      </c>
      <c r="B179" t="s">
        <v>1159</v>
      </c>
      <c r="C179" s="55">
        <v>3353166.37</v>
      </c>
    </row>
    <row r="180" spans="1:3">
      <c r="A180" t="s">
        <v>357</v>
      </c>
      <c r="B180" t="s">
        <v>1160</v>
      </c>
      <c r="C180" s="55">
        <v>0</v>
      </c>
    </row>
    <row r="181" spans="1:3">
      <c r="A181" t="s">
        <v>359</v>
      </c>
      <c r="B181" t="s">
        <v>1161</v>
      </c>
      <c r="C181" s="55">
        <v>8213420.46</v>
      </c>
    </row>
    <row r="182" spans="1:3">
      <c r="A182" t="s">
        <v>361</v>
      </c>
      <c r="B182" t="s">
        <v>1162</v>
      </c>
      <c r="C182" s="55">
        <v>987478.03</v>
      </c>
    </row>
    <row r="183" spans="1:3">
      <c r="A183" t="s">
        <v>363</v>
      </c>
      <c r="B183" t="s">
        <v>1163</v>
      </c>
      <c r="C183" s="55">
        <v>0</v>
      </c>
    </row>
    <row r="184" spans="1:3">
      <c r="A184" t="s">
        <v>365</v>
      </c>
      <c r="B184" t="s">
        <v>1164</v>
      </c>
      <c r="C184" s="55">
        <v>0</v>
      </c>
    </row>
    <row r="185" spans="1:3">
      <c r="A185" t="s">
        <v>367</v>
      </c>
      <c r="B185" t="s">
        <v>1165</v>
      </c>
      <c r="C185" s="55">
        <v>0</v>
      </c>
    </row>
    <row r="186" spans="1:3">
      <c r="A186" t="s">
        <v>369</v>
      </c>
      <c r="B186" t="s">
        <v>1166</v>
      </c>
      <c r="C186" s="55">
        <v>0</v>
      </c>
    </row>
    <row r="187" spans="1:3">
      <c r="A187" t="s">
        <v>371</v>
      </c>
      <c r="B187" t="s">
        <v>1167</v>
      </c>
      <c r="C187" s="55">
        <v>2145.7199999999998</v>
      </c>
    </row>
    <row r="188" spans="1:3">
      <c r="A188" t="s">
        <v>373</v>
      </c>
      <c r="B188" t="s">
        <v>1168</v>
      </c>
      <c r="C188" s="55">
        <v>13534.27</v>
      </c>
    </row>
    <row r="189" spans="1:3">
      <c r="A189" t="s">
        <v>375</v>
      </c>
      <c r="B189" t="s">
        <v>1169</v>
      </c>
      <c r="C189" s="55">
        <v>238169.88</v>
      </c>
    </row>
    <row r="190" spans="1:3">
      <c r="A190" t="s">
        <v>377</v>
      </c>
      <c r="B190" t="s">
        <v>378</v>
      </c>
      <c r="C190" s="55">
        <v>76298.039999999994</v>
      </c>
    </row>
    <row r="191" spans="1:3">
      <c r="A191" t="s">
        <v>379</v>
      </c>
      <c r="B191" t="s">
        <v>1171</v>
      </c>
      <c r="C191" s="55">
        <v>10622.4</v>
      </c>
    </row>
    <row r="192" spans="1:3">
      <c r="A192" t="s">
        <v>381</v>
      </c>
      <c r="B192" t="s">
        <v>1172</v>
      </c>
      <c r="C192" s="55">
        <v>0</v>
      </c>
    </row>
    <row r="193" spans="1:3">
      <c r="A193" t="s">
        <v>383</v>
      </c>
      <c r="B193" t="s">
        <v>1173</v>
      </c>
      <c r="C193" s="55">
        <v>0</v>
      </c>
    </row>
    <row r="194" spans="1:3">
      <c r="A194" t="s">
        <v>385</v>
      </c>
      <c r="B194" t="s">
        <v>1174</v>
      </c>
      <c r="C194" s="55">
        <v>0</v>
      </c>
    </row>
    <row r="195" spans="1:3">
      <c r="A195" t="s">
        <v>387</v>
      </c>
      <c r="B195" t="s">
        <v>1175</v>
      </c>
      <c r="C195" s="55">
        <v>0</v>
      </c>
    </row>
    <row r="196" spans="1:3">
      <c r="A196" t="s">
        <v>389</v>
      </c>
      <c r="B196" t="s">
        <v>1176</v>
      </c>
      <c r="C196" s="55">
        <v>0</v>
      </c>
    </row>
    <row r="197" spans="1:3">
      <c r="A197" t="s">
        <v>391</v>
      </c>
      <c r="B197" t="s">
        <v>1177</v>
      </c>
      <c r="C197" s="55">
        <v>24240.32</v>
      </c>
    </row>
    <row r="198" spans="1:3">
      <c r="A198" t="s">
        <v>393</v>
      </c>
      <c r="B198" t="s">
        <v>1178</v>
      </c>
      <c r="C198" s="55">
        <v>285898.92000000004</v>
      </c>
    </row>
    <row r="199" spans="1:3">
      <c r="A199" t="s">
        <v>395</v>
      </c>
      <c r="B199" t="s">
        <v>1179</v>
      </c>
      <c r="C199" s="55">
        <v>405817.08</v>
      </c>
    </row>
    <row r="200" spans="1:3">
      <c r="A200" t="s">
        <v>397</v>
      </c>
      <c r="B200" t="s">
        <v>1180</v>
      </c>
      <c r="C200" s="55">
        <v>0</v>
      </c>
    </row>
    <row r="201" spans="1:3">
      <c r="A201" t="s">
        <v>399</v>
      </c>
      <c r="B201" t="s">
        <v>1181</v>
      </c>
      <c r="C201" s="55">
        <v>0</v>
      </c>
    </row>
    <row r="202" spans="1:3">
      <c r="A202" t="s">
        <v>864</v>
      </c>
      <c r="B202" t="s">
        <v>1384</v>
      </c>
      <c r="C202" s="55">
        <v>0</v>
      </c>
    </row>
    <row r="203" spans="1:3">
      <c r="A203" t="s">
        <v>401</v>
      </c>
      <c r="B203" t="s">
        <v>1182</v>
      </c>
      <c r="C203" s="55">
        <v>661571.04</v>
      </c>
    </row>
    <row r="204" spans="1:3">
      <c r="A204" t="s">
        <v>403</v>
      </c>
      <c r="B204" t="s">
        <v>1183</v>
      </c>
      <c r="C204" s="55">
        <v>5975.1</v>
      </c>
    </row>
    <row r="205" spans="1:3">
      <c r="A205" t="s">
        <v>405</v>
      </c>
      <c r="B205" t="s">
        <v>1184</v>
      </c>
      <c r="C205" s="55">
        <v>0</v>
      </c>
    </row>
    <row r="206" spans="1:3">
      <c r="A206" t="s">
        <v>407</v>
      </c>
      <c r="B206" t="s">
        <v>1185</v>
      </c>
      <c r="C206" s="55">
        <v>0</v>
      </c>
    </row>
    <row r="207" spans="1:3">
      <c r="A207" t="s">
        <v>409</v>
      </c>
      <c r="B207" t="s">
        <v>1186</v>
      </c>
      <c r="C207" s="55">
        <v>489963.51</v>
      </c>
    </row>
    <row r="208" spans="1:3">
      <c r="A208" t="s">
        <v>411</v>
      </c>
      <c r="B208" t="s">
        <v>761</v>
      </c>
      <c r="C208" s="55">
        <v>0</v>
      </c>
    </row>
    <row r="209" spans="1:3">
      <c r="A209" t="s">
        <v>413</v>
      </c>
      <c r="B209" t="s">
        <v>1188</v>
      </c>
      <c r="C209" s="55">
        <v>8250.15</v>
      </c>
    </row>
    <row r="210" spans="1:3">
      <c r="A210" t="s">
        <v>415</v>
      </c>
      <c r="B210" t="s">
        <v>1189</v>
      </c>
      <c r="C210" s="55">
        <v>0</v>
      </c>
    </row>
    <row r="211" spans="1:3">
      <c r="A211" t="s">
        <v>417</v>
      </c>
      <c r="B211" t="s">
        <v>1190</v>
      </c>
      <c r="C211" s="55">
        <v>939109.17</v>
      </c>
    </row>
    <row r="212" spans="1:3">
      <c r="A212" t="s">
        <v>419</v>
      </c>
      <c r="B212" t="s">
        <v>1191</v>
      </c>
      <c r="C212" s="55">
        <v>123267.11</v>
      </c>
    </row>
    <row r="213" spans="1:3">
      <c r="A213" t="s">
        <v>421</v>
      </c>
      <c r="B213" t="s">
        <v>1192</v>
      </c>
      <c r="C213" s="55">
        <v>12311.609999999999</v>
      </c>
    </row>
    <row r="214" spans="1:3">
      <c r="A214" t="s">
        <v>423</v>
      </c>
      <c r="B214" t="s">
        <v>1347</v>
      </c>
      <c r="C214" s="55">
        <v>0</v>
      </c>
    </row>
    <row r="215" spans="1:3">
      <c r="A215" t="s">
        <v>425</v>
      </c>
      <c r="B215" t="s">
        <v>1194</v>
      </c>
      <c r="C215" s="55">
        <v>137684.68</v>
      </c>
    </row>
    <row r="216" spans="1:3">
      <c r="A216" t="s">
        <v>427</v>
      </c>
      <c r="B216" t="s">
        <v>1195</v>
      </c>
      <c r="C216" s="55">
        <v>219177.29</v>
      </c>
    </row>
    <row r="217" spans="1:3">
      <c r="A217" t="s">
        <v>431</v>
      </c>
      <c r="B217" t="s">
        <v>1197</v>
      </c>
      <c r="C217" s="55">
        <v>218625.34000000003</v>
      </c>
    </row>
    <row r="218" spans="1:3">
      <c r="A218" t="s">
        <v>433</v>
      </c>
      <c r="B218" t="s">
        <v>1348</v>
      </c>
      <c r="C218" s="55">
        <v>0</v>
      </c>
    </row>
    <row r="219" spans="1:3">
      <c r="A219" t="s">
        <v>435</v>
      </c>
      <c r="B219" t="s">
        <v>1199</v>
      </c>
      <c r="C219" s="55">
        <v>66274.48</v>
      </c>
    </row>
    <row r="220" spans="1:3">
      <c r="A220" t="s">
        <v>766</v>
      </c>
      <c r="B220" t="s">
        <v>1349</v>
      </c>
      <c r="C220" s="55">
        <v>0</v>
      </c>
    </row>
    <row r="221" spans="1:3">
      <c r="A221" t="s">
        <v>437</v>
      </c>
      <c r="B221" t="s">
        <v>1200</v>
      </c>
      <c r="C221" s="55">
        <v>0</v>
      </c>
    </row>
    <row r="222" spans="1:3">
      <c r="A222" t="s">
        <v>439</v>
      </c>
      <c r="B222" t="s">
        <v>1203</v>
      </c>
      <c r="C222" s="55">
        <v>120152.36</v>
      </c>
    </row>
    <row r="223" spans="1:3">
      <c r="A223" t="s">
        <v>441</v>
      </c>
      <c r="B223" t="s">
        <v>1204</v>
      </c>
      <c r="C223" s="55">
        <v>19295.36</v>
      </c>
    </row>
    <row r="224" spans="1:3">
      <c r="A224" t="s">
        <v>443</v>
      </c>
      <c r="B224" t="s">
        <v>1350</v>
      </c>
      <c r="C224" s="55">
        <v>0</v>
      </c>
    </row>
    <row r="225" spans="1:3">
      <c r="A225" t="s">
        <v>447</v>
      </c>
      <c r="B225" t="s">
        <v>1206</v>
      </c>
      <c r="C225" s="55">
        <v>14309.7</v>
      </c>
    </row>
    <row r="226" spans="1:3">
      <c r="A226" t="s">
        <v>449</v>
      </c>
      <c r="B226" t="s">
        <v>1351</v>
      </c>
      <c r="C226" s="55">
        <v>0</v>
      </c>
    </row>
    <row r="227" spans="1:3">
      <c r="A227" t="s">
        <v>451</v>
      </c>
      <c r="B227" t="s">
        <v>1208</v>
      </c>
      <c r="C227" s="55">
        <v>1894269.97</v>
      </c>
    </row>
    <row r="228" spans="1:3">
      <c r="A228" t="s">
        <v>453</v>
      </c>
      <c r="B228" t="s">
        <v>1209</v>
      </c>
      <c r="C228" s="55">
        <v>4267.55</v>
      </c>
    </row>
    <row r="229" spans="1:3">
      <c r="A229" t="s">
        <v>455</v>
      </c>
      <c r="B229" t="s">
        <v>1210</v>
      </c>
      <c r="C229" s="55">
        <v>1677436.3</v>
      </c>
    </row>
    <row r="230" spans="1:3">
      <c r="A230" t="s">
        <v>457</v>
      </c>
      <c r="B230" t="s">
        <v>1211</v>
      </c>
      <c r="C230" s="55">
        <v>515548.89</v>
      </c>
    </row>
    <row r="231" spans="1:3">
      <c r="A231" t="s">
        <v>459</v>
      </c>
      <c r="B231" t="s">
        <v>1212</v>
      </c>
      <c r="C231" s="55">
        <v>7085.67</v>
      </c>
    </row>
    <row r="232" spans="1:3">
      <c r="A232" t="s">
        <v>461</v>
      </c>
      <c r="B232" t="s">
        <v>1213</v>
      </c>
      <c r="C232" s="55">
        <v>11776.26</v>
      </c>
    </row>
    <row r="233" spans="1:3">
      <c r="A233" t="s">
        <v>463</v>
      </c>
      <c r="B233" t="s">
        <v>1214</v>
      </c>
      <c r="C233" s="55">
        <v>566442.39</v>
      </c>
    </row>
    <row r="234" spans="1:3">
      <c r="A234" t="s">
        <v>465</v>
      </c>
      <c r="B234" t="s">
        <v>1215</v>
      </c>
      <c r="C234" s="55">
        <v>31544.54</v>
      </c>
    </row>
    <row r="235" spans="1:3">
      <c r="A235" t="s">
        <v>467</v>
      </c>
      <c r="B235" t="s">
        <v>1216</v>
      </c>
      <c r="C235" s="55">
        <v>0</v>
      </c>
    </row>
    <row r="236" spans="1:3">
      <c r="A236" t="s">
        <v>699</v>
      </c>
      <c r="B236" t="s">
        <v>772</v>
      </c>
      <c r="C236" s="55">
        <v>0</v>
      </c>
    </row>
    <row r="237" spans="1:3">
      <c r="A237" t="s">
        <v>469</v>
      </c>
      <c r="B237" t="s">
        <v>1217</v>
      </c>
      <c r="C237" s="55">
        <v>0</v>
      </c>
    </row>
    <row r="238" spans="1:3">
      <c r="A238" t="s">
        <v>471</v>
      </c>
      <c r="B238" t="s">
        <v>1218</v>
      </c>
      <c r="C238" s="55">
        <v>0</v>
      </c>
    </row>
    <row r="239" spans="1:3">
      <c r="A239" t="s">
        <v>475</v>
      </c>
      <c r="B239" t="s">
        <v>1219</v>
      </c>
      <c r="C239" s="55">
        <v>103619.03</v>
      </c>
    </row>
    <row r="240" spans="1:3">
      <c r="A240" t="s">
        <v>477</v>
      </c>
      <c r="B240" t="s">
        <v>1220</v>
      </c>
      <c r="C240" s="55">
        <v>0</v>
      </c>
    </row>
    <row r="241" spans="1:3">
      <c r="A241" t="s">
        <v>701</v>
      </c>
      <c r="B241" t="s">
        <v>1352</v>
      </c>
      <c r="C241" s="55">
        <v>0</v>
      </c>
    </row>
    <row r="242" spans="1:3">
      <c r="A242" t="s">
        <v>702</v>
      </c>
      <c r="B242" t="s">
        <v>1353</v>
      </c>
      <c r="C242" s="55">
        <v>0</v>
      </c>
    </row>
    <row r="243" spans="1:3">
      <c r="A243" t="s">
        <v>479</v>
      </c>
      <c r="B243" t="s">
        <v>1221</v>
      </c>
      <c r="C243" s="55">
        <v>18952330.100000001</v>
      </c>
    </row>
    <row r="244" spans="1:3">
      <c r="A244" t="s">
        <v>481</v>
      </c>
      <c r="B244" t="s">
        <v>1222</v>
      </c>
      <c r="C244" s="55">
        <v>538498.32999999996</v>
      </c>
    </row>
    <row r="245" spans="1:3">
      <c r="A245" t="s">
        <v>483</v>
      </c>
      <c r="B245" t="s">
        <v>1223</v>
      </c>
      <c r="C245" s="55">
        <v>284311.03999999998</v>
      </c>
    </row>
    <row r="246" spans="1:3">
      <c r="A246" t="s">
        <v>485</v>
      </c>
      <c r="B246" t="s">
        <v>1224</v>
      </c>
      <c r="C246" s="55">
        <v>10047.459999999999</v>
      </c>
    </row>
    <row r="247" spans="1:3">
      <c r="A247" t="s">
        <v>487</v>
      </c>
      <c r="B247" t="s">
        <v>1225</v>
      </c>
      <c r="C247" s="55">
        <v>49730.84</v>
      </c>
    </row>
    <row r="248" spans="1:3">
      <c r="A248" t="s">
        <v>489</v>
      </c>
      <c r="B248" t="s">
        <v>1226</v>
      </c>
      <c r="C248" s="55">
        <v>0</v>
      </c>
    </row>
    <row r="249" spans="1:3">
      <c r="A249" t="s">
        <v>491</v>
      </c>
      <c r="B249" t="s">
        <v>1227</v>
      </c>
      <c r="C249" s="55">
        <v>422310.40000000002</v>
      </c>
    </row>
    <row r="250" spans="1:3">
      <c r="A250" t="s">
        <v>493</v>
      </c>
      <c r="B250" t="s">
        <v>1228</v>
      </c>
      <c r="C250" s="55">
        <v>3205968.4699999997</v>
      </c>
    </row>
    <row r="251" spans="1:3">
      <c r="A251" t="s">
        <v>495</v>
      </c>
      <c r="B251" t="s">
        <v>1229</v>
      </c>
      <c r="C251" s="55">
        <v>0</v>
      </c>
    </row>
    <row r="252" spans="1:3">
      <c r="A252" t="s">
        <v>497</v>
      </c>
      <c r="B252" t="s">
        <v>1230</v>
      </c>
      <c r="C252" s="55">
        <v>18432.52</v>
      </c>
    </row>
    <row r="253" spans="1:3">
      <c r="A253" t="s">
        <v>499</v>
      </c>
      <c r="B253" t="s">
        <v>1231</v>
      </c>
      <c r="C253" s="55">
        <v>2500343</v>
      </c>
    </row>
    <row r="254" spans="1:3">
      <c r="A254" t="s">
        <v>501</v>
      </c>
      <c r="B254" t="s">
        <v>1232</v>
      </c>
      <c r="C254" s="55">
        <v>1431894.17</v>
      </c>
    </row>
    <row r="255" spans="1:3">
      <c r="A255" t="s">
        <v>503</v>
      </c>
      <c r="B255" t="s">
        <v>1233</v>
      </c>
      <c r="C255" s="55">
        <v>34597.29</v>
      </c>
    </row>
    <row r="256" spans="1:3">
      <c r="A256" t="s">
        <v>1354</v>
      </c>
      <c r="B256" t="s">
        <v>1355</v>
      </c>
      <c r="C256" s="55">
        <v>0</v>
      </c>
    </row>
    <row r="257" spans="1:3">
      <c r="A257" t="s">
        <v>505</v>
      </c>
      <c r="B257" t="s">
        <v>1234</v>
      </c>
      <c r="C257" s="55">
        <v>6271.2</v>
      </c>
    </row>
    <row r="258" spans="1:3">
      <c r="A258" t="s">
        <v>507</v>
      </c>
      <c r="B258" t="s">
        <v>1235</v>
      </c>
      <c r="C258" s="55">
        <v>327397.65999999997</v>
      </c>
    </row>
    <row r="259" spans="1:3">
      <c r="A259" t="s">
        <v>509</v>
      </c>
      <c r="B259" t="s">
        <v>1236</v>
      </c>
      <c r="C259" s="55">
        <v>160187.66</v>
      </c>
    </row>
    <row r="260" spans="1:3">
      <c r="A260" t="s">
        <v>511</v>
      </c>
      <c r="B260" t="s">
        <v>1237</v>
      </c>
      <c r="C260" s="55">
        <v>0</v>
      </c>
    </row>
    <row r="261" spans="1:3">
      <c r="A261" t="s">
        <v>513</v>
      </c>
      <c r="B261" t="s">
        <v>1238</v>
      </c>
      <c r="C261" s="55">
        <v>4232866.57</v>
      </c>
    </row>
    <row r="262" spans="1:3">
      <c r="A262" t="s">
        <v>515</v>
      </c>
      <c r="B262" t="s">
        <v>1356</v>
      </c>
      <c r="C262" s="55">
        <v>0</v>
      </c>
    </row>
    <row r="263" spans="1:3">
      <c r="A263" t="s">
        <v>517</v>
      </c>
      <c r="B263" t="s">
        <v>1240</v>
      </c>
      <c r="C263" s="55">
        <v>3319.5</v>
      </c>
    </row>
    <row r="264" spans="1:3">
      <c r="A264" t="s">
        <v>473</v>
      </c>
      <c r="B264" t="s">
        <v>1241</v>
      </c>
      <c r="C264" s="55">
        <v>0</v>
      </c>
    </row>
    <row r="265" spans="1:3">
      <c r="A265" t="s">
        <v>519</v>
      </c>
      <c r="B265" t="s">
        <v>1357</v>
      </c>
      <c r="C265" s="55">
        <v>1260505.77</v>
      </c>
    </row>
    <row r="266" spans="1:3">
      <c r="A266" t="s">
        <v>521</v>
      </c>
      <c r="B266" t="s">
        <v>1243</v>
      </c>
      <c r="C266" s="55">
        <v>0</v>
      </c>
    </row>
    <row r="267" spans="1:3">
      <c r="A267" t="s">
        <v>523</v>
      </c>
      <c r="B267" t="s">
        <v>1244</v>
      </c>
      <c r="C267" s="55">
        <v>0</v>
      </c>
    </row>
    <row r="268" spans="1:3">
      <c r="A268" t="s">
        <v>525</v>
      </c>
      <c r="B268" t="s">
        <v>1245</v>
      </c>
      <c r="C268" s="55">
        <v>0</v>
      </c>
    </row>
    <row r="269" spans="1:3">
      <c r="A269" t="s">
        <v>527</v>
      </c>
      <c r="B269" t="s">
        <v>1246</v>
      </c>
      <c r="C269" s="55">
        <v>539417.42000000004</v>
      </c>
    </row>
    <row r="270" spans="1:3">
      <c r="A270" t="s">
        <v>529</v>
      </c>
      <c r="B270" t="s">
        <v>1247</v>
      </c>
      <c r="C270" s="55">
        <v>0</v>
      </c>
    </row>
    <row r="271" spans="1:3">
      <c r="A271" t="s">
        <v>531</v>
      </c>
      <c r="B271" t="s">
        <v>1248</v>
      </c>
      <c r="C271" s="55">
        <v>0</v>
      </c>
    </row>
    <row r="272" spans="1:3">
      <c r="A272" t="s">
        <v>533</v>
      </c>
      <c r="B272" t="s">
        <v>1249</v>
      </c>
      <c r="C272" s="55">
        <v>160580.15</v>
      </c>
    </row>
    <row r="273" spans="1:3">
      <c r="A273" t="s">
        <v>535</v>
      </c>
      <c r="B273" t="s">
        <v>1358</v>
      </c>
      <c r="C273" s="55">
        <v>0</v>
      </c>
    </row>
    <row r="274" spans="1:3">
      <c r="A274" t="s">
        <v>537</v>
      </c>
      <c r="B274" t="s">
        <v>1359</v>
      </c>
      <c r="C274" s="55">
        <v>0</v>
      </c>
    </row>
    <row r="275" spans="1:3">
      <c r="A275" t="s">
        <v>539</v>
      </c>
      <c r="B275" t="s">
        <v>1360</v>
      </c>
      <c r="C275" s="55">
        <v>0</v>
      </c>
    </row>
    <row r="276" spans="1:3">
      <c r="A276" t="s">
        <v>541</v>
      </c>
      <c r="B276" t="s">
        <v>1253</v>
      </c>
      <c r="C276" s="55">
        <v>0</v>
      </c>
    </row>
    <row r="277" spans="1:3">
      <c r="A277" t="s">
        <v>543</v>
      </c>
      <c r="B277" t="s">
        <v>1254</v>
      </c>
      <c r="C277" s="55">
        <v>2590916.83</v>
      </c>
    </row>
    <row r="278" spans="1:3">
      <c r="A278" t="s">
        <v>545</v>
      </c>
      <c r="B278" t="s">
        <v>1255</v>
      </c>
      <c r="C278" s="55">
        <v>628184.48</v>
      </c>
    </row>
    <row r="279" spans="1:3">
      <c r="A279" t="s">
        <v>836</v>
      </c>
      <c r="B279" t="s">
        <v>1361</v>
      </c>
      <c r="C279" s="55">
        <v>0</v>
      </c>
    </row>
    <row r="280" spans="1:3">
      <c r="A280" t="s">
        <v>549</v>
      </c>
      <c r="B280" t="s">
        <v>1257</v>
      </c>
      <c r="C280" s="55">
        <v>3297130.55</v>
      </c>
    </row>
    <row r="281" spans="1:3">
      <c r="A281" t="s">
        <v>551</v>
      </c>
      <c r="B281" t="s">
        <v>1258</v>
      </c>
      <c r="C281" s="55">
        <v>0</v>
      </c>
    </row>
    <row r="282" spans="1:3">
      <c r="A282" t="s">
        <v>553</v>
      </c>
      <c r="B282" t="s">
        <v>1259</v>
      </c>
      <c r="C282" s="55">
        <v>1431444.9400000002</v>
      </c>
    </row>
    <row r="283" spans="1:3">
      <c r="A283" t="s">
        <v>555</v>
      </c>
      <c r="B283" t="s">
        <v>1260</v>
      </c>
      <c r="C283" s="55">
        <v>9345.06</v>
      </c>
    </row>
    <row r="284" spans="1:3">
      <c r="A284" t="s">
        <v>557</v>
      </c>
      <c r="B284" t="s">
        <v>1261</v>
      </c>
      <c r="C284" s="55">
        <v>71092.08</v>
      </c>
    </row>
    <row r="285" spans="1:3">
      <c r="A285" t="s">
        <v>559</v>
      </c>
      <c r="B285" t="s">
        <v>1262</v>
      </c>
      <c r="C285" s="55">
        <v>43075.29</v>
      </c>
    </row>
    <row r="286" spans="1:3">
      <c r="A286" t="s">
        <v>561</v>
      </c>
      <c r="B286" t="s">
        <v>1263</v>
      </c>
      <c r="C286" s="55">
        <v>15626.88</v>
      </c>
    </row>
    <row r="287" spans="1:3">
      <c r="A287" t="s">
        <v>563</v>
      </c>
      <c r="B287" t="s">
        <v>1264</v>
      </c>
      <c r="C287" s="55">
        <v>68308.179999999993</v>
      </c>
    </row>
    <row r="288" spans="1:3">
      <c r="A288" t="s">
        <v>565</v>
      </c>
      <c r="B288" t="s">
        <v>1265</v>
      </c>
      <c r="C288" s="55">
        <v>594461.09000000008</v>
      </c>
    </row>
    <row r="289" spans="1:3">
      <c r="A289" t="s">
        <v>567</v>
      </c>
      <c r="B289" t="s">
        <v>1266</v>
      </c>
      <c r="C289" s="55">
        <v>0</v>
      </c>
    </row>
    <row r="290" spans="1:3">
      <c r="A290" t="s">
        <v>569</v>
      </c>
      <c r="B290" t="s">
        <v>1267</v>
      </c>
      <c r="C290" s="55">
        <v>0</v>
      </c>
    </row>
    <row r="291" spans="1:3">
      <c r="A291" t="s">
        <v>571</v>
      </c>
      <c r="B291" t="s">
        <v>1268</v>
      </c>
      <c r="C291" s="55">
        <v>0</v>
      </c>
    </row>
    <row r="292" spans="1:3">
      <c r="A292" t="s">
        <v>573</v>
      </c>
      <c r="B292" t="s">
        <v>1269</v>
      </c>
      <c r="C292" s="55">
        <v>567390.18000000005</v>
      </c>
    </row>
    <row r="293" spans="1:3">
      <c r="A293" t="s">
        <v>575</v>
      </c>
      <c r="B293" t="s">
        <v>1270</v>
      </c>
      <c r="C293" s="55">
        <v>1056558.3400000001</v>
      </c>
    </row>
    <row r="294" spans="1:3">
      <c r="A294" t="s">
        <v>577</v>
      </c>
      <c r="B294" t="s">
        <v>1271</v>
      </c>
      <c r="C294" s="55">
        <v>17141.900000000001</v>
      </c>
    </row>
    <row r="295" spans="1:3">
      <c r="A295" t="s">
        <v>579</v>
      </c>
      <c r="B295" t="s">
        <v>1272</v>
      </c>
      <c r="C295" s="55">
        <v>842627.35</v>
      </c>
    </row>
    <row r="296" spans="1:3">
      <c r="A296" t="s">
        <v>581</v>
      </c>
      <c r="B296" t="s">
        <v>1273</v>
      </c>
      <c r="C296" s="55">
        <v>21700.240000000002</v>
      </c>
    </row>
    <row r="297" spans="1:3">
      <c r="A297" t="s">
        <v>583</v>
      </c>
      <c r="B297" t="s">
        <v>1274</v>
      </c>
      <c r="C297" s="55">
        <v>4035116.81</v>
      </c>
    </row>
    <row r="298" spans="1:3">
      <c r="A298" t="s">
        <v>585</v>
      </c>
      <c r="B298" t="s">
        <v>1275</v>
      </c>
      <c r="C298" s="55">
        <v>150202.75</v>
      </c>
    </row>
    <row r="299" spans="1:3">
      <c r="A299" t="s">
        <v>937</v>
      </c>
      <c r="B299" t="s">
        <v>1362</v>
      </c>
      <c r="C299" s="55">
        <v>6639</v>
      </c>
    </row>
    <row r="300" spans="1:3">
      <c r="A300" t="s">
        <v>589</v>
      </c>
      <c r="B300" t="s">
        <v>1276</v>
      </c>
      <c r="C300" s="55">
        <v>0</v>
      </c>
    </row>
    <row r="301" spans="1:3">
      <c r="A301" t="s">
        <v>591</v>
      </c>
      <c r="B301" t="s">
        <v>1277</v>
      </c>
      <c r="C301" s="55">
        <v>168386.28</v>
      </c>
    </row>
    <row r="302" spans="1:3">
      <c r="A302" t="s">
        <v>593</v>
      </c>
      <c r="B302" t="s">
        <v>1278</v>
      </c>
      <c r="C302" s="55">
        <v>0</v>
      </c>
    </row>
    <row r="303" spans="1:3">
      <c r="A303" t="s">
        <v>595</v>
      </c>
      <c r="B303" t="s">
        <v>1279</v>
      </c>
      <c r="C303" s="55">
        <v>375555.24</v>
      </c>
    </row>
    <row r="304" spans="1:3">
      <c r="A304" t="s">
        <v>597</v>
      </c>
      <c r="B304" t="s">
        <v>1280</v>
      </c>
      <c r="C304" s="55">
        <v>756.85</v>
      </c>
    </row>
    <row r="305" spans="1:3">
      <c r="A305" t="s">
        <v>599</v>
      </c>
      <c r="B305" t="s">
        <v>1281</v>
      </c>
      <c r="C305" s="55">
        <v>32407.61</v>
      </c>
    </row>
    <row r="306" spans="1:3">
      <c r="A306" t="s">
        <v>601</v>
      </c>
      <c r="B306" t="s">
        <v>1282</v>
      </c>
      <c r="C306" s="55">
        <v>421151.6</v>
      </c>
    </row>
    <row r="307" spans="1:3">
      <c r="A307" t="s">
        <v>603</v>
      </c>
      <c r="B307" t="s">
        <v>1283</v>
      </c>
      <c r="C307" s="55">
        <v>4935.43</v>
      </c>
    </row>
    <row r="308" spans="1:3">
      <c r="A308" t="s">
        <v>605</v>
      </c>
      <c r="B308" t="s">
        <v>1284</v>
      </c>
      <c r="C308" s="55">
        <v>0</v>
      </c>
    </row>
    <row r="309" spans="1:3">
      <c r="A309" t="s">
        <v>607</v>
      </c>
      <c r="B309" t="s">
        <v>1286</v>
      </c>
      <c r="C309" s="55">
        <v>53037.020000000004</v>
      </c>
    </row>
    <row r="310" spans="1:3">
      <c r="A310" t="s">
        <v>609</v>
      </c>
      <c r="B310" t="s">
        <v>1287</v>
      </c>
      <c r="C310" s="55">
        <v>530495.14</v>
      </c>
    </row>
    <row r="311" spans="1:3">
      <c r="A311" t="s">
        <v>611</v>
      </c>
      <c r="B311" t="s">
        <v>1363</v>
      </c>
      <c r="C311" s="55">
        <v>362379.58</v>
      </c>
    </row>
    <row r="312" spans="1:3">
      <c r="A312" t="s">
        <v>613</v>
      </c>
      <c r="B312" t="s">
        <v>1364</v>
      </c>
      <c r="C312" s="55">
        <v>161263.97</v>
      </c>
    </row>
    <row r="313" spans="1:3">
      <c r="A313" t="s">
        <v>615</v>
      </c>
      <c r="B313" t="s">
        <v>1385</v>
      </c>
      <c r="C313" s="55">
        <v>0</v>
      </c>
    </row>
    <row r="314" spans="1:3">
      <c r="A314" t="s">
        <v>617</v>
      </c>
      <c r="B314" t="s">
        <v>1291</v>
      </c>
      <c r="C314" s="55">
        <v>5578.09</v>
      </c>
    </row>
    <row r="315" spans="1:3">
      <c r="A315" t="s">
        <v>619</v>
      </c>
      <c r="B315" t="s">
        <v>1292</v>
      </c>
      <c r="C315" s="55">
        <v>948051.21</v>
      </c>
    </row>
    <row r="316" spans="1:3">
      <c r="A316" t="s">
        <v>621</v>
      </c>
      <c r="B316" t="s">
        <v>1293</v>
      </c>
      <c r="C316" s="55">
        <v>0</v>
      </c>
    </row>
    <row r="317" spans="1:3">
      <c r="A317" t="s">
        <v>623</v>
      </c>
      <c r="B317" t="s">
        <v>1386</v>
      </c>
      <c r="C317" s="55">
        <v>0</v>
      </c>
    </row>
    <row r="318" spans="1:3">
      <c r="A318" t="s">
        <v>625</v>
      </c>
      <c r="B318" t="s">
        <v>1294</v>
      </c>
      <c r="C318" s="55">
        <v>12018.79</v>
      </c>
    </row>
    <row r="319" spans="1:3">
      <c r="A319" t="s">
        <v>627</v>
      </c>
      <c r="B319" t="s">
        <v>1295</v>
      </c>
      <c r="C319" s="55">
        <v>3931.62</v>
      </c>
    </row>
    <row r="320" spans="1:3">
      <c r="A320" t="s">
        <v>227</v>
      </c>
      <c r="B320" t="s">
        <v>1365</v>
      </c>
      <c r="C320" s="55">
        <v>0</v>
      </c>
    </row>
    <row r="321" spans="1:3">
      <c r="A321" t="s">
        <v>629</v>
      </c>
      <c r="B321" t="s">
        <v>1297</v>
      </c>
      <c r="C321" s="55">
        <v>30409.279999999999</v>
      </c>
    </row>
    <row r="322" spans="1:3">
      <c r="A322" t="s">
        <v>631</v>
      </c>
      <c r="B322" t="s">
        <v>1298</v>
      </c>
      <c r="C322" s="55">
        <v>11958.17</v>
      </c>
    </row>
    <row r="323" spans="1:3">
      <c r="A323" t="s">
        <v>633</v>
      </c>
      <c r="B323" t="s">
        <v>1299</v>
      </c>
      <c r="C323" s="55">
        <v>1407.47</v>
      </c>
    </row>
    <row r="324" spans="1:3">
      <c r="A324" t="s">
        <v>635</v>
      </c>
      <c r="B324" t="s">
        <v>1300</v>
      </c>
      <c r="C324" s="55">
        <v>0</v>
      </c>
    </row>
    <row r="325" spans="1:3">
      <c r="A325" t="s">
        <v>637</v>
      </c>
      <c r="B325" t="s">
        <v>1301</v>
      </c>
      <c r="C325" s="55">
        <v>47533.91</v>
      </c>
    </row>
    <row r="326" spans="1:3">
      <c r="A326" t="s">
        <v>639</v>
      </c>
      <c r="B326" t="s">
        <v>1302</v>
      </c>
      <c r="C326" s="55">
        <v>2250569.5499999998</v>
      </c>
    </row>
    <row r="327" spans="1:3">
      <c r="A327" t="s">
        <v>982</v>
      </c>
      <c r="B327" t="s">
        <v>1366</v>
      </c>
      <c r="C327" s="55">
        <v>0</v>
      </c>
    </row>
    <row r="328" spans="1:3">
      <c r="A328" t="s">
        <v>641</v>
      </c>
      <c r="B328" t="s">
        <v>1305</v>
      </c>
      <c r="C328" s="55">
        <v>617026.92000000004</v>
      </c>
    </row>
    <row r="329" spans="1:3">
      <c r="A329" t="s">
        <v>643</v>
      </c>
      <c r="B329" t="s">
        <v>1306</v>
      </c>
      <c r="C329" s="55">
        <v>17548.2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987E-376A-4688-BED8-3736F550F241}">
  <sheetPr>
    <tabColor rgb="FF92D050"/>
  </sheetPr>
  <dimension ref="A1:E568"/>
  <sheetViews>
    <sheetView workbookViewId="0">
      <selection activeCell="I16" sqref="I16"/>
    </sheetView>
  </sheetViews>
  <sheetFormatPr defaultRowHeight="12.75"/>
  <cols>
    <col min="1" max="1" width="6.28515625" bestFit="1" customWidth="1"/>
    <col min="2" max="2" width="47.28515625" bestFit="1" customWidth="1"/>
    <col min="3" max="4" width="15.85546875" bestFit="1" customWidth="1"/>
  </cols>
  <sheetData>
    <row r="1" spans="1:5" ht="15">
      <c r="B1" s="113" t="s">
        <v>1432</v>
      </c>
      <c r="C1" s="114" t="s">
        <v>1433</v>
      </c>
    </row>
    <row r="4" spans="1:5">
      <c r="A4" t="s">
        <v>1402</v>
      </c>
      <c r="B4" t="s">
        <v>1403</v>
      </c>
      <c r="C4" s="55" t="s">
        <v>1410</v>
      </c>
      <c r="D4" s="55" t="s">
        <v>1411</v>
      </c>
      <c r="E4" t="s">
        <v>670</v>
      </c>
    </row>
    <row r="5" spans="1:5">
      <c r="A5" t="s">
        <v>6</v>
      </c>
      <c r="B5" t="s">
        <v>794</v>
      </c>
      <c r="C5" s="55">
        <v>3601</v>
      </c>
      <c r="D5" s="55">
        <v>0</v>
      </c>
      <c r="E5" s="55">
        <f>C5+D5</f>
        <v>3601</v>
      </c>
    </row>
    <row r="6" spans="1:5">
      <c r="A6" t="s">
        <v>9</v>
      </c>
      <c r="B6" t="s">
        <v>842</v>
      </c>
      <c r="C6" s="55">
        <v>0</v>
      </c>
      <c r="D6" s="55">
        <v>0</v>
      </c>
      <c r="E6" s="55">
        <f t="shared" ref="E6:E69" si="0">C6+D6</f>
        <v>0</v>
      </c>
    </row>
    <row r="7" spans="1:5">
      <c r="A7" t="s">
        <v>11</v>
      </c>
      <c r="B7" t="s">
        <v>848</v>
      </c>
      <c r="C7" s="55">
        <v>0</v>
      </c>
      <c r="D7" s="55">
        <v>0</v>
      </c>
      <c r="E7" s="55">
        <f t="shared" si="0"/>
        <v>0</v>
      </c>
    </row>
    <row r="8" spans="1:5">
      <c r="A8" t="s">
        <v>14</v>
      </c>
      <c r="B8" t="s">
        <v>890</v>
      </c>
      <c r="C8" s="55">
        <v>0</v>
      </c>
      <c r="D8" s="55">
        <v>0</v>
      </c>
      <c r="E8" s="55">
        <f t="shared" si="0"/>
        <v>0</v>
      </c>
    </row>
    <row r="9" spans="1:5">
      <c r="A9" t="s">
        <v>17</v>
      </c>
      <c r="B9" t="s">
        <v>897</v>
      </c>
      <c r="C9" s="55">
        <v>577</v>
      </c>
      <c r="D9" s="55">
        <v>535</v>
      </c>
      <c r="E9" s="55">
        <f t="shared" si="0"/>
        <v>1112</v>
      </c>
    </row>
    <row r="10" spans="1:5">
      <c r="A10" t="s">
        <v>19</v>
      </c>
      <c r="B10" t="s">
        <v>752</v>
      </c>
      <c r="C10" s="55">
        <v>9430</v>
      </c>
      <c r="D10" s="55">
        <v>433</v>
      </c>
      <c r="E10" s="55">
        <f t="shared" si="0"/>
        <v>9863</v>
      </c>
    </row>
    <row r="11" spans="1:5">
      <c r="A11" t="s">
        <v>22</v>
      </c>
      <c r="B11" t="s">
        <v>818</v>
      </c>
      <c r="C11" s="55">
        <v>273219</v>
      </c>
      <c r="D11" s="55">
        <v>34148</v>
      </c>
      <c r="E11" s="55">
        <f t="shared" si="0"/>
        <v>307367</v>
      </c>
    </row>
    <row r="12" spans="1:5">
      <c r="A12" t="s">
        <v>25</v>
      </c>
      <c r="B12" t="s">
        <v>832</v>
      </c>
      <c r="C12" s="55">
        <v>0</v>
      </c>
      <c r="D12" s="55">
        <v>0</v>
      </c>
      <c r="E12" s="55">
        <f t="shared" si="0"/>
        <v>0</v>
      </c>
    </row>
    <row r="13" spans="1:5">
      <c r="A13" t="s">
        <v>27</v>
      </c>
      <c r="B13" t="s">
        <v>703</v>
      </c>
      <c r="C13" s="55">
        <v>22733</v>
      </c>
      <c r="D13" s="55">
        <v>0</v>
      </c>
      <c r="E13" s="55">
        <f t="shared" si="0"/>
        <v>22733</v>
      </c>
    </row>
    <row r="14" spans="1:5">
      <c r="A14" t="s">
        <v>30</v>
      </c>
      <c r="B14" t="s">
        <v>704</v>
      </c>
      <c r="C14" s="55">
        <v>78121</v>
      </c>
      <c r="D14" s="55">
        <v>0</v>
      </c>
      <c r="E14" s="55">
        <f t="shared" si="0"/>
        <v>78121</v>
      </c>
    </row>
    <row r="15" spans="1:5">
      <c r="A15" t="s">
        <v>32</v>
      </c>
      <c r="B15" t="s">
        <v>945</v>
      </c>
      <c r="C15" s="55">
        <v>719</v>
      </c>
      <c r="D15" s="55">
        <v>0</v>
      </c>
      <c r="E15" s="55">
        <f t="shared" si="0"/>
        <v>719</v>
      </c>
    </row>
    <row r="16" spans="1:5">
      <c r="A16" t="s">
        <v>36</v>
      </c>
      <c r="B16" t="s">
        <v>705</v>
      </c>
      <c r="C16" s="55">
        <v>0</v>
      </c>
      <c r="D16" s="55">
        <v>4</v>
      </c>
      <c r="E16" s="55">
        <f t="shared" si="0"/>
        <v>4</v>
      </c>
    </row>
    <row r="17" spans="1:5">
      <c r="A17" t="s">
        <v>41</v>
      </c>
      <c r="B17" t="s">
        <v>947</v>
      </c>
      <c r="C17" s="55">
        <v>0</v>
      </c>
      <c r="D17" s="55">
        <v>0</v>
      </c>
      <c r="E17" s="55">
        <f t="shared" si="0"/>
        <v>0</v>
      </c>
    </row>
    <row r="18" spans="1:5">
      <c r="A18" t="s">
        <v>43</v>
      </c>
      <c r="B18" t="s">
        <v>706</v>
      </c>
      <c r="C18" s="55">
        <v>0</v>
      </c>
      <c r="D18" s="55">
        <v>0</v>
      </c>
      <c r="E18" s="55">
        <f t="shared" si="0"/>
        <v>0</v>
      </c>
    </row>
    <row r="19" spans="1:5">
      <c r="A19" t="s">
        <v>45</v>
      </c>
      <c r="B19" t="s">
        <v>831</v>
      </c>
      <c r="C19" s="55">
        <v>16881</v>
      </c>
      <c r="D19" s="55">
        <v>0</v>
      </c>
      <c r="E19" s="55">
        <f t="shared" si="0"/>
        <v>16881</v>
      </c>
    </row>
    <row r="20" spans="1:5">
      <c r="A20" t="s">
        <v>48</v>
      </c>
      <c r="B20" t="s">
        <v>861</v>
      </c>
      <c r="C20" s="55">
        <v>98489</v>
      </c>
      <c r="D20" s="55">
        <v>2427</v>
      </c>
      <c r="E20" s="55">
        <f t="shared" si="0"/>
        <v>100916</v>
      </c>
    </row>
    <row r="21" spans="1:5">
      <c r="A21" t="s">
        <v>51</v>
      </c>
      <c r="B21" t="s">
        <v>778</v>
      </c>
      <c r="C21" s="55">
        <v>0</v>
      </c>
      <c r="D21" s="55">
        <v>59</v>
      </c>
      <c r="E21" s="55">
        <f t="shared" si="0"/>
        <v>59</v>
      </c>
    </row>
    <row r="22" spans="1:5">
      <c r="A22" t="s">
        <v>53</v>
      </c>
      <c r="B22" t="s">
        <v>807</v>
      </c>
      <c r="C22" s="55">
        <v>1</v>
      </c>
      <c r="D22" s="55">
        <v>0</v>
      </c>
      <c r="E22" s="55">
        <f t="shared" si="0"/>
        <v>1</v>
      </c>
    </row>
    <row r="23" spans="1:5">
      <c r="A23" t="s">
        <v>55</v>
      </c>
      <c r="B23" t="s">
        <v>889</v>
      </c>
      <c r="C23" s="55">
        <v>14497</v>
      </c>
      <c r="D23" s="55">
        <v>13</v>
      </c>
      <c r="E23" s="55">
        <f t="shared" si="0"/>
        <v>14510</v>
      </c>
    </row>
    <row r="24" spans="1:5">
      <c r="A24" t="s">
        <v>57</v>
      </c>
      <c r="B24" t="s">
        <v>770</v>
      </c>
      <c r="C24" s="55">
        <v>45672</v>
      </c>
      <c r="D24" s="55">
        <v>948</v>
      </c>
      <c r="E24" s="55">
        <f t="shared" si="0"/>
        <v>46620</v>
      </c>
    </row>
    <row r="25" spans="1:5">
      <c r="A25" t="s">
        <v>59</v>
      </c>
      <c r="B25" t="s">
        <v>764</v>
      </c>
      <c r="C25" s="55">
        <v>0</v>
      </c>
      <c r="D25" s="55">
        <v>0</v>
      </c>
      <c r="E25" s="55">
        <f t="shared" si="0"/>
        <v>0</v>
      </c>
    </row>
    <row r="26" spans="1:5">
      <c r="A26" t="s">
        <v>61</v>
      </c>
      <c r="B26" t="s">
        <v>873</v>
      </c>
      <c r="C26" s="55">
        <v>0</v>
      </c>
      <c r="D26" s="55">
        <v>0</v>
      </c>
      <c r="E26" s="55">
        <f t="shared" si="0"/>
        <v>0</v>
      </c>
    </row>
    <row r="27" spans="1:5">
      <c r="A27" t="s">
        <v>63</v>
      </c>
      <c r="B27" t="s">
        <v>760</v>
      </c>
      <c r="C27" s="55">
        <v>0</v>
      </c>
      <c r="D27" s="55">
        <v>0</v>
      </c>
      <c r="E27" s="55">
        <f t="shared" si="0"/>
        <v>0</v>
      </c>
    </row>
    <row r="28" spans="1:5">
      <c r="A28" t="s">
        <v>65</v>
      </c>
      <c r="B28" t="s">
        <v>1308</v>
      </c>
      <c r="C28" s="55">
        <v>0</v>
      </c>
      <c r="D28" s="55">
        <v>0</v>
      </c>
      <c r="E28" s="55">
        <f t="shared" si="0"/>
        <v>0</v>
      </c>
    </row>
    <row r="29" spans="1:5">
      <c r="A29" t="s">
        <v>67</v>
      </c>
      <c r="B29" t="s">
        <v>775</v>
      </c>
      <c r="C29" s="55">
        <v>1</v>
      </c>
      <c r="D29" s="55">
        <v>0</v>
      </c>
      <c r="E29" s="55">
        <f t="shared" si="0"/>
        <v>1</v>
      </c>
    </row>
    <row r="30" spans="1:5">
      <c r="A30" t="s">
        <v>69</v>
      </c>
      <c r="B30" t="s">
        <v>696</v>
      </c>
      <c r="C30" s="55">
        <v>0</v>
      </c>
      <c r="D30" s="55">
        <v>1574</v>
      </c>
      <c r="E30" s="55">
        <f t="shared" si="0"/>
        <v>1574</v>
      </c>
    </row>
    <row r="31" spans="1:5">
      <c r="A31" t="s">
        <v>73</v>
      </c>
      <c r="B31" t="s">
        <v>834</v>
      </c>
      <c r="C31" s="55">
        <v>0</v>
      </c>
      <c r="D31" s="55">
        <v>0</v>
      </c>
      <c r="E31" s="55">
        <f t="shared" si="0"/>
        <v>0</v>
      </c>
    </row>
    <row r="32" spans="1:5">
      <c r="A32" t="s">
        <v>75</v>
      </c>
      <c r="B32" t="s">
        <v>909</v>
      </c>
      <c r="C32" s="55">
        <v>0</v>
      </c>
      <c r="D32" s="55">
        <v>0</v>
      </c>
      <c r="E32" s="55">
        <f t="shared" si="0"/>
        <v>0</v>
      </c>
    </row>
    <row r="33" spans="1:5">
      <c r="A33" t="s">
        <v>77</v>
      </c>
      <c r="B33" t="s">
        <v>707</v>
      </c>
      <c r="C33" s="55">
        <v>3228</v>
      </c>
      <c r="D33" s="55">
        <v>0</v>
      </c>
      <c r="E33" s="55">
        <f t="shared" si="0"/>
        <v>3228</v>
      </c>
    </row>
    <row r="34" spans="1:5">
      <c r="A34" t="s">
        <v>79</v>
      </c>
      <c r="B34" t="s">
        <v>844</v>
      </c>
      <c r="C34" s="55">
        <v>0</v>
      </c>
      <c r="D34" s="55">
        <v>0</v>
      </c>
      <c r="E34" s="55">
        <f t="shared" si="0"/>
        <v>0</v>
      </c>
    </row>
    <row r="35" spans="1:5">
      <c r="A35" t="s">
        <v>81</v>
      </c>
      <c r="B35" t="s">
        <v>911</v>
      </c>
      <c r="C35" s="55">
        <v>0</v>
      </c>
      <c r="D35" s="55">
        <v>0</v>
      </c>
      <c r="E35" s="55">
        <f t="shared" si="0"/>
        <v>0</v>
      </c>
    </row>
    <row r="36" spans="1:5">
      <c r="A36" t="s">
        <v>83</v>
      </c>
      <c r="B36" t="s">
        <v>708</v>
      </c>
      <c r="C36" s="55">
        <v>0</v>
      </c>
      <c r="D36" s="55">
        <v>0</v>
      </c>
      <c r="E36" s="55">
        <f t="shared" si="0"/>
        <v>0</v>
      </c>
    </row>
    <row r="37" spans="1:5">
      <c r="A37" t="s">
        <v>85</v>
      </c>
      <c r="B37" t="s">
        <v>809</v>
      </c>
      <c r="C37" s="55">
        <v>0</v>
      </c>
      <c r="D37" s="55">
        <v>0</v>
      </c>
      <c r="E37" s="55">
        <f t="shared" si="0"/>
        <v>0</v>
      </c>
    </row>
    <row r="38" spans="1:5">
      <c r="A38" t="s">
        <v>87</v>
      </c>
      <c r="B38" t="s">
        <v>751</v>
      </c>
      <c r="C38" s="55">
        <v>0</v>
      </c>
      <c r="D38" s="55">
        <v>1</v>
      </c>
      <c r="E38" s="55">
        <f t="shared" si="0"/>
        <v>1</v>
      </c>
    </row>
    <row r="39" spans="1:5">
      <c r="A39" t="s">
        <v>89</v>
      </c>
      <c r="B39" t="s">
        <v>840</v>
      </c>
      <c r="C39" s="55">
        <v>12509</v>
      </c>
      <c r="D39" s="55">
        <v>2193</v>
      </c>
      <c r="E39" s="55">
        <f t="shared" si="0"/>
        <v>14702</v>
      </c>
    </row>
    <row r="40" spans="1:5">
      <c r="A40" t="s">
        <v>91</v>
      </c>
      <c r="B40" t="s">
        <v>709</v>
      </c>
      <c r="C40" s="55">
        <v>4688</v>
      </c>
      <c r="D40" s="55">
        <v>0</v>
      </c>
      <c r="E40" s="55">
        <f t="shared" si="0"/>
        <v>4688</v>
      </c>
    </row>
    <row r="41" spans="1:5">
      <c r="A41" t="s">
        <v>93</v>
      </c>
      <c r="B41" t="s">
        <v>957</v>
      </c>
      <c r="C41" s="55">
        <v>0</v>
      </c>
      <c r="D41" s="55">
        <v>0</v>
      </c>
      <c r="E41" s="55">
        <f t="shared" si="0"/>
        <v>0</v>
      </c>
    </row>
    <row r="42" spans="1:5">
      <c r="A42" t="s">
        <v>95</v>
      </c>
      <c r="B42" t="s">
        <v>941</v>
      </c>
      <c r="C42" s="55">
        <v>194</v>
      </c>
      <c r="D42" s="55">
        <v>0</v>
      </c>
      <c r="E42" s="55">
        <f t="shared" si="0"/>
        <v>194</v>
      </c>
    </row>
    <row r="43" spans="1:5">
      <c r="A43" t="s">
        <v>97</v>
      </c>
      <c r="B43" t="s">
        <v>961</v>
      </c>
      <c r="C43" s="55">
        <v>0</v>
      </c>
      <c r="D43" s="55">
        <v>0</v>
      </c>
      <c r="E43" s="55">
        <f t="shared" si="0"/>
        <v>0</v>
      </c>
    </row>
    <row r="44" spans="1:5">
      <c r="A44" t="s">
        <v>99</v>
      </c>
      <c r="B44" t="s">
        <v>926</v>
      </c>
      <c r="C44" s="55">
        <v>0</v>
      </c>
      <c r="D44" s="55">
        <v>0</v>
      </c>
      <c r="E44" s="55">
        <f t="shared" si="0"/>
        <v>0</v>
      </c>
    </row>
    <row r="45" spans="1:5">
      <c r="A45" t="s">
        <v>101</v>
      </c>
      <c r="B45" t="s">
        <v>943</v>
      </c>
      <c r="C45" s="55">
        <v>155856</v>
      </c>
      <c r="D45" s="55">
        <v>2104</v>
      </c>
      <c r="E45" s="55">
        <f t="shared" si="0"/>
        <v>157960</v>
      </c>
    </row>
    <row r="46" spans="1:5">
      <c r="A46" t="s">
        <v>103</v>
      </c>
      <c r="B46" t="s">
        <v>922</v>
      </c>
      <c r="C46" s="55">
        <v>0</v>
      </c>
      <c r="D46" s="55">
        <v>0</v>
      </c>
      <c r="E46" s="55">
        <f t="shared" si="0"/>
        <v>0</v>
      </c>
    </row>
    <row r="47" spans="1:5">
      <c r="A47" t="s">
        <v>105</v>
      </c>
      <c r="B47" t="s">
        <v>888</v>
      </c>
      <c r="C47" s="55">
        <v>0</v>
      </c>
      <c r="D47" s="55">
        <v>0</v>
      </c>
      <c r="E47" s="55">
        <f t="shared" si="0"/>
        <v>0</v>
      </c>
    </row>
    <row r="48" spans="1:5">
      <c r="A48" t="s">
        <v>107</v>
      </c>
      <c r="B48" t="s">
        <v>892</v>
      </c>
      <c r="C48" s="55">
        <v>0</v>
      </c>
      <c r="D48" s="55">
        <v>0</v>
      </c>
      <c r="E48" s="55">
        <f t="shared" si="0"/>
        <v>0</v>
      </c>
    </row>
    <row r="49" spans="1:5">
      <c r="A49" t="s">
        <v>109</v>
      </c>
      <c r="B49" t="s">
        <v>799</v>
      </c>
      <c r="C49" s="55">
        <v>0</v>
      </c>
      <c r="D49" s="55">
        <v>170</v>
      </c>
      <c r="E49" s="55">
        <f t="shared" si="0"/>
        <v>170</v>
      </c>
    </row>
    <row r="50" spans="1:5">
      <c r="A50" t="s">
        <v>111</v>
      </c>
      <c r="B50" t="s">
        <v>787</v>
      </c>
      <c r="C50" s="55">
        <v>0</v>
      </c>
      <c r="D50" s="55">
        <v>0</v>
      </c>
      <c r="E50" s="55">
        <f t="shared" si="0"/>
        <v>0</v>
      </c>
    </row>
    <row r="51" spans="1:5">
      <c r="A51" t="s">
        <v>113</v>
      </c>
      <c r="B51" t="s">
        <v>804</v>
      </c>
      <c r="C51" s="55">
        <v>0</v>
      </c>
      <c r="D51" s="55">
        <v>0</v>
      </c>
      <c r="E51" s="55">
        <f t="shared" si="0"/>
        <v>0</v>
      </c>
    </row>
    <row r="52" spans="1:5">
      <c r="A52" t="s">
        <v>115</v>
      </c>
      <c r="B52" t="s">
        <v>762</v>
      </c>
      <c r="C52" s="55">
        <v>0</v>
      </c>
      <c r="D52" s="55">
        <v>0</v>
      </c>
      <c r="E52" s="55">
        <f t="shared" si="0"/>
        <v>0</v>
      </c>
    </row>
    <row r="53" spans="1:5">
      <c r="A53" t="s">
        <v>117</v>
      </c>
      <c r="B53" t="s">
        <v>849</v>
      </c>
      <c r="C53" s="55">
        <v>0</v>
      </c>
      <c r="D53" s="55">
        <v>0</v>
      </c>
      <c r="E53" s="55">
        <f t="shared" si="0"/>
        <v>0</v>
      </c>
    </row>
    <row r="54" spans="1:5">
      <c r="A54" t="s">
        <v>119</v>
      </c>
      <c r="B54" t="s">
        <v>780</v>
      </c>
      <c r="C54" s="55">
        <v>0</v>
      </c>
      <c r="D54" s="55">
        <v>1</v>
      </c>
      <c r="E54" s="55">
        <f t="shared" si="0"/>
        <v>1</v>
      </c>
    </row>
    <row r="55" spans="1:5">
      <c r="A55" t="s">
        <v>121</v>
      </c>
      <c r="B55" t="s">
        <v>869</v>
      </c>
      <c r="C55" s="55">
        <v>0</v>
      </c>
      <c r="D55" s="55">
        <v>0</v>
      </c>
      <c r="E55" s="55">
        <f t="shared" si="0"/>
        <v>0</v>
      </c>
    </row>
    <row r="56" spans="1:5">
      <c r="A56" t="s">
        <v>125</v>
      </c>
      <c r="B56" t="s">
        <v>902</v>
      </c>
      <c r="C56" s="55">
        <v>8296</v>
      </c>
      <c r="D56" s="55">
        <v>1744</v>
      </c>
      <c r="E56" s="55">
        <f t="shared" si="0"/>
        <v>10040</v>
      </c>
    </row>
    <row r="57" spans="1:5">
      <c r="A57" t="s">
        <v>127</v>
      </c>
      <c r="B57" t="s">
        <v>853</v>
      </c>
      <c r="C57" s="55">
        <v>2763</v>
      </c>
      <c r="D57" s="55">
        <v>97</v>
      </c>
      <c r="E57" s="55">
        <f t="shared" si="0"/>
        <v>2860</v>
      </c>
    </row>
    <row r="58" spans="1:5">
      <c r="A58" t="s">
        <v>131</v>
      </c>
      <c r="B58" t="s">
        <v>915</v>
      </c>
      <c r="C58" s="55">
        <v>131047</v>
      </c>
      <c r="D58" s="55">
        <v>30</v>
      </c>
      <c r="E58" s="55">
        <f t="shared" si="0"/>
        <v>131077</v>
      </c>
    </row>
    <row r="59" spans="1:5">
      <c r="A59" t="s">
        <v>133</v>
      </c>
      <c r="B59" t="s">
        <v>875</v>
      </c>
      <c r="C59" s="55">
        <v>0</v>
      </c>
      <c r="D59" s="55">
        <v>0</v>
      </c>
      <c r="E59" s="55">
        <f t="shared" si="0"/>
        <v>0</v>
      </c>
    </row>
    <row r="60" spans="1:5">
      <c r="A60" t="s">
        <v>137</v>
      </c>
      <c r="B60" t="s">
        <v>912</v>
      </c>
      <c r="C60" s="55">
        <v>0</v>
      </c>
      <c r="D60" s="55">
        <v>0</v>
      </c>
      <c r="E60" s="55">
        <f t="shared" si="0"/>
        <v>0</v>
      </c>
    </row>
    <row r="61" spans="1:5">
      <c r="A61" t="s">
        <v>139</v>
      </c>
      <c r="B61" t="s">
        <v>970</v>
      </c>
      <c r="C61" s="55">
        <v>130024</v>
      </c>
      <c r="D61" s="55">
        <v>0</v>
      </c>
      <c r="E61" s="55">
        <f t="shared" si="0"/>
        <v>130024</v>
      </c>
    </row>
    <row r="62" spans="1:5">
      <c r="A62" t="s">
        <v>141</v>
      </c>
      <c r="B62" t="s">
        <v>710</v>
      </c>
      <c r="C62" s="55">
        <v>6858</v>
      </c>
      <c r="D62" s="55">
        <v>107</v>
      </c>
      <c r="E62" s="55">
        <f t="shared" si="0"/>
        <v>6965</v>
      </c>
    </row>
    <row r="63" spans="1:5">
      <c r="A63" t="s">
        <v>143</v>
      </c>
      <c r="B63" t="s">
        <v>837</v>
      </c>
      <c r="C63" s="55">
        <v>0</v>
      </c>
      <c r="D63" s="55">
        <v>571</v>
      </c>
      <c r="E63" s="55">
        <f t="shared" si="0"/>
        <v>571</v>
      </c>
    </row>
    <row r="64" spans="1:5">
      <c r="A64" t="s">
        <v>145</v>
      </c>
      <c r="B64" t="s">
        <v>879</v>
      </c>
      <c r="C64" s="55">
        <v>272447</v>
      </c>
      <c r="D64" s="55">
        <v>12852</v>
      </c>
      <c r="E64" s="55">
        <f t="shared" si="0"/>
        <v>285299</v>
      </c>
    </row>
    <row r="65" spans="1:5">
      <c r="A65" t="s">
        <v>147</v>
      </c>
      <c r="B65" t="s">
        <v>711</v>
      </c>
      <c r="C65" s="55">
        <f>4454+46449</f>
        <v>50903</v>
      </c>
      <c r="D65" s="55">
        <v>46929</v>
      </c>
      <c r="E65" s="55">
        <f t="shared" si="0"/>
        <v>97832</v>
      </c>
    </row>
    <row r="66" spans="1:5">
      <c r="A66" t="s">
        <v>1309</v>
      </c>
      <c r="B66" t="s">
        <v>712</v>
      </c>
      <c r="C66" s="55">
        <v>110</v>
      </c>
      <c r="D66" s="55">
        <v>0</v>
      </c>
      <c r="E66" s="55">
        <f t="shared" si="0"/>
        <v>110</v>
      </c>
    </row>
    <row r="67" spans="1:5">
      <c r="A67" t="s">
        <v>149</v>
      </c>
      <c r="B67" t="s">
        <v>713</v>
      </c>
      <c r="C67" s="55">
        <v>0</v>
      </c>
      <c r="D67" s="55">
        <v>343</v>
      </c>
      <c r="E67" s="55">
        <f t="shared" si="0"/>
        <v>343</v>
      </c>
    </row>
    <row r="68" spans="1:5">
      <c r="A68" t="s">
        <v>151</v>
      </c>
      <c r="B68" t="s">
        <v>797</v>
      </c>
      <c r="C68" s="55">
        <v>35318</v>
      </c>
      <c r="D68" s="55">
        <v>6561</v>
      </c>
      <c r="E68" s="55">
        <f t="shared" si="0"/>
        <v>41879</v>
      </c>
    </row>
    <row r="69" spans="1:5">
      <c r="A69" t="s">
        <v>153</v>
      </c>
      <c r="B69" t="s">
        <v>962</v>
      </c>
      <c r="C69" s="55">
        <v>0</v>
      </c>
      <c r="D69" s="55">
        <v>0</v>
      </c>
      <c r="E69" s="55">
        <f t="shared" si="0"/>
        <v>0</v>
      </c>
    </row>
    <row r="70" spans="1:5">
      <c r="A70" t="s">
        <v>155</v>
      </c>
      <c r="B70" t="s">
        <v>758</v>
      </c>
      <c r="C70" s="55">
        <v>0</v>
      </c>
      <c r="D70" s="55">
        <v>0</v>
      </c>
      <c r="E70" s="55">
        <f t="shared" ref="E70:E133" si="1">C70+D70</f>
        <v>0</v>
      </c>
    </row>
    <row r="71" spans="1:5">
      <c r="A71" t="s">
        <v>157</v>
      </c>
      <c r="B71" t="s">
        <v>810</v>
      </c>
      <c r="C71" s="55">
        <v>55</v>
      </c>
      <c r="D71" s="55">
        <v>146</v>
      </c>
      <c r="E71" s="55">
        <f t="shared" si="1"/>
        <v>201</v>
      </c>
    </row>
    <row r="72" spans="1:5">
      <c r="A72" t="s">
        <v>159</v>
      </c>
      <c r="B72" t="s">
        <v>791</v>
      </c>
      <c r="C72" s="55">
        <v>22850</v>
      </c>
      <c r="D72" s="55">
        <v>1383</v>
      </c>
      <c r="E72" s="55">
        <f t="shared" si="1"/>
        <v>24233</v>
      </c>
    </row>
    <row r="73" spans="1:5">
      <c r="A73" t="s">
        <v>163</v>
      </c>
      <c r="B73" t="s">
        <v>841</v>
      </c>
      <c r="C73" s="55">
        <v>0</v>
      </c>
      <c r="D73" s="55">
        <v>0</v>
      </c>
      <c r="E73" s="55">
        <f t="shared" si="1"/>
        <v>0</v>
      </c>
    </row>
    <row r="74" spans="1:5">
      <c r="A74" t="s">
        <v>165</v>
      </c>
      <c r="B74" t="s">
        <v>894</v>
      </c>
      <c r="C74" s="55">
        <v>0</v>
      </c>
      <c r="D74" s="55">
        <v>0</v>
      </c>
      <c r="E74" s="55">
        <f t="shared" si="1"/>
        <v>0</v>
      </c>
    </row>
    <row r="75" spans="1:5">
      <c r="A75" t="s">
        <v>167</v>
      </c>
      <c r="B75" t="s">
        <v>769</v>
      </c>
      <c r="C75" s="55">
        <v>0</v>
      </c>
      <c r="D75" s="55">
        <v>0</v>
      </c>
      <c r="E75" s="55">
        <f t="shared" si="1"/>
        <v>0</v>
      </c>
    </row>
    <row r="76" spans="1:5">
      <c r="A76" t="s">
        <v>169</v>
      </c>
      <c r="B76" t="s">
        <v>925</v>
      </c>
      <c r="C76" s="55">
        <v>7397</v>
      </c>
      <c r="D76" s="55">
        <v>0</v>
      </c>
      <c r="E76" s="55">
        <f t="shared" si="1"/>
        <v>7397</v>
      </c>
    </row>
    <row r="77" spans="1:5">
      <c r="A77" t="s">
        <v>171</v>
      </c>
      <c r="B77" t="s">
        <v>714</v>
      </c>
      <c r="C77" s="55">
        <v>0</v>
      </c>
      <c r="D77" s="55">
        <v>0</v>
      </c>
      <c r="E77" s="55">
        <f t="shared" si="1"/>
        <v>0</v>
      </c>
    </row>
    <row r="78" spans="1:5">
      <c r="A78" t="s">
        <v>173</v>
      </c>
      <c r="B78" t="s">
        <v>946</v>
      </c>
      <c r="C78" s="55">
        <v>0</v>
      </c>
      <c r="D78" s="55">
        <v>260</v>
      </c>
      <c r="E78" s="55">
        <f t="shared" si="1"/>
        <v>260</v>
      </c>
    </row>
    <row r="79" spans="1:5">
      <c r="A79" t="s">
        <v>175</v>
      </c>
      <c r="B79" t="s">
        <v>881</v>
      </c>
      <c r="C79" s="55">
        <v>0</v>
      </c>
      <c r="D79" s="55">
        <v>0</v>
      </c>
      <c r="E79" s="55">
        <f t="shared" si="1"/>
        <v>0</v>
      </c>
    </row>
    <row r="80" spans="1:5">
      <c r="A80" t="s">
        <v>177</v>
      </c>
      <c r="B80" t="s">
        <v>755</v>
      </c>
      <c r="C80" s="55">
        <v>0</v>
      </c>
      <c r="D80" s="55">
        <v>47</v>
      </c>
      <c r="E80" s="55">
        <f t="shared" si="1"/>
        <v>47</v>
      </c>
    </row>
    <row r="81" spans="1:5">
      <c r="A81" t="s">
        <v>179</v>
      </c>
      <c r="B81" t="s">
        <v>878</v>
      </c>
      <c r="C81" s="55">
        <v>0</v>
      </c>
      <c r="D81" s="55">
        <v>3922</v>
      </c>
      <c r="E81" s="55">
        <f t="shared" si="1"/>
        <v>3922</v>
      </c>
    </row>
    <row r="82" spans="1:5">
      <c r="A82" t="s">
        <v>181</v>
      </c>
      <c r="B82" t="s">
        <v>910</v>
      </c>
      <c r="C82" s="55">
        <v>0</v>
      </c>
      <c r="D82" s="55">
        <v>0</v>
      </c>
      <c r="E82" s="55">
        <f t="shared" si="1"/>
        <v>0</v>
      </c>
    </row>
    <row r="83" spans="1:5">
      <c r="A83" t="s">
        <v>183</v>
      </c>
      <c r="B83" t="s">
        <v>959</v>
      </c>
      <c r="C83" s="55">
        <v>0</v>
      </c>
      <c r="D83" s="55">
        <v>0</v>
      </c>
      <c r="E83" s="55">
        <f t="shared" si="1"/>
        <v>0</v>
      </c>
    </row>
    <row r="84" spans="1:5">
      <c r="A84" t="s">
        <v>189</v>
      </c>
      <c r="B84" t="s">
        <v>793</v>
      </c>
      <c r="C84" s="55">
        <v>1167</v>
      </c>
      <c r="D84" s="55">
        <v>387</v>
      </c>
      <c r="E84" s="55">
        <f t="shared" si="1"/>
        <v>1554</v>
      </c>
    </row>
    <row r="85" spans="1:5">
      <c r="A85" t="s">
        <v>191</v>
      </c>
      <c r="B85" t="s">
        <v>973</v>
      </c>
      <c r="C85" s="55">
        <v>0</v>
      </c>
      <c r="D85" s="55">
        <v>0</v>
      </c>
      <c r="E85" s="55">
        <f t="shared" si="1"/>
        <v>0</v>
      </c>
    </row>
    <row r="86" spans="1:5">
      <c r="A86" t="s">
        <v>193</v>
      </c>
      <c r="B86" t="s">
        <v>977</v>
      </c>
      <c r="C86" s="55">
        <v>72557</v>
      </c>
      <c r="D86" s="55">
        <v>6164</v>
      </c>
      <c r="E86" s="55">
        <f t="shared" si="1"/>
        <v>78721</v>
      </c>
    </row>
    <row r="87" spans="1:5">
      <c r="A87" t="s">
        <v>195</v>
      </c>
      <c r="B87" t="s">
        <v>715</v>
      </c>
      <c r="C87" s="55">
        <v>0</v>
      </c>
      <c r="D87" s="55">
        <v>219</v>
      </c>
      <c r="E87" s="55">
        <f t="shared" si="1"/>
        <v>219</v>
      </c>
    </row>
    <row r="88" spans="1:5">
      <c r="A88" t="s">
        <v>197</v>
      </c>
      <c r="B88" t="s">
        <v>855</v>
      </c>
      <c r="C88" s="55">
        <v>0</v>
      </c>
      <c r="D88" s="55">
        <v>675</v>
      </c>
      <c r="E88" s="55">
        <f t="shared" si="1"/>
        <v>675</v>
      </c>
    </row>
    <row r="89" spans="1:5">
      <c r="A89" t="s">
        <v>199</v>
      </c>
      <c r="B89" t="s">
        <v>906</v>
      </c>
      <c r="C89" s="55">
        <v>0</v>
      </c>
      <c r="D89" s="55">
        <v>0</v>
      </c>
      <c r="E89" s="55">
        <f t="shared" si="1"/>
        <v>0</v>
      </c>
    </row>
    <row r="90" spans="1:5">
      <c r="A90" t="s">
        <v>203</v>
      </c>
      <c r="B90" t="s">
        <v>934</v>
      </c>
      <c r="C90" s="55">
        <v>0</v>
      </c>
      <c r="D90" s="55">
        <v>0</v>
      </c>
      <c r="E90" s="55">
        <f t="shared" si="1"/>
        <v>0</v>
      </c>
    </row>
    <row r="91" spans="1:5">
      <c r="A91" t="s">
        <v>205</v>
      </c>
      <c r="B91" t="s">
        <v>852</v>
      </c>
      <c r="C91" s="55">
        <v>0</v>
      </c>
      <c r="D91" s="55">
        <v>0</v>
      </c>
      <c r="E91" s="55">
        <f t="shared" si="1"/>
        <v>0</v>
      </c>
    </row>
    <row r="92" spans="1:5">
      <c r="A92" t="s">
        <v>207</v>
      </c>
      <c r="B92" t="s">
        <v>976</v>
      </c>
      <c r="C92" s="55">
        <v>48354</v>
      </c>
      <c r="D92" s="55">
        <v>4392</v>
      </c>
      <c r="E92" s="55">
        <f t="shared" si="1"/>
        <v>52746</v>
      </c>
    </row>
    <row r="93" spans="1:5">
      <c r="A93" t="s">
        <v>209</v>
      </c>
      <c r="B93" t="s">
        <v>812</v>
      </c>
      <c r="C93" s="55">
        <v>0</v>
      </c>
      <c r="D93" s="55">
        <v>7664</v>
      </c>
      <c r="E93" s="55">
        <f t="shared" si="1"/>
        <v>7664</v>
      </c>
    </row>
    <row r="94" spans="1:5">
      <c r="A94" t="s">
        <v>211</v>
      </c>
      <c r="B94" t="s">
        <v>716</v>
      </c>
      <c r="C94" s="55">
        <v>148218</v>
      </c>
      <c r="D94" s="55">
        <v>9794</v>
      </c>
      <c r="E94" s="55">
        <f t="shared" si="1"/>
        <v>158012</v>
      </c>
    </row>
    <row r="95" spans="1:5">
      <c r="A95" t="s">
        <v>213</v>
      </c>
      <c r="B95" t="s">
        <v>859</v>
      </c>
      <c r="C95" s="55">
        <v>998</v>
      </c>
      <c r="D95" s="55">
        <v>254</v>
      </c>
      <c r="E95" s="55">
        <f t="shared" si="1"/>
        <v>1252</v>
      </c>
    </row>
    <row r="96" spans="1:5">
      <c r="A96" t="s">
        <v>215</v>
      </c>
      <c r="B96" t="s">
        <v>795</v>
      </c>
      <c r="C96" s="55">
        <v>0</v>
      </c>
      <c r="D96" s="55">
        <v>0</v>
      </c>
      <c r="E96" s="55">
        <f t="shared" si="1"/>
        <v>0</v>
      </c>
    </row>
    <row r="97" spans="1:5">
      <c r="A97" t="s">
        <v>829</v>
      </c>
      <c r="B97" t="s">
        <v>830</v>
      </c>
      <c r="C97" s="55">
        <v>0</v>
      </c>
      <c r="D97" s="55">
        <v>0</v>
      </c>
      <c r="E97" s="55">
        <f t="shared" si="1"/>
        <v>0</v>
      </c>
    </row>
    <row r="98" spans="1:5">
      <c r="A98" t="s">
        <v>217</v>
      </c>
      <c r="B98" t="s">
        <v>883</v>
      </c>
      <c r="C98" s="55">
        <v>0</v>
      </c>
      <c r="D98" s="55">
        <v>0</v>
      </c>
      <c r="E98" s="55">
        <f t="shared" si="1"/>
        <v>0</v>
      </c>
    </row>
    <row r="99" spans="1:5">
      <c r="A99" t="s">
        <v>219</v>
      </c>
      <c r="B99" t="s">
        <v>827</v>
      </c>
      <c r="C99" s="55">
        <v>0</v>
      </c>
      <c r="D99" s="55">
        <v>0</v>
      </c>
      <c r="E99" s="55">
        <f t="shared" si="1"/>
        <v>0</v>
      </c>
    </row>
    <row r="100" spans="1:5">
      <c r="A100" t="s">
        <v>221</v>
      </c>
      <c r="B100" t="s">
        <v>828</v>
      </c>
      <c r="C100" s="55">
        <v>0</v>
      </c>
      <c r="D100" s="55">
        <v>0</v>
      </c>
      <c r="E100" s="55">
        <f t="shared" si="1"/>
        <v>0</v>
      </c>
    </row>
    <row r="101" spans="1:5">
      <c r="A101" t="s">
        <v>223</v>
      </c>
      <c r="B101" t="s">
        <v>782</v>
      </c>
      <c r="C101" s="55">
        <v>1</v>
      </c>
      <c r="D101" s="55">
        <v>0</v>
      </c>
      <c r="E101" s="55">
        <f t="shared" si="1"/>
        <v>1</v>
      </c>
    </row>
    <row r="102" spans="1:5">
      <c r="A102" t="s">
        <v>225</v>
      </c>
      <c r="B102" t="s">
        <v>1404</v>
      </c>
      <c r="C102" s="55">
        <v>0</v>
      </c>
      <c r="D102" s="55">
        <v>0</v>
      </c>
      <c r="E102" s="55">
        <f t="shared" si="1"/>
        <v>0</v>
      </c>
    </row>
    <row r="103" spans="1:5">
      <c r="A103" t="s">
        <v>615</v>
      </c>
      <c r="B103" t="s">
        <v>1405</v>
      </c>
      <c r="C103" s="55">
        <v>0</v>
      </c>
      <c r="D103" s="55">
        <v>0</v>
      </c>
      <c r="E103" s="55">
        <f t="shared" si="1"/>
        <v>0</v>
      </c>
    </row>
    <row r="104" spans="1:5">
      <c r="A104" t="s">
        <v>229</v>
      </c>
      <c r="B104" t="s">
        <v>717</v>
      </c>
      <c r="C104" s="55">
        <v>6294</v>
      </c>
      <c r="D104" s="55">
        <v>0</v>
      </c>
      <c r="E104" s="55">
        <f t="shared" si="1"/>
        <v>6294</v>
      </c>
    </row>
    <row r="105" spans="1:5">
      <c r="A105" t="s">
        <v>235</v>
      </c>
      <c r="B105" t="s">
        <v>779</v>
      </c>
      <c r="C105" s="55">
        <v>0</v>
      </c>
      <c r="D105" s="55">
        <v>0</v>
      </c>
      <c r="E105" s="55">
        <f t="shared" si="1"/>
        <v>0</v>
      </c>
    </row>
    <row r="106" spans="1:5">
      <c r="A106" t="s">
        <v>237</v>
      </c>
      <c r="B106" t="s">
        <v>777</v>
      </c>
      <c r="C106" s="55">
        <v>2707</v>
      </c>
      <c r="D106" s="55">
        <v>9</v>
      </c>
      <c r="E106" s="55">
        <f t="shared" si="1"/>
        <v>2716</v>
      </c>
    </row>
    <row r="107" spans="1:5">
      <c r="A107" t="s">
        <v>239</v>
      </c>
      <c r="B107" t="s">
        <v>718</v>
      </c>
      <c r="C107" s="55">
        <v>0</v>
      </c>
      <c r="D107" s="55">
        <v>0</v>
      </c>
      <c r="E107" s="55">
        <f t="shared" si="1"/>
        <v>0</v>
      </c>
    </row>
    <row r="108" spans="1:5">
      <c r="A108" t="s">
        <v>241</v>
      </c>
      <c r="B108" t="s">
        <v>719</v>
      </c>
      <c r="C108" s="55">
        <v>0</v>
      </c>
      <c r="D108" s="55">
        <v>135465</v>
      </c>
      <c r="E108" s="55">
        <f t="shared" si="1"/>
        <v>135465</v>
      </c>
    </row>
    <row r="109" spans="1:5">
      <c r="A109" t="s">
        <v>243</v>
      </c>
      <c r="B109" t="s">
        <v>929</v>
      </c>
      <c r="C109" s="55">
        <v>31362</v>
      </c>
      <c r="D109" s="55">
        <v>0</v>
      </c>
      <c r="E109" s="55">
        <f t="shared" si="1"/>
        <v>31362</v>
      </c>
    </row>
    <row r="110" spans="1:5">
      <c r="A110" t="s">
        <v>245</v>
      </c>
      <c r="B110" t="s">
        <v>754</v>
      </c>
      <c r="C110" s="55">
        <v>5426</v>
      </c>
      <c r="D110" s="55">
        <v>0</v>
      </c>
      <c r="E110" s="55">
        <f t="shared" si="1"/>
        <v>5426</v>
      </c>
    </row>
    <row r="111" spans="1:5">
      <c r="A111" t="s">
        <v>247</v>
      </c>
      <c r="B111" t="s">
        <v>839</v>
      </c>
      <c r="C111" s="55">
        <v>31825</v>
      </c>
      <c r="D111" s="55">
        <v>2943</v>
      </c>
      <c r="E111" s="55">
        <f t="shared" si="1"/>
        <v>34768</v>
      </c>
    </row>
    <row r="112" spans="1:5">
      <c r="A112" t="s">
        <v>251</v>
      </c>
      <c r="B112" t="s">
        <v>768</v>
      </c>
      <c r="C112" s="55">
        <v>0</v>
      </c>
      <c r="D112" s="55">
        <v>0</v>
      </c>
      <c r="E112" s="55">
        <f t="shared" si="1"/>
        <v>0</v>
      </c>
    </row>
    <row r="113" spans="1:5">
      <c r="A113" t="s">
        <v>253</v>
      </c>
      <c r="B113" t="s">
        <v>891</v>
      </c>
      <c r="C113" s="55">
        <v>0</v>
      </c>
      <c r="D113" s="55">
        <v>1414</v>
      </c>
      <c r="E113" s="55">
        <f t="shared" si="1"/>
        <v>1414</v>
      </c>
    </row>
    <row r="114" spans="1:5">
      <c r="A114" t="s">
        <v>255</v>
      </c>
      <c r="B114" t="s">
        <v>954</v>
      </c>
      <c r="C114" s="55">
        <v>0</v>
      </c>
      <c r="D114" s="55">
        <v>0</v>
      </c>
      <c r="E114" s="55">
        <f t="shared" si="1"/>
        <v>0</v>
      </c>
    </row>
    <row r="115" spans="1:5">
      <c r="A115" t="s">
        <v>257</v>
      </c>
      <c r="B115" t="s">
        <v>759</v>
      </c>
      <c r="C115" s="55">
        <v>7223</v>
      </c>
      <c r="D115" s="55">
        <v>2806</v>
      </c>
      <c r="E115" s="55">
        <f t="shared" si="1"/>
        <v>10029</v>
      </c>
    </row>
    <row r="116" spans="1:5">
      <c r="A116" t="s">
        <v>261</v>
      </c>
      <c r="B116" t="s">
        <v>895</v>
      </c>
      <c r="C116" s="55">
        <v>5054</v>
      </c>
      <c r="D116" s="55">
        <v>1775</v>
      </c>
      <c r="E116" s="55">
        <f t="shared" si="1"/>
        <v>6829</v>
      </c>
    </row>
    <row r="117" spans="1:5">
      <c r="A117" t="s">
        <v>263</v>
      </c>
      <c r="B117" t="s">
        <v>822</v>
      </c>
      <c r="C117" s="55">
        <v>3</v>
      </c>
      <c r="D117" s="55">
        <v>0</v>
      </c>
      <c r="E117" s="55">
        <f t="shared" si="1"/>
        <v>3</v>
      </c>
    </row>
    <row r="118" spans="1:5">
      <c r="A118" t="s">
        <v>265</v>
      </c>
      <c r="B118" t="s">
        <v>900</v>
      </c>
      <c r="C118" s="55">
        <v>0</v>
      </c>
      <c r="D118" s="55">
        <v>0</v>
      </c>
      <c r="E118" s="55">
        <f t="shared" si="1"/>
        <v>0</v>
      </c>
    </row>
    <row r="119" spans="1:5">
      <c r="A119" t="s">
        <v>267</v>
      </c>
      <c r="B119" t="s">
        <v>955</v>
      </c>
      <c r="C119" s="55">
        <v>0</v>
      </c>
      <c r="D119" s="55">
        <v>0</v>
      </c>
      <c r="E119" s="55">
        <f t="shared" si="1"/>
        <v>0</v>
      </c>
    </row>
    <row r="120" spans="1:5">
      <c r="A120" t="s">
        <v>269</v>
      </c>
      <c r="B120" t="s">
        <v>913</v>
      </c>
      <c r="C120" s="55">
        <v>0</v>
      </c>
      <c r="D120" s="55">
        <v>1</v>
      </c>
      <c r="E120" s="55">
        <f t="shared" si="1"/>
        <v>1</v>
      </c>
    </row>
    <row r="121" spans="1:5">
      <c r="A121" t="s">
        <v>271</v>
      </c>
      <c r="B121" t="s">
        <v>749</v>
      </c>
      <c r="C121" s="55">
        <v>0</v>
      </c>
      <c r="D121" s="55">
        <v>0</v>
      </c>
      <c r="E121" s="55">
        <f t="shared" si="1"/>
        <v>0</v>
      </c>
    </row>
    <row r="122" spans="1:5">
      <c r="A122" t="s">
        <v>273</v>
      </c>
      <c r="B122" t="s">
        <v>774</v>
      </c>
      <c r="C122" s="55">
        <v>1</v>
      </c>
      <c r="D122" s="55">
        <v>1404</v>
      </c>
      <c r="E122" s="55">
        <f t="shared" si="1"/>
        <v>1405</v>
      </c>
    </row>
    <row r="123" spans="1:5">
      <c r="A123" t="s">
        <v>275</v>
      </c>
      <c r="B123" t="s">
        <v>923</v>
      </c>
      <c r="C123" s="55">
        <v>0</v>
      </c>
      <c r="D123" s="55">
        <v>0</v>
      </c>
      <c r="E123" s="55">
        <f t="shared" si="1"/>
        <v>0</v>
      </c>
    </row>
    <row r="124" spans="1:5">
      <c r="A124" t="s">
        <v>277</v>
      </c>
      <c r="B124" t="s">
        <v>886</v>
      </c>
      <c r="C124" s="55">
        <v>0</v>
      </c>
      <c r="D124" s="55">
        <v>0</v>
      </c>
      <c r="E124" s="55">
        <f t="shared" si="1"/>
        <v>0</v>
      </c>
    </row>
    <row r="125" spans="1:5">
      <c r="A125" t="s">
        <v>279</v>
      </c>
      <c r="B125" t="s">
        <v>918</v>
      </c>
      <c r="C125" s="55">
        <v>0</v>
      </c>
      <c r="D125" s="55">
        <v>32</v>
      </c>
      <c r="E125" s="55">
        <f t="shared" si="1"/>
        <v>32</v>
      </c>
    </row>
    <row r="126" spans="1:5">
      <c r="A126" t="s">
        <v>283</v>
      </c>
      <c r="B126" t="s">
        <v>948</v>
      </c>
      <c r="C126" s="55">
        <v>16530</v>
      </c>
      <c r="D126" s="55">
        <v>46</v>
      </c>
      <c r="E126" s="55">
        <f t="shared" si="1"/>
        <v>16576</v>
      </c>
    </row>
    <row r="127" spans="1:5">
      <c r="A127" t="s">
        <v>285</v>
      </c>
      <c r="B127" t="s">
        <v>972</v>
      </c>
      <c r="C127" s="55">
        <v>18475</v>
      </c>
      <c r="D127" s="55">
        <v>514</v>
      </c>
      <c r="E127" s="55">
        <f t="shared" si="1"/>
        <v>18989</v>
      </c>
    </row>
    <row r="128" spans="1:5">
      <c r="A128" t="s">
        <v>289</v>
      </c>
      <c r="B128" t="s">
        <v>757</v>
      </c>
      <c r="C128" s="55">
        <v>0</v>
      </c>
      <c r="D128" s="55">
        <v>0</v>
      </c>
      <c r="E128" s="55">
        <f t="shared" si="1"/>
        <v>0</v>
      </c>
    </row>
    <row r="129" spans="1:5">
      <c r="A129" t="s">
        <v>291</v>
      </c>
      <c r="B129" t="s">
        <v>857</v>
      </c>
      <c r="C129" s="55">
        <v>0</v>
      </c>
      <c r="D129" s="55">
        <v>499</v>
      </c>
      <c r="E129" s="55">
        <f t="shared" si="1"/>
        <v>499</v>
      </c>
    </row>
    <row r="130" spans="1:5">
      <c r="A130" t="s">
        <v>293</v>
      </c>
      <c r="B130" t="s">
        <v>927</v>
      </c>
      <c r="C130" s="55">
        <v>78414</v>
      </c>
      <c r="D130" s="55">
        <v>0</v>
      </c>
      <c r="E130" s="55">
        <f t="shared" si="1"/>
        <v>78414</v>
      </c>
    </row>
    <row r="131" spans="1:5">
      <c r="A131" t="s">
        <v>295</v>
      </c>
      <c r="B131" t="s">
        <v>898</v>
      </c>
      <c r="C131" s="55">
        <v>0</v>
      </c>
      <c r="D131" s="55">
        <v>0</v>
      </c>
      <c r="E131" s="55">
        <f t="shared" si="1"/>
        <v>0</v>
      </c>
    </row>
    <row r="132" spans="1:5">
      <c r="A132" t="s">
        <v>297</v>
      </c>
      <c r="B132" t="s">
        <v>796</v>
      </c>
      <c r="C132" s="55">
        <v>0</v>
      </c>
      <c r="D132" s="55">
        <v>0</v>
      </c>
      <c r="E132" s="55">
        <f t="shared" si="1"/>
        <v>0</v>
      </c>
    </row>
    <row r="133" spans="1:5">
      <c r="A133" t="s">
        <v>299</v>
      </c>
      <c r="B133" t="s">
        <v>908</v>
      </c>
      <c r="C133" s="55">
        <v>62612</v>
      </c>
      <c r="D133" s="55">
        <v>1</v>
      </c>
      <c r="E133" s="55">
        <f t="shared" si="1"/>
        <v>62613</v>
      </c>
    </row>
    <row r="134" spans="1:5">
      <c r="A134" t="s">
        <v>301</v>
      </c>
      <c r="B134" t="s">
        <v>720</v>
      </c>
      <c r="C134" s="55">
        <v>0</v>
      </c>
      <c r="D134" s="55">
        <v>0</v>
      </c>
      <c r="E134" s="55">
        <f t="shared" ref="E134:E197" si="2">C134+D134</f>
        <v>0</v>
      </c>
    </row>
    <row r="135" spans="1:5">
      <c r="A135" t="s">
        <v>303</v>
      </c>
      <c r="B135" t="s">
        <v>811</v>
      </c>
      <c r="C135" s="55">
        <v>0</v>
      </c>
      <c r="D135" s="55">
        <v>0</v>
      </c>
      <c r="E135" s="55">
        <f t="shared" si="2"/>
        <v>0</v>
      </c>
    </row>
    <row r="136" spans="1:5">
      <c r="A136" t="s">
        <v>305</v>
      </c>
      <c r="B136" t="s">
        <v>949</v>
      </c>
      <c r="C136" s="55">
        <v>0</v>
      </c>
      <c r="D136" s="55">
        <v>0</v>
      </c>
      <c r="E136" s="55">
        <f t="shared" si="2"/>
        <v>0</v>
      </c>
    </row>
    <row r="137" spans="1:5">
      <c r="A137" t="s">
        <v>311</v>
      </c>
      <c r="B137" t="s">
        <v>899</v>
      </c>
      <c r="C137" s="55">
        <v>0</v>
      </c>
      <c r="D137" s="55">
        <v>0</v>
      </c>
      <c r="E137" s="55">
        <f t="shared" si="2"/>
        <v>0</v>
      </c>
    </row>
    <row r="138" spans="1:5">
      <c r="A138" t="s">
        <v>313</v>
      </c>
      <c r="B138" t="s">
        <v>721</v>
      </c>
      <c r="C138" s="55">
        <v>0</v>
      </c>
      <c r="D138" s="55">
        <v>0</v>
      </c>
      <c r="E138" s="55">
        <f t="shared" si="2"/>
        <v>0</v>
      </c>
    </row>
    <row r="139" spans="1:5">
      <c r="A139" t="s">
        <v>315</v>
      </c>
      <c r="B139" t="s">
        <v>722</v>
      </c>
      <c r="C139" s="55">
        <v>0</v>
      </c>
      <c r="D139" s="55">
        <v>0</v>
      </c>
      <c r="E139" s="55">
        <f t="shared" si="2"/>
        <v>0</v>
      </c>
    </row>
    <row r="140" spans="1:5">
      <c r="A140" t="s">
        <v>317</v>
      </c>
      <c r="B140" t="s">
        <v>790</v>
      </c>
      <c r="C140" s="55">
        <v>1</v>
      </c>
      <c r="D140" s="55">
        <v>8752</v>
      </c>
      <c r="E140" s="55">
        <f t="shared" si="2"/>
        <v>8753</v>
      </c>
    </row>
    <row r="141" spans="1:5">
      <c r="A141" t="s">
        <v>319</v>
      </c>
      <c r="B141" t="s">
        <v>723</v>
      </c>
      <c r="C141" s="55">
        <v>0</v>
      </c>
      <c r="D141" s="55">
        <v>0</v>
      </c>
      <c r="E141" s="55">
        <f t="shared" si="2"/>
        <v>0</v>
      </c>
    </row>
    <row r="142" spans="1:5">
      <c r="A142" t="s">
        <v>321</v>
      </c>
      <c r="B142" t="s">
        <v>981</v>
      </c>
      <c r="C142" s="55">
        <v>0</v>
      </c>
      <c r="D142" s="55">
        <v>0</v>
      </c>
      <c r="E142" s="55">
        <f t="shared" si="2"/>
        <v>0</v>
      </c>
    </row>
    <row r="143" spans="1:5">
      <c r="A143" t="s">
        <v>323</v>
      </c>
      <c r="B143" t="s">
        <v>951</v>
      </c>
      <c r="C143" s="55">
        <v>7739</v>
      </c>
      <c r="D143" s="55">
        <v>0</v>
      </c>
      <c r="E143" s="55">
        <f t="shared" si="2"/>
        <v>7739</v>
      </c>
    </row>
    <row r="144" spans="1:5">
      <c r="A144" t="s">
        <v>327</v>
      </c>
      <c r="B144" t="s">
        <v>893</v>
      </c>
      <c r="C144" s="55">
        <v>0</v>
      </c>
      <c r="D144" s="55">
        <v>0</v>
      </c>
      <c r="E144" s="55">
        <f t="shared" si="2"/>
        <v>0</v>
      </c>
    </row>
    <row r="145" spans="1:5">
      <c r="A145" t="s">
        <v>329</v>
      </c>
      <c r="B145" t="s">
        <v>896</v>
      </c>
      <c r="C145" s="55">
        <v>40529</v>
      </c>
      <c r="D145" s="55">
        <v>0</v>
      </c>
      <c r="E145" s="55">
        <f t="shared" si="2"/>
        <v>40529</v>
      </c>
    </row>
    <row r="146" spans="1:5">
      <c r="A146" t="s">
        <v>331</v>
      </c>
      <c r="B146" t="s">
        <v>968</v>
      </c>
      <c r="C146" s="55">
        <v>0</v>
      </c>
      <c r="D146" s="55">
        <v>0</v>
      </c>
      <c r="E146" s="55">
        <f t="shared" si="2"/>
        <v>0</v>
      </c>
    </row>
    <row r="147" spans="1:5">
      <c r="A147" t="s">
        <v>333</v>
      </c>
      <c r="B147" t="s">
        <v>724</v>
      </c>
      <c r="C147" s="55">
        <v>0</v>
      </c>
      <c r="D147" s="55">
        <v>18</v>
      </c>
      <c r="E147" s="55">
        <f t="shared" si="2"/>
        <v>18</v>
      </c>
    </row>
    <row r="148" spans="1:5">
      <c r="A148" t="s">
        <v>337</v>
      </c>
      <c r="B148" t="s">
        <v>1406</v>
      </c>
      <c r="C148" s="55">
        <v>19977</v>
      </c>
      <c r="D148" s="55">
        <v>7995</v>
      </c>
      <c r="E148" s="55">
        <f t="shared" si="2"/>
        <v>27972</v>
      </c>
    </row>
    <row r="149" spans="1:5">
      <c r="A149" t="s">
        <v>339</v>
      </c>
      <c r="B149" t="s">
        <v>868</v>
      </c>
      <c r="C149" s="55">
        <v>49158</v>
      </c>
      <c r="D149" s="55">
        <v>584</v>
      </c>
      <c r="E149" s="55">
        <f t="shared" si="2"/>
        <v>49742</v>
      </c>
    </row>
    <row r="150" spans="1:5">
      <c r="A150" t="s">
        <v>341</v>
      </c>
      <c r="B150" t="s">
        <v>907</v>
      </c>
      <c r="C150" s="55">
        <v>0</v>
      </c>
      <c r="D150" s="55">
        <v>0</v>
      </c>
      <c r="E150" s="55">
        <f t="shared" si="2"/>
        <v>0</v>
      </c>
    </row>
    <row r="151" spans="1:5">
      <c r="A151" t="s">
        <v>343</v>
      </c>
      <c r="B151" t="s">
        <v>950</v>
      </c>
      <c r="C151" s="55">
        <v>0</v>
      </c>
      <c r="D151" s="55">
        <v>0</v>
      </c>
      <c r="E151" s="55">
        <f t="shared" si="2"/>
        <v>0</v>
      </c>
    </row>
    <row r="152" spans="1:5">
      <c r="A152" t="s">
        <v>345</v>
      </c>
      <c r="B152" t="s">
        <v>1310</v>
      </c>
      <c r="C152" s="55">
        <v>0</v>
      </c>
      <c r="D152" s="55">
        <v>0</v>
      </c>
      <c r="E152" s="55">
        <f t="shared" si="2"/>
        <v>0</v>
      </c>
    </row>
    <row r="153" spans="1:5">
      <c r="A153" t="s">
        <v>347</v>
      </c>
      <c r="B153" t="s">
        <v>725</v>
      </c>
      <c r="C153" s="55">
        <v>0</v>
      </c>
      <c r="D153" s="55">
        <v>0</v>
      </c>
      <c r="E153" s="55">
        <f t="shared" si="2"/>
        <v>0</v>
      </c>
    </row>
    <row r="154" spans="1:5">
      <c r="A154" t="s">
        <v>349</v>
      </c>
      <c r="B154" t="s">
        <v>833</v>
      </c>
      <c r="C154" s="55">
        <v>0</v>
      </c>
      <c r="D154" s="55">
        <v>0</v>
      </c>
      <c r="E154" s="55">
        <f t="shared" si="2"/>
        <v>0</v>
      </c>
    </row>
    <row r="155" spans="1:5">
      <c r="A155" t="s">
        <v>351</v>
      </c>
      <c r="B155" t="s">
        <v>726</v>
      </c>
      <c r="C155" s="55">
        <v>0</v>
      </c>
      <c r="D155" s="55">
        <v>0</v>
      </c>
      <c r="E155" s="55">
        <f t="shared" si="2"/>
        <v>0</v>
      </c>
    </row>
    <row r="156" spans="1:5">
      <c r="A156" t="s">
        <v>353</v>
      </c>
      <c r="B156" t="s">
        <v>867</v>
      </c>
      <c r="C156" s="55">
        <v>0</v>
      </c>
      <c r="D156" s="55">
        <v>554</v>
      </c>
      <c r="E156" s="55">
        <f t="shared" si="2"/>
        <v>554</v>
      </c>
    </row>
    <row r="157" spans="1:5">
      <c r="A157" t="s">
        <v>355</v>
      </c>
      <c r="B157" t="s">
        <v>727</v>
      </c>
      <c r="C157" s="55">
        <v>15520</v>
      </c>
      <c r="D157" s="55">
        <v>4</v>
      </c>
      <c r="E157" s="55">
        <f t="shared" si="2"/>
        <v>15524</v>
      </c>
    </row>
    <row r="158" spans="1:5">
      <c r="A158" t="s">
        <v>357</v>
      </c>
      <c r="B158" t="s">
        <v>928</v>
      </c>
      <c r="C158" s="55">
        <v>0</v>
      </c>
      <c r="D158" s="55">
        <v>0</v>
      </c>
      <c r="E158" s="55">
        <f t="shared" si="2"/>
        <v>0</v>
      </c>
    </row>
    <row r="159" spans="1:5">
      <c r="A159" t="s">
        <v>359</v>
      </c>
      <c r="B159" t="s">
        <v>823</v>
      </c>
      <c r="C159" s="55">
        <v>389470</v>
      </c>
      <c r="D159" s="55">
        <v>22517</v>
      </c>
      <c r="E159" s="55">
        <f t="shared" si="2"/>
        <v>411987</v>
      </c>
    </row>
    <row r="160" spans="1:5">
      <c r="A160" t="s">
        <v>361</v>
      </c>
      <c r="B160" t="s">
        <v>803</v>
      </c>
      <c r="C160" s="55">
        <v>284980</v>
      </c>
      <c r="D160" s="55">
        <v>0</v>
      </c>
      <c r="E160" s="55">
        <f t="shared" si="2"/>
        <v>284980</v>
      </c>
    </row>
    <row r="161" spans="1:5">
      <c r="A161" t="s">
        <v>363</v>
      </c>
      <c r="B161" t="s">
        <v>965</v>
      </c>
      <c r="C161" s="55">
        <v>580</v>
      </c>
      <c r="D161" s="55">
        <v>633</v>
      </c>
      <c r="E161" s="55">
        <f t="shared" si="2"/>
        <v>1213</v>
      </c>
    </row>
    <row r="162" spans="1:5">
      <c r="A162" t="s">
        <v>365</v>
      </c>
      <c r="B162" t="s">
        <v>802</v>
      </c>
      <c r="C162" s="55">
        <v>0</v>
      </c>
      <c r="D162" s="55">
        <v>0</v>
      </c>
      <c r="E162" s="55">
        <f t="shared" si="2"/>
        <v>0</v>
      </c>
    </row>
    <row r="163" spans="1:5">
      <c r="A163" t="s">
        <v>369</v>
      </c>
      <c r="B163" t="s">
        <v>728</v>
      </c>
      <c r="C163" s="55">
        <v>28974</v>
      </c>
      <c r="D163" s="55">
        <v>8370</v>
      </c>
      <c r="E163" s="55">
        <f t="shared" si="2"/>
        <v>37344</v>
      </c>
    </row>
    <row r="164" spans="1:5">
      <c r="A164" t="s">
        <v>371</v>
      </c>
      <c r="B164" t="s">
        <v>850</v>
      </c>
      <c r="C164" s="55">
        <v>0</v>
      </c>
      <c r="D164" s="55">
        <v>0</v>
      </c>
      <c r="E164" s="55">
        <f t="shared" si="2"/>
        <v>0</v>
      </c>
    </row>
    <row r="165" spans="1:5">
      <c r="A165" t="s">
        <v>701</v>
      </c>
      <c r="B165" t="s">
        <v>938</v>
      </c>
      <c r="C165" s="55">
        <v>2362</v>
      </c>
      <c r="D165" s="55">
        <v>2</v>
      </c>
      <c r="E165" s="55">
        <f t="shared" si="2"/>
        <v>2364</v>
      </c>
    </row>
    <row r="166" spans="1:5">
      <c r="A166" t="s">
        <v>373</v>
      </c>
      <c r="B166" t="s">
        <v>860</v>
      </c>
      <c r="C166" s="55">
        <v>0</v>
      </c>
      <c r="D166" s="55">
        <v>0</v>
      </c>
      <c r="E166" s="55">
        <f t="shared" si="2"/>
        <v>0</v>
      </c>
    </row>
    <row r="167" spans="1:5">
      <c r="A167" t="s">
        <v>375</v>
      </c>
      <c r="B167" t="s">
        <v>932</v>
      </c>
      <c r="C167" s="55">
        <v>486269</v>
      </c>
      <c r="D167" s="55">
        <v>0</v>
      </c>
      <c r="E167" s="55">
        <f t="shared" si="2"/>
        <v>486269</v>
      </c>
    </row>
    <row r="168" spans="1:5">
      <c r="A168" t="s">
        <v>377</v>
      </c>
      <c r="B168" t="s">
        <v>729</v>
      </c>
      <c r="C168" s="55">
        <v>75470</v>
      </c>
      <c r="D168" s="55">
        <v>14329</v>
      </c>
      <c r="E168" s="55">
        <f t="shared" si="2"/>
        <v>89799</v>
      </c>
    </row>
    <row r="169" spans="1:5">
      <c r="A169" t="s">
        <v>379</v>
      </c>
      <c r="B169" t="s">
        <v>843</v>
      </c>
      <c r="C169" s="55">
        <v>19582</v>
      </c>
      <c r="D169" s="55">
        <v>2048</v>
      </c>
      <c r="E169" s="55">
        <f t="shared" si="2"/>
        <v>21630</v>
      </c>
    </row>
    <row r="170" spans="1:5">
      <c r="A170" t="s">
        <v>381</v>
      </c>
      <c r="B170" t="s">
        <v>920</v>
      </c>
      <c r="C170" s="55">
        <v>0</v>
      </c>
      <c r="D170" s="55">
        <v>1</v>
      </c>
      <c r="E170" s="55">
        <f t="shared" si="2"/>
        <v>1</v>
      </c>
    </row>
    <row r="171" spans="1:5">
      <c r="A171" t="s">
        <v>383</v>
      </c>
      <c r="B171" t="s">
        <v>885</v>
      </c>
      <c r="C171" s="55">
        <v>0</v>
      </c>
      <c r="D171" s="55">
        <v>1</v>
      </c>
      <c r="E171" s="55">
        <f t="shared" si="2"/>
        <v>1</v>
      </c>
    </row>
    <row r="172" spans="1:5">
      <c r="A172" t="s">
        <v>385</v>
      </c>
      <c r="B172" t="s">
        <v>905</v>
      </c>
      <c r="C172" s="55">
        <v>27435</v>
      </c>
      <c r="D172" s="55">
        <v>1</v>
      </c>
      <c r="E172" s="55">
        <f t="shared" si="2"/>
        <v>27436</v>
      </c>
    </row>
    <row r="173" spans="1:5">
      <c r="A173" t="s">
        <v>387</v>
      </c>
      <c r="B173" t="s">
        <v>781</v>
      </c>
      <c r="C173" s="55">
        <v>1</v>
      </c>
      <c r="D173" s="55">
        <v>0</v>
      </c>
      <c r="E173" s="55">
        <f t="shared" si="2"/>
        <v>1</v>
      </c>
    </row>
    <row r="174" spans="1:5">
      <c r="A174" t="s">
        <v>391</v>
      </c>
      <c r="B174" t="s">
        <v>730</v>
      </c>
      <c r="C174" s="55">
        <v>50873</v>
      </c>
      <c r="D174" s="55">
        <v>0</v>
      </c>
      <c r="E174" s="55">
        <f t="shared" si="2"/>
        <v>50873</v>
      </c>
    </row>
    <row r="175" spans="1:5">
      <c r="A175" t="s">
        <v>393</v>
      </c>
      <c r="B175" t="s">
        <v>876</v>
      </c>
      <c r="C175" s="55">
        <v>1</v>
      </c>
      <c r="D175" s="55">
        <v>0</v>
      </c>
      <c r="E175" s="55">
        <f t="shared" si="2"/>
        <v>1</v>
      </c>
    </row>
    <row r="176" spans="1:5">
      <c r="A176" t="s">
        <v>395</v>
      </c>
      <c r="B176" t="s">
        <v>731</v>
      </c>
      <c r="C176" s="55">
        <v>62981</v>
      </c>
      <c r="D176" s="55">
        <v>81</v>
      </c>
      <c r="E176" s="55">
        <f t="shared" si="2"/>
        <v>63062</v>
      </c>
    </row>
    <row r="177" spans="1:5">
      <c r="A177" t="s">
        <v>399</v>
      </c>
      <c r="B177" t="s">
        <v>958</v>
      </c>
      <c r="C177" s="55">
        <v>0</v>
      </c>
      <c r="D177" s="55">
        <v>0</v>
      </c>
      <c r="E177" s="55">
        <f t="shared" si="2"/>
        <v>0</v>
      </c>
    </row>
    <row r="178" spans="1:5">
      <c r="A178" t="s">
        <v>401</v>
      </c>
      <c r="B178" t="s">
        <v>732</v>
      </c>
      <c r="C178" s="55">
        <v>656277</v>
      </c>
      <c r="D178" s="55">
        <v>5748</v>
      </c>
      <c r="E178" s="55">
        <f t="shared" si="2"/>
        <v>662025</v>
      </c>
    </row>
    <row r="179" spans="1:5">
      <c r="A179" t="s">
        <v>403</v>
      </c>
      <c r="B179" t="s">
        <v>862</v>
      </c>
      <c r="C179" s="55">
        <v>2</v>
      </c>
      <c r="D179" s="55">
        <v>1</v>
      </c>
      <c r="E179" s="55">
        <f t="shared" si="2"/>
        <v>3</v>
      </c>
    </row>
    <row r="180" spans="1:5">
      <c r="A180" t="s">
        <v>405</v>
      </c>
      <c r="B180" t="s">
        <v>753</v>
      </c>
      <c r="C180" s="55">
        <v>0</v>
      </c>
      <c r="D180" s="55">
        <v>0</v>
      </c>
      <c r="E180" s="55">
        <f t="shared" si="2"/>
        <v>0</v>
      </c>
    </row>
    <row r="181" spans="1:5">
      <c r="A181" t="s">
        <v>407</v>
      </c>
      <c r="B181" t="s">
        <v>733</v>
      </c>
      <c r="C181" s="55">
        <v>0</v>
      </c>
      <c r="D181" s="55">
        <v>0</v>
      </c>
      <c r="E181" s="55">
        <f t="shared" si="2"/>
        <v>0</v>
      </c>
    </row>
    <row r="182" spans="1:5">
      <c r="A182" t="s">
        <v>409</v>
      </c>
      <c r="B182" t="s">
        <v>877</v>
      </c>
      <c r="C182" s="55">
        <v>0</v>
      </c>
      <c r="D182" s="55">
        <v>0</v>
      </c>
      <c r="E182" s="55">
        <f t="shared" si="2"/>
        <v>0</v>
      </c>
    </row>
    <row r="183" spans="1:5">
      <c r="A183" t="s">
        <v>411</v>
      </c>
      <c r="B183" t="s">
        <v>1407</v>
      </c>
      <c r="C183" s="55">
        <v>0</v>
      </c>
      <c r="D183" s="55">
        <v>0</v>
      </c>
      <c r="E183" s="55">
        <f t="shared" si="2"/>
        <v>0</v>
      </c>
    </row>
    <row r="184" spans="1:5">
      <c r="A184" t="s">
        <v>413</v>
      </c>
      <c r="B184" t="s">
        <v>858</v>
      </c>
      <c r="C184" s="55">
        <v>0</v>
      </c>
      <c r="D184" s="55">
        <v>0</v>
      </c>
      <c r="E184" s="55">
        <f t="shared" si="2"/>
        <v>0</v>
      </c>
    </row>
    <row r="185" spans="1:5">
      <c r="A185" t="s">
        <v>415</v>
      </c>
      <c r="B185" t="s">
        <v>784</v>
      </c>
      <c r="C185" s="55">
        <v>0</v>
      </c>
      <c r="D185" s="55">
        <v>0</v>
      </c>
      <c r="E185" s="55">
        <f t="shared" si="2"/>
        <v>0</v>
      </c>
    </row>
    <row r="186" spans="1:5">
      <c r="A186" t="s">
        <v>417</v>
      </c>
      <c r="B186" t="s">
        <v>734</v>
      </c>
      <c r="C186" s="55">
        <v>53717</v>
      </c>
      <c r="D186" s="55">
        <v>80</v>
      </c>
      <c r="E186" s="55">
        <f t="shared" si="2"/>
        <v>53797</v>
      </c>
    </row>
    <row r="187" spans="1:5">
      <c r="A187" t="s">
        <v>419</v>
      </c>
      <c r="B187" t="s">
        <v>735</v>
      </c>
      <c r="C187" s="55">
        <v>0</v>
      </c>
      <c r="D187" s="55">
        <v>0</v>
      </c>
      <c r="E187" s="55">
        <f t="shared" si="2"/>
        <v>0</v>
      </c>
    </row>
    <row r="188" spans="1:5">
      <c r="A188" t="s">
        <v>421</v>
      </c>
      <c r="B188" t="s">
        <v>944</v>
      </c>
      <c r="C188" s="55">
        <v>0</v>
      </c>
      <c r="D188" s="55">
        <v>0</v>
      </c>
      <c r="E188" s="55">
        <f t="shared" si="2"/>
        <v>0</v>
      </c>
    </row>
    <row r="189" spans="1:5">
      <c r="A189" t="s">
        <v>423</v>
      </c>
      <c r="B189" t="s">
        <v>919</v>
      </c>
      <c r="C189" s="55">
        <v>0</v>
      </c>
      <c r="D189" s="55">
        <v>0</v>
      </c>
      <c r="E189" s="55">
        <f t="shared" si="2"/>
        <v>0</v>
      </c>
    </row>
    <row r="190" spans="1:5">
      <c r="A190" t="s">
        <v>425</v>
      </c>
      <c r="B190" t="s">
        <v>736</v>
      </c>
      <c r="C190" s="55">
        <v>106072</v>
      </c>
      <c r="D190" s="55">
        <v>16167</v>
      </c>
      <c r="E190" s="55">
        <f t="shared" si="2"/>
        <v>122239</v>
      </c>
    </row>
    <row r="191" spans="1:5">
      <c r="A191" t="s">
        <v>429</v>
      </c>
      <c r="B191" t="s">
        <v>966</v>
      </c>
      <c r="C191" s="55">
        <v>0</v>
      </c>
      <c r="D191" s="55">
        <v>0</v>
      </c>
      <c r="E191" s="55">
        <f t="shared" si="2"/>
        <v>0</v>
      </c>
    </row>
    <row r="192" spans="1:5">
      <c r="A192" t="s">
        <v>427</v>
      </c>
      <c r="B192" t="s">
        <v>737</v>
      </c>
      <c r="C192" s="55">
        <v>35097</v>
      </c>
      <c r="D192" s="55">
        <v>0</v>
      </c>
      <c r="E192" s="55">
        <f t="shared" si="2"/>
        <v>35097</v>
      </c>
    </row>
    <row r="193" spans="1:5">
      <c r="A193" t="s">
        <v>431</v>
      </c>
      <c r="B193" t="s">
        <v>738</v>
      </c>
      <c r="C193" s="55">
        <v>0</v>
      </c>
      <c r="D193" s="55">
        <v>0</v>
      </c>
      <c r="E193" s="55">
        <f t="shared" si="2"/>
        <v>0</v>
      </c>
    </row>
    <row r="194" spans="1:5">
      <c r="A194" t="s">
        <v>433</v>
      </c>
      <c r="B194" t="s">
        <v>806</v>
      </c>
      <c r="C194" s="55">
        <v>1</v>
      </c>
      <c r="D194" s="55">
        <v>1</v>
      </c>
      <c r="E194" s="55">
        <f t="shared" si="2"/>
        <v>2</v>
      </c>
    </row>
    <row r="195" spans="1:5">
      <c r="A195" t="s">
        <v>435</v>
      </c>
      <c r="B195" t="s">
        <v>808</v>
      </c>
      <c r="C195" s="55">
        <v>0</v>
      </c>
      <c r="D195" s="55">
        <v>0</v>
      </c>
      <c r="E195" s="55">
        <f t="shared" si="2"/>
        <v>0</v>
      </c>
    </row>
    <row r="196" spans="1:5">
      <c r="A196" t="s">
        <v>437</v>
      </c>
      <c r="B196" t="s">
        <v>765</v>
      </c>
      <c r="C196" s="55">
        <v>24677</v>
      </c>
      <c r="D196" s="55">
        <v>195</v>
      </c>
      <c r="E196" s="55">
        <f t="shared" si="2"/>
        <v>24872</v>
      </c>
    </row>
    <row r="197" spans="1:5">
      <c r="A197" t="s">
        <v>439</v>
      </c>
      <c r="B197" t="s">
        <v>785</v>
      </c>
      <c r="C197" s="55">
        <v>0</v>
      </c>
      <c r="D197" s="55">
        <v>0</v>
      </c>
      <c r="E197" s="55">
        <f t="shared" si="2"/>
        <v>0</v>
      </c>
    </row>
    <row r="198" spans="1:5">
      <c r="A198" t="s">
        <v>443</v>
      </c>
      <c r="B198" t="s">
        <v>826</v>
      </c>
      <c r="C198" s="55">
        <v>0</v>
      </c>
      <c r="D198" s="55">
        <v>0</v>
      </c>
      <c r="E198" s="55">
        <f t="shared" ref="E198:E261" si="3">C198+D198</f>
        <v>0</v>
      </c>
    </row>
    <row r="199" spans="1:5">
      <c r="A199" t="s">
        <v>441</v>
      </c>
      <c r="B199" t="s">
        <v>933</v>
      </c>
      <c r="C199" s="55">
        <v>21504</v>
      </c>
      <c r="D199" s="55">
        <v>0</v>
      </c>
      <c r="E199" s="55">
        <f t="shared" si="3"/>
        <v>21504</v>
      </c>
    </row>
    <row r="200" spans="1:5">
      <c r="A200" t="s">
        <v>445</v>
      </c>
      <c r="B200" t="s">
        <v>1375</v>
      </c>
      <c r="C200" s="55">
        <v>0</v>
      </c>
      <c r="D200" s="55">
        <v>0</v>
      </c>
      <c r="E200" s="55">
        <f t="shared" si="3"/>
        <v>0</v>
      </c>
    </row>
    <row r="201" spans="1:5">
      <c r="A201" t="s">
        <v>447</v>
      </c>
      <c r="B201" t="s">
        <v>865</v>
      </c>
      <c r="C201" s="55">
        <v>0</v>
      </c>
      <c r="D201" s="55">
        <v>195</v>
      </c>
      <c r="E201" s="55">
        <f t="shared" si="3"/>
        <v>195</v>
      </c>
    </row>
    <row r="202" spans="1:5">
      <c r="A202" t="s">
        <v>449</v>
      </c>
      <c r="B202" t="s">
        <v>847</v>
      </c>
      <c r="C202" s="55">
        <v>0</v>
      </c>
      <c r="D202" s="55">
        <v>0</v>
      </c>
      <c r="E202" s="55">
        <f t="shared" si="3"/>
        <v>0</v>
      </c>
    </row>
    <row r="203" spans="1:5">
      <c r="A203" t="s">
        <v>451</v>
      </c>
      <c r="B203" t="s">
        <v>814</v>
      </c>
      <c r="C203" s="55">
        <v>0</v>
      </c>
      <c r="D203" s="55">
        <v>0</v>
      </c>
      <c r="E203" s="55">
        <f t="shared" si="3"/>
        <v>0</v>
      </c>
    </row>
    <row r="204" spans="1:5">
      <c r="A204" t="s">
        <v>453</v>
      </c>
      <c r="B204" t="s">
        <v>783</v>
      </c>
      <c r="C204" s="55">
        <v>0</v>
      </c>
      <c r="D204" s="55">
        <v>1344</v>
      </c>
      <c r="E204" s="55">
        <f t="shared" si="3"/>
        <v>1344</v>
      </c>
    </row>
    <row r="205" spans="1:5">
      <c r="A205" t="s">
        <v>455</v>
      </c>
      <c r="B205" t="s">
        <v>756</v>
      </c>
      <c r="C205" s="55">
        <v>387</v>
      </c>
      <c r="D205" s="55">
        <v>0</v>
      </c>
      <c r="E205" s="55">
        <f t="shared" si="3"/>
        <v>387</v>
      </c>
    </row>
    <row r="206" spans="1:5">
      <c r="A206" t="s">
        <v>457</v>
      </c>
      <c r="B206" t="s">
        <v>771</v>
      </c>
      <c r="C206" s="55">
        <v>0</v>
      </c>
      <c r="D206" s="55">
        <v>123</v>
      </c>
      <c r="E206" s="55">
        <f t="shared" si="3"/>
        <v>123</v>
      </c>
    </row>
    <row r="207" spans="1:5">
      <c r="A207" t="s">
        <v>459</v>
      </c>
      <c r="B207" t="s">
        <v>750</v>
      </c>
      <c r="C207" s="55">
        <v>0</v>
      </c>
      <c r="D207" s="55">
        <v>0</v>
      </c>
      <c r="E207" s="55">
        <f t="shared" si="3"/>
        <v>0</v>
      </c>
    </row>
    <row r="208" spans="1:5">
      <c r="A208" t="s">
        <v>461</v>
      </c>
      <c r="B208" t="s">
        <v>916</v>
      </c>
      <c r="C208" s="55">
        <v>6406</v>
      </c>
      <c r="D208" s="55">
        <v>0</v>
      </c>
      <c r="E208" s="55">
        <f t="shared" si="3"/>
        <v>6406</v>
      </c>
    </row>
    <row r="209" spans="1:5">
      <c r="A209" t="s">
        <v>463</v>
      </c>
      <c r="B209" t="s">
        <v>817</v>
      </c>
      <c r="C209" s="55">
        <v>0</v>
      </c>
      <c r="D209" s="55">
        <v>0</v>
      </c>
      <c r="E209" s="55">
        <f t="shared" si="3"/>
        <v>0</v>
      </c>
    </row>
    <row r="210" spans="1:5">
      <c r="A210" t="s">
        <v>465</v>
      </c>
      <c r="B210" t="s">
        <v>935</v>
      </c>
      <c r="C210" s="55">
        <v>50</v>
      </c>
      <c r="D210" s="55">
        <v>2449</v>
      </c>
      <c r="E210" s="55">
        <f t="shared" si="3"/>
        <v>2499</v>
      </c>
    </row>
    <row r="211" spans="1:5">
      <c r="A211" t="s">
        <v>699</v>
      </c>
      <c r="B211" t="s">
        <v>1408</v>
      </c>
      <c r="C211" s="55">
        <v>0</v>
      </c>
      <c r="D211" s="55">
        <v>0</v>
      </c>
      <c r="E211" s="55">
        <f t="shared" si="3"/>
        <v>0</v>
      </c>
    </row>
    <row r="212" spans="1:5">
      <c r="A212" t="s">
        <v>469</v>
      </c>
      <c r="B212" t="s">
        <v>963</v>
      </c>
      <c r="C212" s="55">
        <v>472</v>
      </c>
      <c r="D212" s="55">
        <v>1614</v>
      </c>
      <c r="E212" s="55">
        <f t="shared" si="3"/>
        <v>2086</v>
      </c>
    </row>
    <row r="213" spans="1:5">
      <c r="A213" t="s">
        <v>471</v>
      </c>
      <c r="B213" t="s">
        <v>789</v>
      </c>
      <c r="C213" s="55">
        <v>0</v>
      </c>
      <c r="D213" s="55">
        <v>0</v>
      </c>
      <c r="E213" s="55">
        <f t="shared" si="3"/>
        <v>0</v>
      </c>
    </row>
    <row r="214" spans="1:5">
      <c r="A214" t="s">
        <v>475</v>
      </c>
      <c r="B214" t="s">
        <v>887</v>
      </c>
      <c r="C214" s="55">
        <v>0</v>
      </c>
      <c r="D214" s="55">
        <v>0</v>
      </c>
      <c r="E214" s="55">
        <f t="shared" si="3"/>
        <v>0</v>
      </c>
    </row>
    <row r="215" spans="1:5">
      <c r="A215" t="s">
        <v>477</v>
      </c>
      <c r="B215" t="s">
        <v>800</v>
      </c>
      <c r="C215" s="55">
        <v>210</v>
      </c>
      <c r="D215" s="55">
        <v>536</v>
      </c>
      <c r="E215" s="55">
        <f t="shared" si="3"/>
        <v>746</v>
      </c>
    </row>
    <row r="216" spans="1:5">
      <c r="A216" t="s">
        <v>479</v>
      </c>
      <c r="B216" t="s">
        <v>1311</v>
      </c>
      <c r="C216" s="55">
        <v>242054</v>
      </c>
      <c r="D216" s="55">
        <v>102062</v>
      </c>
      <c r="E216" s="55">
        <f t="shared" si="3"/>
        <v>344116</v>
      </c>
    </row>
    <row r="217" spans="1:5">
      <c r="A217" t="s">
        <v>481</v>
      </c>
      <c r="B217" t="s">
        <v>739</v>
      </c>
      <c r="C217" s="55">
        <v>0</v>
      </c>
      <c r="D217" s="55">
        <v>3760</v>
      </c>
      <c r="E217" s="55">
        <f t="shared" si="3"/>
        <v>3760</v>
      </c>
    </row>
    <row r="218" spans="1:5">
      <c r="A218" t="s">
        <v>483</v>
      </c>
      <c r="B218" t="s">
        <v>971</v>
      </c>
      <c r="C218" s="55">
        <v>16654</v>
      </c>
      <c r="D218" s="55">
        <v>0</v>
      </c>
      <c r="E218" s="55">
        <f t="shared" si="3"/>
        <v>16654</v>
      </c>
    </row>
    <row r="219" spans="1:5">
      <c r="A219" t="s">
        <v>485</v>
      </c>
      <c r="B219" t="s">
        <v>870</v>
      </c>
      <c r="C219" s="55">
        <v>6511</v>
      </c>
      <c r="D219" s="55">
        <v>0</v>
      </c>
      <c r="E219" s="55">
        <f t="shared" si="3"/>
        <v>6511</v>
      </c>
    </row>
    <row r="220" spans="1:5">
      <c r="A220" t="s">
        <v>487</v>
      </c>
      <c r="B220" t="s">
        <v>763</v>
      </c>
      <c r="C220" s="55">
        <v>0</v>
      </c>
      <c r="D220" s="55">
        <v>0</v>
      </c>
      <c r="E220" s="55">
        <f t="shared" si="3"/>
        <v>0</v>
      </c>
    </row>
    <row r="221" spans="1:5">
      <c r="A221" t="s">
        <v>491</v>
      </c>
      <c r="B221" t="s">
        <v>856</v>
      </c>
      <c r="C221" s="55">
        <v>48157</v>
      </c>
      <c r="D221" s="55">
        <v>9677</v>
      </c>
      <c r="E221" s="55">
        <f t="shared" si="3"/>
        <v>57834</v>
      </c>
    </row>
    <row r="222" spans="1:5">
      <c r="A222" t="s">
        <v>493</v>
      </c>
      <c r="B222" t="s">
        <v>821</v>
      </c>
      <c r="C222" s="55">
        <v>0</v>
      </c>
      <c r="D222" s="55">
        <v>0</v>
      </c>
      <c r="E222" s="55">
        <f t="shared" si="3"/>
        <v>0</v>
      </c>
    </row>
    <row r="223" spans="1:5">
      <c r="A223" t="s">
        <v>497</v>
      </c>
      <c r="B223" t="s">
        <v>815</v>
      </c>
      <c r="C223" s="55">
        <v>590</v>
      </c>
      <c r="D223" s="55">
        <v>1017</v>
      </c>
      <c r="E223" s="55">
        <f t="shared" si="3"/>
        <v>1607</v>
      </c>
    </row>
    <row r="224" spans="1:5">
      <c r="A224" t="s">
        <v>499</v>
      </c>
      <c r="B224" t="s">
        <v>740</v>
      </c>
      <c r="C224" s="55">
        <v>0</v>
      </c>
      <c r="D224" s="55">
        <v>0</v>
      </c>
      <c r="E224" s="55">
        <f t="shared" si="3"/>
        <v>0</v>
      </c>
    </row>
    <row r="225" spans="1:5">
      <c r="A225" t="s">
        <v>501</v>
      </c>
      <c r="B225" t="s">
        <v>820</v>
      </c>
      <c r="C225" s="55">
        <v>0</v>
      </c>
      <c r="D225" s="55">
        <v>16005</v>
      </c>
      <c r="E225" s="55">
        <f t="shared" si="3"/>
        <v>16005</v>
      </c>
    </row>
    <row r="226" spans="1:5">
      <c r="A226" t="s">
        <v>503</v>
      </c>
      <c r="B226" t="s">
        <v>788</v>
      </c>
      <c r="C226" s="55">
        <v>1280</v>
      </c>
      <c r="D226" s="55">
        <v>0</v>
      </c>
      <c r="E226" s="55">
        <f t="shared" si="3"/>
        <v>1280</v>
      </c>
    </row>
    <row r="227" spans="1:5">
      <c r="A227" t="s">
        <v>505</v>
      </c>
      <c r="B227" t="s">
        <v>741</v>
      </c>
      <c r="C227" s="55">
        <v>6155</v>
      </c>
      <c r="D227" s="55">
        <v>0</v>
      </c>
      <c r="E227" s="55">
        <f t="shared" si="3"/>
        <v>6155</v>
      </c>
    </row>
    <row r="228" spans="1:5">
      <c r="A228" t="s">
        <v>507</v>
      </c>
      <c r="B228" t="s">
        <v>835</v>
      </c>
      <c r="C228" s="55">
        <v>0</v>
      </c>
      <c r="D228" s="55">
        <v>0</v>
      </c>
      <c r="E228" s="55">
        <f t="shared" si="3"/>
        <v>0</v>
      </c>
    </row>
    <row r="229" spans="1:5">
      <c r="A229" t="s">
        <v>509</v>
      </c>
      <c r="B229" t="s">
        <v>805</v>
      </c>
      <c r="C229" s="55">
        <v>16836</v>
      </c>
      <c r="D229" s="55">
        <v>0</v>
      </c>
      <c r="E229" s="55">
        <f t="shared" si="3"/>
        <v>16836</v>
      </c>
    </row>
    <row r="230" spans="1:5">
      <c r="A230" t="s">
        <v>511</v>
      </c>
      <c r="B230" t="s">
        <v>854</v>
      </c>
      <c r="C230" s="55">
        <v>0</v>
      </c>
      <c r="D230" s="55">
        <v>0</v>
      </c>
      <c r="E230" s="55">
        <f t="shared" si="3"/>
        <v>0</v>
      </c>
    </row>
    <row r="231" spans="1:5">
      <c r="A231" t="s">
        <v>515</v>
      </c>
      <c r="B231" t="s">
        <v>917</v>
      </c>
      <c r="C231" s="55">
        <v>0</v>
      </c>
      <c r="D231" s="55">
        <v>0</v>
      </c>
      <c r="E231" s="55">
        <f t="shared" si="3"/>
        <v>0</v>
      </c>
    </row>
    <row r="232" spans="1:5">
      <c r="A232" t="s">
        <v>513</v>
      </c>
      <c r="B232" t="s">
        <v>904</v>
      </c>
      <c r="C232" s="55">
        <v>103764</v>
      </c>
      <c r="D232" s="55">
        <v>0</v>
      </c>
      <c r="E232" s="55">
        <f t="shared" si="3"/>
        <v>103764</v>
      </c>
    </row>
    <row r="233" spans="1:5">
      <c r="A233" t="s">
        <v>517</v>
      </c>
      <c r="B233" t="s">
        <v>846</v>
      </c>
      <c r="C233" s="55">
        <v>0</v>
      </c>
      <c r="D233" s="55">
        <v>259</v>
      </c>
      <c r="E233" s="55">
        <f t="shared" si="3"/>
        <v>259</v>
      </c>
    </row>
    <row r="234" spans="1:5">
      <c r="A234" t="s">
        <v>473</v>
      </c>
      <c r="B234" t="s">
        <v>964</v>
      </c>
      <c r="C234" s="55">
        <v>0</v>
      </c>
      <c r="D234" s="55">
        <v>0</v>
      </c>
      <c r="E234" s="55">
        <f t="shared" si="3"/>
        <v>0</v>
      </c>
    </row>
    <row r="235" spans="1:5">
      <c r="A235" t="s">
        <v>519</v>
      </c>
      <c r="B235" t="s">
        <v>903</v>
      </c>
      <c r="C235" s="55">
        <v>57478</v>
      </c>
      <c r="D235" s="55">
        <v>0</v>
      </c>
      <c r="E235" s="55">
        <f t="shared" si="3"/>
        <v>57478</v>
      </c>
    </row>
    <row r="236" spans="1:5">
      <c r="A236" t="s">
        <v>523</v>
      </c>
      <c r="B236" t="s">
        <v>773</v>
      </c>
      <c r="C236" s="55">
        <v>52758</v>
      </c>
      <c r="D236" s="55">
        <v>0</v>
      </c>
      <c r="E236" s="55">
        <f t="shared" si="3"/>
        <v>52758</v>
      </c>
    </row>
    <row r="237" spans="1:5">
      <c r="A237" t="s">
        <v>527</v>
      </c>
      <c r="B237" t="s">
        <v>871</v>
      </c>
      <c r="C237" s="55">
        <v>0</v>
      </c>
      <c r="D237" s="55">
        <v>0</v>
      </c>
      <c r="E237" s="55">
        <f t="shared" si="3"/>
        <v>0</v>
      </c>
    </row>
    <row r="238" spans="1:5">
      <c r="A238" t="s">
        <v>529</v>
      </c>
      <c r="B238" t="s">
        <v>960</v>
      </c>
      <c r="C238" s="55">
        <v>0</v>
      </c>
      <c r="D238" s="55">
        <v>0</v>
      </c>
      <c r="E238" s="55">
        <f t="shared" si="3"/>
        <v>0</v>
      </c>
    </row>
    <row r="239" spans="1:5">
      <c r="A239" t="s">
        <v>533</v>
      </c>
      <c r="B239" t="s">
        <v>901</v>
      </c>
      <c r="C239" s="55">
        <v>0</v>
      </c>
      <c r="D239" s="55">
        <v>9716</v>
      </c>
      <c r="E239" s="55">
        <f t="shared" si="3"/>
        <v>9716</v>
      </c>
    </row>
    <row r="240" spans="1:5">
      <c r="A240" t="s">
        <v>535</v>
      </c>
      <c r="B240" t="s">
        <v>700</v>
      </c>
      <c r="C240" s="55">
        <v>0</v>
      </c>
      <c r="D240" s="55">
        <v>0</v>
      </c>
      <c r="E240" s="55">
        <f t="shared" si="3"/>
        <v>0</v>
      </c>
    </row>
    <row r="241" spans="1:5">
      <c r="A241" t="s">
        <v>537</v>
      </c>
      <c r="B241" t="s">
        <v>884</v>
      </c>
      <c r="C241" s="55">
        <v>0</v>
      </c>
      <c r="D241" s="55">
        <v>0</v>
      </c>
      <c r="E241" s="55">
        <f t="shared" si="3"/>
        <v>0</v>
      </c>
    </row>
    <row r="242" spans="1:5">
      <c r="A242" t="s">
        <v>539</v>
      </c>
      <c r="B242" t="s">
        <v>824</v>
      </c>
      <c r="C242" s="55">
        <v>0</v>
      </c>
      <c r="D242" s="55">
        <v>0</v>
      </c>
      <c r="E242" s="55">
        <f t="shared" si="3"/>
        <v>0</v>
      </c>
    </row>
    <row r="243" spans="1:5">
      <c r="A243" t="s">
        <v>541</v>
      </c>
      <c r="B243" t="s">
        <v>924</v>
      </c>
      <c r="C243" s="55">
        <v>0</v>
      </c>
      <c r="D243" s="55">
        <v>0</v>
      </c>
      <c r="E243" s="55">
        <f t="shared" si="3"/>
        <v>0</v>
      </c>
    </row>
    <row r="244" spans="1:5">
      <c r="A244" t="s">
        <v>543</v>
      </c>
      <c r="B244" t="s">
        <v>874</v>
      </c>
      <c r="C244" s="55">
        <v>18015</v>
      </c>
      <c r="D244" s="55">
        <v>0</v>
      </c>
      <c r="E244" s="55">
        <f t="shared" si="3"/>
        <v>18015</v>
      </c>
    </row>
    <row r="245" spans="1:5">
      <c r="A245" t="s">
        <v>545</v>
      </c>
      <c r="B245" t="s">
        <v>974</v>
      </c>
      <c r="C245" s="55">
        <v>12462</v>
      </c>
      <c r="D245" s="55">
        <v>11674</v>
      </c>
      <c r="E245" s="55">
        <f t="shared" si="3"/>
        <v>24136</v>
      </c>
    </row>
    <row r="246" spans="1:5">
      <c r="A246" t="s">
        <v>836</v>
      </c>
      <c r="B246" t="s">
        <v>548</v>
      </c>
      <c r="C246" s="55">
        <v>3842</v>
      </c>
      <c r="D246" s="55">
        <v>0</v>
      </c>
      <c r="E246" s="55">
        <f t="shared" si="3"/>
        <v>3842</v>
      </c>
    </row>
    <row r="247" spans="1:5">
      <c r="A247" t="s">
        <v>549</v>
      </c>
      <c r="B247" t="s">
        <v>872</v>
      </c>
      <c r="C247" s="55">
        <v>0</v>
      </c>
      <c r="D247" s="55">
        <v>0</v>
      </c>
      <c r="E247" s="55">
        <f t="shared" si="3"/>
        <v>0</v>
      </c>
    </row>
    <row r="248" spans="1:5">
      <c r="A248" t="s">
        <v>551</v>
      </c>
      <c r="B248" t="s">
        <v>798</v>
      </c>
      <c r="C248" s="55">
        <v>0</v>
      </c>
      <c r="D248" s="55">
        <v>2111</v>
      </c>
      <c r="E248" s="55">
        <f t="shared" si="3"/>
        <v>2111</v>
      </c>
    </row>
    <row r="249" spans="1:5">
      <c r="A249" t="s">
        <v>553</v>
      </c>
      <c r="B249" t="s">
        <v>819</v>
      </c>
      <c r="C249" s="55">
        <v>242966</v>
      </c>
      <c r="D249" s="55">
        <v>0</v>
      </c>
      <c r="E249" s="55">
        <f t="shared" si="3"/>
        <v>242966</v>
      </c>
    </row>
    <row r="250" spans="1:5">
      <c r="A250" t="s">
        <v>555</v>
      </c>
      <c r="B250" t="s">
        <v>956</v>
      </c>
      <c r="C250" s="55">
        <v>0</v>
      </c>
      <c r="D250" s="55">
        <v>0</v>
      </c>
      <c r="E250" s="55">
        <f t="shared" si="3"/>
        <v>0</v>
      </c>
    </row>
    <row r="251" spans="1:5">
      <c r="A251" t="s">
        <v>557</v>
      </c>
      <c r="B251" t="s">
        <v>936</v>
      </c>
      <c r="C251" s="55">
        <v>0</v>
      </c>
      <c r="D251" s="55">
        <v>9026</v>
      </c>
      <c r="E251" s="55">
        <f t="shared" si="3"/>
        <v>9026</v>
      </c>
    </row>
    <row r="252" spans="1:5">
      <c r="A252" t="s">
        <v>559</v>
      </c>
      <c r="B252" t="s">
        <v>838</v>
      </c>
      <c r="C252" s="55">
        <v>4337</v>
      </c>
      <c r="D252" s="55">
        <v>2170</v>
      </c>
      <c r="E252" s="55">
        <f t="shared" si="3"/>
        <v>6507</v>
      </c>
    </row>
    <row r="253" spans="1:5">
      <c r="A253" t="s">
        <v>561</v>
      </c>
      <c r="B253" t="s">
        <v>742</v>
      </c>
      <c r="C253" s="55">
        <v>0</v>
      </c>
      <c r="D253" s="55">
        <v>174</v>
      </c>
      <c r="E253" s="55">
        <f t="shared" si="3"/>
        <v>174</v>
      </c>
    </row>
    <row r="254" spans="1:5">
      <c r="A254" t="s">
        <v>563</v>
      </c>
      <c r="B254" t="s">
        <v>863</v>
      </c>
      <c r="C254" s="55">
        <v>373</v>
      </c>
      <c r="D254" s="55">
        <v>899</v>
      </c>
      <c r="E254" s="55">
        <f t="shared" si="3"/>
        <v>1272</v>
      </c>
    </row>
    <row r="255" spans="1:5">
      <c r="A255" t="s">
        <v>565</v>
      </c>
      <c r="B255" t="s">
        <v>975</v>
      </c>
      <c r="C255" s="55">
        <v>0</v>
      </c>
      <c r="D255" s="55">
        <v>0</v>
      </c>
      <c r="E255" s="55">
        <f t="shared" si="3"/>
        <v>0</v>
      </c>
    </row>
    <row r="256" spans="1:5">
      <c r="A256" t="s">
        <v>567</v>
      </c>
      <c r="B256" t="s">
        <v>942</v>
      </c>
      <c r="C256" s="55">
        <v>0</v>
      </c>
      <c r="D256" s="55">
        <v>0</v>
      </c>
      <c r="E256" s="55">
        <f t="shared" si="3"/>
        <v>0</v>
      </c>
    </row>
    <row r="257" spans="1:5">
      <c r="A257" t="s">
        <v>573</v>
      </c>
      <c r="B257" t="s">
        <v>816</v>
      </c>
      <c r="C257" s="55">
        <v>0</v>
      </c>
      <c r="D257" s="55">
        <v>0</v>
      </c>
      <c r="E257" s="55">
        <f t="shared" si="3"/>
        <v>0</v>
      </c>
    </row>
    <row r="258" spans="1:5">
      <c r="A258" t="s">
        <v>575</v>
      </c>
      <c r="B258" t="s">
        <v>931</v>
      </c>
      <c r="C258" s="55">
        <v>103090</v>
      </c>
      <c r="D258" s="55">
        <v>2450</v>
      </c>
      <c r="E258" s="55">
        <f t="shared" si="3"/>
        <v>105540</v>
      </c>
    </row>
    <row r="259" spans="1:5">
      <c r="A259" t="s">
        <v>577</v>
      </c>
      <c r="B259" t="s">
        <v>967</v>
      </c>
      <c r="C259" s="55">
        <v>0</v>
      </c>
      <c r="D259" s="55">
        <v>12699</v>
      </c>
      <c r="E259" s="55">
        <f t="shared" si="3"/>
        <v>12699</v>
      </c>
    </row>
    <row r="260" spans="1:5">
      <c r="A260" t="s">
        <v>579</v>
      </c>
      <c r="B260" t="s">
        <v>743</v>
      </c>
      <c r="C260" s="55">
        <v>0</v>
      </c>
      <c r="D260" s="55">
        <v>0</v>
      </c>
      <c r="E260" s="55">
        <f t="shared" si="3"/>
        <v>0</v>
      </c>
    </row>
    <row r="261" spans="1:5">
      <c r="A261" t="s">
        <v>581</v>
      </c>
      <c r="B261" t="s">
        <v>921</v>
      </c>
      <c r="C261" s="55">
        <v>93004</v>
      </c>
      <c r="D261" s="55">
        <v>0</v>
      </c>
      <c r="E261" s="55">
        <f t="shared" si="3"/>
        <v>93004</v>
      </c>
    </row>
    <row r="262" spans="1:5">
      <c r="A262" t="s">
        <v>583</v>
      </c>
      <c r="B262" t="s">
        <v>767</v>
      </c>
      <c r="C262" s="55">
        <v>0</v>
      </c>
      <c r="D262" s="55">
        <v>0</v>
      </c>
      <c r="E262" s="55">
        <f t="shared" ref="E262:E286" si="4">C262+D262</f>
        <v>0</v>
      </c>
    </row>
    <row r="263" spans="1:5">
      <c r="A263" t="s">
        <v>585</v>
      </c>
      <c r="B263" t="s">
        <v>813</v>
      </c>
      <c r="C263" s="55">
        <v>465</v>
      </c>
      <c r="D263" s="55">
        <v>36</v>
      </c>
      <c r="E263" s="55">
        <f t="shared" si="4"/>
        <v>501</v>
      </c>
    </row>
    <row r="264" spans="1:5">
      <c r="A264" t="s">
        <v>591</v>
      </c>
      <c r="B264" t="s">
        <v>744</v>
      </c>
      <c r="C264" s="55">
        <v>3931</v>
      </c>
      <c r="D264" s="55">
        <v>1568</v>
      </c>
      <c r="E264" s="55">
        <f t="shared" si="4"/>
        <v>5499</v>
      </c>
    </row>
    <row r="265" spans="1:5">
      <c r="A265" t="s">
        <v>595</v>
      </c>
      <c r="B265" t="s">
        <v>940</v>
      </c>
      <c r="C265" s="55">
        <v>72777</v>
      </c>
      <c r="D265" s="55">
        <v>1055</v>
      </c>
      <c r="E265" s="55">
        <f t="shared" si="4"/>
        <v>73832</v>
      </c>
    </row>
    <row r="266" spans="1:5">
      <c r="A266" t="s">
        <v>597</v>
      </c>
      <c r="B266" t="s">
        <v>979</v>
      </c>
      <c r="C266" s="55">
        <v>8574</v>
      </c>
      <c r="D266" s="55">
        <v>6400</v>
      </c>
      <c r="E266" s="55">
        <f t="shared" si="4"/>
        <v>14974</v>
      </c>
    </row>
    <row r="267" spans="1:5">
      <c r="A267" t="s">
        <v>599</v>
      </c>
      <c r="B267" t="s">
        <v>786</v>
      </c>
      <c r="C267" s="55">
        <v>78707</v>
      </c>
      <c r="D267" s="55">
        <v>11404</v>
      </c>
      <c r="E267" s="55">
        <f t="shared" si="4"/>
        <v>90111</v>
      </c>
    </row>
    <row r="268" spans="1:5">
      <c r="A268" t="s">
        <v>702</v>
      </c>
      <c r="B268" t="s">
        <v>939</v>
      </c>
      <c r="C268" s="55">
        <v>0</v>
      </c>
      <c r="D268" s="55">
        <v>0</v>
      </c>
      <c r="E268" s="55">
        <f t="shared" si="4"/>
        <v>0</v>
      </c>
    </row>
    <row r="269" spans="1:5">
      <c r="A269" t="s">
        <v>601</v>
      </c>
      <c r="B269" t="s">
        <v>745</v>
      </c>
      <c r="C269" s="55">
        <v>0</v>
      </c>
      <c r="D269" s="55">
        <v>0</v>
      </c>
      <c r="E269" s="55">
        <f t="shared" si="4"/>
        <v>0</v>
      </c>
    </row>
    <row r="270" spans="1:5">
      <c r="A270" t="s">
        <v>603</v>
      </c>
      <c r="B270" t="s">
        <v>748</v>
      </c>
      <c r="C270" s="55">
        <v>1</v>
      </c>
      <c r="D270" s="55">
        <v>0</v>
      </c>
      <c r="E270" s="55">
        <f t="shared" si="4"/>
        <v>1</v>
      </c>
    </row>
    <row r="271" spans="1:5">
      <c r="A271" t="s">
        <v>607</v>
      </c>
      <c r="B271" t="s">
        <v>1409</v>
      </c>
      <c r="C271" s="55">
        <v>458</v>
      </c>
      <c r="D271" s="55">
        <v>1</v>
      </c>
      <c r="E271" s="55">
        <f t="shared" si="4"/>
        <v>459</v>
      </c>
    </row>
    <row r="272" spans="1:5">
      <c r="A272" t="s">
        <v>609</v>
      </c>
      <c r="B272" t="s">
        <v>746</v>
      </c>
      <c r="C272" s="55">
        <v>36205</v>
      </c>
      <c r="D272" s="55">
        <v>0</v>
      </c>
      <c r="E272" s="55">
        <f t="shared" si="4"/>
        <v>36205</v>
      </c>
    </row>
    <row r="273" spans="1:5">
      <c r="A273" t="s">
        <v>613</v>
      </c>
      <c r="B273" t="s">
        <v>914</v>
      </c>
      <c r="C273" s="55">
        <v>415</v>
      </c>
      <c r="D273" s="55">
        <v>4971</v>
      </c>
      <c r="E273" s="55">
        <f t="shared" si="4"/>
        <v>5386</v>
      </c>
    </row>
    <row r="274" spans="1:5">
      <c r="A274" t="s">
        <v>611</v>
      </c>
      <c r="B274" t="s">
        <v>980</v>
      </c>
      <c r="C274" s="55">
        <v>0</v>
      </c>
      <c r="D274" s="55">
        <v>0</v>
      </c>
      <c r="E274" s="55">
        <f t="shared" si="4"/>
        <v>0</v>
      </c>
    </row>
    <row r="275" spans="1:5">
      <c r="A275" t="s">
        <v>617</v>
      </c>
      <c r="B275" t="s">
        <v>845</v>
      </c>
      <c r="C275" s="55">
        <v>0</v>
      </c>
      <c r="D275" s="55">
        <v>2081</v>
      </c>
      <c r="E275" s="55">
        <f t="shared" si="4"/>
        <v>2081</v>
      </c>
    </row>
    <row r="276" spans="1:5">
      <c r="A276" t="s">
        <v>619</v>
      </c>
      <c r="B276" t="s">
        <v>880</v>
      </c>
      <c r="C276" s="55">
        <v>0</v>
      </c>
      <c r="D276" s="55">
        <v>0</v>
      </c>
      <c r="E276" s="55">
        <f t="shared" si="4"/>
        <v>0</v>
      </c>
    </row>
    <row r="277" spans="1:5">
      <c r="A277" t="s">
        <v>623</v>
      </c>
      <c r="B277" t="s">
        <v>1381</v>
      </c>
      <c r="C277" s="55">
        <v>0</v>
      </c>
      <c r="D277" s="55">
        <v>123</v>
      </c>
      <c r="E277" s="55">
        <f t="shared" si="4"/>
        <v>123</v>
      </c>
    </row>
    <row r="278" spans="1:5">
      <c r="A278" t="s">
        <v>625</v>
      </c>
      <c r="B278" t="s">
        <v>851</v>
      </c>
      <c r="C278" s="55">
        <v>0</v>
      </c>
      <c r="D278" s="55">
        <v>0</v>
      </c>
      <c r="E278" s="55">
        <f t="shared" si="4"/>
        <v>0</v>
      </c>
    </row>
    <row r="279" spans="1:5">
      <c r="A279" t="s">
        <v>627</v>
      </c>
      <c r="B279" t="s">
        <v>866</v>
      </c>
      <c r="C279" s="55">
        <v>0</v>
      </c>
      <c r="D279" s="55">
        <v>0</v>
      </c>
      <c r="E279" s="55">
        <f t="shared" si="4"/>
        <v>0</v>
      </c>
    </row>
    <row r="280" spans="1:5">
      <c r="A280" t="s">
        <v>629</v>
      </c>
      <c r="B280" t="s">
        <v>792</v>
      </c>
      <c r="C280" s="55">
        <v>0</v>
      </c>
      <c r="D280" s="55">
        <v>0</v>
      </c>
      <c r="E280" s="55">
        <f t="shared" si="4"/>
        <v>0</v>
      </c>
    </row>
    <row r="281" spans="1:5">
      <c r="A281" t="s">
        <v>631</v>
      </c>
      <c r="B281" t="s">
        <v>747</v>
      </c>
      <c r="C281" s="55">
        <v>0</v>
      </c>
      <c r="D281" s="55">
        <v>0</v>
      </c>
      <c r="E281" s="55">
        <f t="shared" si="4"/>
        <v>0</v>
      </c>
    </row>
    <row r="282" spans="1:5">
      <c r="A282" t="s">
        <v>633</v>
      </c>
      <c r="B282" t="s">
        <v>801</v>
      </c>
      <c r="C282" s="55">
        <v>26</v>
      </c>
      <c r="D282" s="55">
        <v>113</v>
      </c>
      <c r="E282" s="55">
        <f t="shared" si="4"/>
        <v>139</v>
      </c>
    </row>
    <row r="283" spans="1:5">
      <c r="A283" t="s">
        <v>637</v>
      </c>
      <c r="B283" t="s">
        <v>776</v>
      </c>
      <c r="C283" s="55">
        <v>0</v>
      </c>
      <c r="D283" s="55">
        <v>0</v>
      </c>
      <c r="E283" s="55">
        <f t="shared" si="4"/>
        <v>0</v>
      </c>
    </row>
    <row r="284" spans="1:5">
      <c r="A284" t="s">
        <v>639</v>
      </c>
      <c r="B284" t="s">
        <v>969</v>
      </c>
      <c r="C284" s="55">
        <v>0</v>
      </c>
      <c r="D284" s="55">
        <v>40876</v>
      </c>
      <c r="E284" s="55">
        <f t="shared" si="4"/>
        <v>40876</v>
      </c>
    </row>
    <row r="285" spans="1:5">
      <c r="A285" t="s">
        <v>641</v>
      </c>
      <c r="B285" t="s">
        <v>930</v>
      </c>
      <c r="C285" s="55">
        <v>26576</v>
      </c>
      <c r="D285" s="55">
        <v>40</v>
      </c>
      <c r="E285" s="55">
        <f t="shared" si="4"/>
        <v>26616</v>
      </c>
    </row>
    <row r="286" spans="1:5">
      <c r="A286" t="s">
        <v>643</v>
      </c>
      <c r="B286" t="s">
        <v>978</v>
      </c>
      <c r="C286" s="55">
        <v>2447</v>
      </c>
      <c r="D286" s="55">
        <v>0</v>
      </c>
      <c r="E286" s="55">
        <f t="shared" si="4"/>
        <v>2447</v>
      </c>
    </row>
    <row r="287" spans="1:5">
      <c r="C287" s="55"/>
      <c r="D287" s="55"/>
    </row>
    <row r="288" spans="1:5">
      <c r="C288" s="55"/>
      <c r="D288" s="55"/>
    </row>
    <row r="289" spans="3:4">
      <c r="C289" s="55"/>
      <c r="D289" s="55"/>
    </row>
    <row r="290" spans="3:4">
      <c r="C290" s="55"/>
      <c r="D290" s="55"/>
    </row>
    <row r="291" spans="3:4">
      <c r="C291" s="55"/>
      <c r="D291" s="55"/>
    </row>
    <row r="292" spans="3:4">
      <c r="C292" s="55"/>
      <c r="D292" s="55"/>
    </row>
    <row r="293" spans="3:4">
      <c r="C293" s="55"/>
      <c r="D293" s="55"/>
    </row>
    <row r="294" spans="3:4">
      <c r="C294" s="55"/>
      <c r="D294" s="55"/>
    </row>
    <row r="295" spans="3:4">
      <c r="C295" s="55"/>
      <c r="D295" s="55"/>
    </row>
    <row r="296" spans="3:4">
      <c r="C296" s="55"/>
      <c r="D296" s="55"/>
    </row>
    <row r="297" spans="3:4">
      <c r="C297" s="55"/>
      <c r="D297" s="55"/>
    </row>
    <row r="298" spans="3:4">
      <c r="C298" s="55"/>
      <c r="D298" s="55"/>
    </row>
    <row r="299" spans="3:4">
      <c r="C299" s="55"/>
      <c r="D299" s="55"/>
    </row>
    <row r="300" spans="3:4">
      <c r="C300" s="55"/>
      <c r="D300" s="55"/>
    </row>
    <row r="301" spans="3:4">
      <c r="C301" s="55"/>
      <c r="D301" s="55"/>
    </row>
    <row r="302" spans="3:4">
      <c r="C302" s="55"/>
      <c r="D302" s="55"/>
    </row>
    <row r="303" spans="3:4">
      <c r="C303" s="55"/>
      <c r="D303" s="55"/>
    </row>
    <row r="304" spans="3:4">
      <c r="C304" s="55"/>
      <c r="D304" s="55"/>
    </row>
    <row r="305" spans="3:4">
      <c r="C305" s="55"/>
      <c r="D305" s="55"/>
    </row>
    <row r="306" spans="3:4">
      <c r="C306" s="55"/>
      <c r="D306" s="55"/>
    </row>
    <row r="307" spans="3:4">
      <c r="C307" s="55"/>
      <c r="D307" s="55"/>
    </row>
    <row r="308" spans="3:4">
      <c r="C308" s="55"/>
      <c r="D308" s="55"/>
    </row>
    <row r="309" spans="3:4">
      <c r="C309" s="55"/>
      <c r="D309" s="55"/>
    </row>
    <row r="310" spans="3:4">
      <c r="C310" s="55"/>
      <c r="D310" s="55"/>
    </row>
    <row r="311" spans="3:4">
      <c r="C311" s="55"/>
      <c r="D311" s="55"/>
    </row>
    <row r="312" spans="3:4">
      <c r="C312" s="55"/>
      <c r="D312" s="55"/>
    </row>
    <row r="313" spans="3:4">
      <c r="C313" s="55"/>
      <c r="D313" s="55"/>
    </row>
    <row r="314" spans="3:4">
      <c r="C314" s="55"/>
      <c r="D314" s="55"/>
    </row>
    <row r="315" spans="3:4">
      <c r="C315" s="55"/>
      <c r="D315" s="55"/>
    </row>
    <row r="316" spans="3:4">
      <c r="C316" s="55"/>
      <c r="D316" s="55"/>
    </row>
    <row r="317" spans="3:4">
      <c r="C317" s="55"/>
      <c r="D317" s="55"/>
    </row>
    <row r="318" spans="3:4">
      <c r="C318" s="55"/>
      <c r="D318" s="55"/>
    </row>
    <row r="319" spans="3:4">
      <c r="C319" s="55"/>
      <c r="D319" s="55"/>
    </row>
    <row r="320" spans="3:4">
      <c r="C320" s="55"/>
      <c r="D320" s="55"/>
    </row>
    <row r="321" spans="3:4">
      <c r="C321" s="55"/>
      <c r="D321" s="55"/>
    </row>
    <row r="322" spans="3:4">
      <c r="C322" s="55"/>
      <c r="D322" s="55"/>
    </row>
    <row r="323" spans="3:4">
      <c r="C323" s="55"/>
      <c r="D323" s="55"/>
    </row>
    <row r="324" spans="3:4">
      <c r="C324" s="55"/>
      <c r="D324" s="55"/>
    </row>
    <row r="325" spans="3:4">
      <c r="C325" s="55"/>
      <c r="D325" s="55"/>
    </row>
    <row r="326" spans="3:4">
      <c r="C326" s="55"/>
      <c r="D326" s="55"/>
    </row>
    <row r="327" spans="3:4">
      <c r="C327" s="55"/>
      <c r="D327" s="55"/>
    </row>
    <row r="328" spans="3:4">
      <c r="C328" s="55"/>
      <c r="D328" s="55"/>
    </row>
    <row r="329" spans="3:4">
      <c r="C329" s="55"/>
      <c r="D329" s="55"/>
    </row>
    <row r="330" spans="3:4">
      <c r="C330" s="55"/>
      <c r="D330" s="55"/>
    </row>
    <row r="331" spans="3:4">
      <c r="C331" s="55"/>
      <c r="D331" s="55"/>
    </row>
    <row r="332" spans="3:4">
      <c r="C332" s="55"/>
      <c r="D332" s="55"/>
    </row>
    <row r="333" spans="3:4">
      <c r="C333" s="55"/>
      <c r="D333" s="55"/>
    </row>
    <row r="334" spans="3:4">
      <c r="C334" s="55"/>
      <c r="D334" s="55"/>
    </row>
    <row r="335" spans="3:4">
      <c r="C335" s="55"/>
      <c r="D335" s="55"/>
    </row>
    <row r="336" spans="3:4">
      <c r="C336" s="55"/>
      <c r="D336" s="55"/>
    </row>
    <row r="337" spans="3:4">
      <c r="C337" s="55"/>
      <c r="D337" s="55"/>
    </row>
    <row r="338" spans="3:4">
      <c r="C338" s="55"/>
      <c r="D338" s="55"/>
    </row>
    <row r="339" spans="3:4">
      <c r="C339" s="55"/>
      <c r="D339" s="55"/>
    </row>
    <row r="340" spans="3:4">
      <c r="C340" s="55"/>
      <c r="D340" s="55"/>
    </row>
    <row r="341" spans="3:4">
      <c r="C341" s="55"/>
      <c r="D341" s="55"/>
    </row>
    <row r="342" spans="3:4">
      <c r="C342" s="55"/>
      <c r="D342" s="55"/>
    </row>
    <row r="343" spans="3:4">
      <c r="C343" s="55"/>
      <c r="D343" s="55"/>
    </row>
    <row r="344" spans="3:4">
      <c r="C344" s="55"/>
      <c r="D344" s="55"/>
    </row>
    <row r="345" spans="3:4">
      <c r="C345" s="55"/>
      <c r="D345" s="55"/>
    </row>
    <row r="346" spans="3:4">
      <c r="C346" s="55"/>
      <c r="D346" s="55"/>
    </row>
    <row r="347" spans="3:4">
      <c r="C347" s="55"/>
      <c r="D347" s="55"/>
    </row>
    <row r="348" spans="3:4">
      <c r="C348" s="55"/>
      <c r="D348" s="55"/>
    </row>
    <row r="349" spans="3:4">
      <c r="C349" s="55"/>
      <c r="D349" s="55"/>
    </row>
    <row r="350" spans="3:4">
      <c r="C350" s="55"/>
      <c r="D350" s="55"/>
    </row>
    <row r="351" spans="3:4">
      <c r="C351" s="55"/>
      <c r="D351" s="55"/>
    </row>
    <row r="352" spans="3:4">
      <c r="C352" s="55"/>
      <c r="D352" s="55"/>
    </row>
    <row r="353" spans="3:4">
      <c r="C353" s="55"/>
      <c r="D353" s="55"/>
    </row>
    <row r="354" spans="3:4">
      <c r="C354" s="55"/>
      <c r="D354" s="55"/>
    </row>
    <row r="355" spans="3:4">
      <c r="C355" s="55"/>
      <c r="D355" s="55"/>
    </row>
    <row r="356" spans="3:4">
      <c r="C356" s="55"/>
      <c r="D356" s="55"/>
    </row>
    <row r="357" spans="3:4">
      <c r="C357" s="55"/>
      <c r="D357" s="55"/>
    </row>
    <row r="358" spans="3:4">
      <c r="C358" s="55"/>
      <c r="D358" s="55"/>
    </row>
    <row r="359" spans="3:4">
      <c r="C359" s="55"/>
      <c r="D359" s="55"/>
    </row>
    <row r="360" spans="3:4">
      <c r="C360" s="55"/>
      <c r="D360" s="55"/>
    </row>
    <row r="361" spans="3:4">
      <c r="C361" s="55"/>
      <c r="D361" s="55"/>
    </row>
    <row r="362" spans="3:4">
      <c r="C362" s="55"/>
      <c r="D362" s="55"/>
    </row>
    <row r="363" spans="3:4">
      <c r="C363" s="55"/>
      <c r="D363" s="55"/>
    </row>
    <row r="364" spans="3:4">
      <c r="C364" s="55"/>
      <c r="D364" s="55"/>
    </row>
    <row r="365" spans="3:4">
      <c r="C365" s="55"/>
      <c r="D365" s="55"/>
    </row>
    <row r="366" spans="3:4">
      <c r="C366" s="55"/>
      <c r="D366" s="55"/>
    </row>
    <row r="367" spans="3:4">
      <c r="C367" s="55"/>
      <c r="D367" s="55"/>
    </row>
    <row r="368" spans="3:4">
      <c r="C368" s="55"/>
      <c r="D368" s="55"/>
    </row>
    <row r="369" spans="3:4">
      <c r="C369" s="55"/>
      <c r="D369" s="55"/>
    </row>
    <row r="370" spans="3:4">
      <c r="C370" s="55"/>
      <c r="D370" s="55"/>
    </row>
    <row r="371" spans="3:4">
      <c r="C371" s="55"/>
      <c r="D371" s="55"/>
    </row>
    <row r="372" spans="3:4">
      <c r="C372" s="55"/>
      <c r="D372" s="55"/>
    </row>
    <row r="373" spans="3:4">
      <c r="C373" s="55"/>
      <c r="D373" s="55"/>
    </row>
    <row r="374" spans="3:4">
      <c r="C374" s="55"/>
      <c r="D374" s="55"/>
    </row>
    <row r="375" spans="3:4">
      <c r="C375" s="55"/>
      <c r="D375" s="55"/>
    </row>
    <row r="376" spans="3:4">
      <c r="C376" s="55"/>
      <c r="D376" s="55"/>
    </row>
    <row r="377" spans="3:4">
      <c r="C377" s="55"/>
      <c r="D377" s="55"/>
    </row>
    <row r="378" spans="3:4">
      <c r="C378" s="55"/>
      <c r="D378" s="55"/>
    </row>
    <row r="379" spans="3:4">
      <c r="C379" s="55"/>
      <c r="D379" s="55"/>
    </row>
    <row r="380" spans="3:4">
      <c r="C380" s="55"/>
      <c r="D380" s="55"/>
    </row>
    <row r="381" spans="3:4">
      <c r="C381" s="55"/>
      <c r="D381" s="55"/>
    </row>
    <row r="382" spans="3:4">
      <c r="C382" s="55"/>
      <c r="D382" s="55"/>
    </row>
    <row r="383" spans="3:4">
      <c r="C383" s="55"/>
      <c r="D383" s="55"/>
    </row>
    <row r="384" spans="3:4">
      <c r="C384" s="55"/>
      <c r="D384" s="55"/>
    </row>
    <row r="385" spans="3:4">
      <c r="C385" s="55"/>
      <c r="D385" s="55"/>
    </row>
    <row r="386" spans="3:4">
      <c r="C386" s="55"/>
      <c r="D386" s="55"/>
    </row>
    <row r="387" spans="3:4">
      <c r="C387" s="55"/>
      <c r="D387" s="55"/>
    </row>
    <row r="388" spans="3:4">
      <c r="C388" s="55"/>
      <c r="D388" s="55"/>
    </row>
    <row r="389" spans="3:4">
      <c r="C389" s="55"/>
      <c r="D389" s="55"/>
    </row>
    <row r="390" spans="3:4">
      <c r="C390" s="55"/>
      <c r="D390" s="55"/>
    </row>
    <row r="391" spans="3:4">
      <c r="C391" s="55"/>
      <c r="D391" s="55"/>
    </row>
    <row r="392" spans="3:4">
      <c r="C392" s="55"/>
      <c r="D392" s="55"/>
    </row>
    <row r="393" spans="3:4">
      <c r="C393" s="55"/>
      <c r="D393" s="55"/>
    </row>
    <row r="394" spans="3:4">
      <c r="C394" s="55"/>
      <c r="D394" s="55"/>
    </row>
    <row r="395" spans="3:4">
      <c r="C395" s="55"/>
      <c r="D395" s="55"/>
    </row>
    <row r="396" spans="3:4">
      <c r="C396" s="55"/>
      <c r="D396" s="55"/>
    </row>
    <row r="397" spans="3:4">
      <c r="C397" s="55"/>
      <c r="D397" s="55"/>
    </row>
    <row r="398" spans="3:4">
      <c r="C398" s="55"/>
      <c r="D398" s="55"/>
    </row>
    <row r="399" spans="3:4">
      <c r="C399" s="55"/>
      <c r="D399" s="55"/>
    </row>
    <row r="400" spans="3:4">
      <c r="C400" s="55"/>
      <c r="D400" s="55"/>
    </row>
    <row r="401" spans="3:4">
      <c r="C401" s="55"/>
      <c r="D401" s="55"/>
    </row>
    <row r="402" spans="3:4">
      <c r="C402" s="55"/>
      <c r="D402" s="55"/>
    </row>
    <row r="403" spans="3:4">
      <c r="C403" s="55"/>
      <c r="D403" s="55"/>
    </row>
    <row r="404" spans="3:4">
      <c r="C404" s="55"/>
      <c r="D404" s="55"/>
    </row>
    <row r="405" spans="3:4">
      <c r="C405" s="55"/>
      <c r="D405" s="55"/>
    </row>
    <row r="406" spans="3:4">
      <c r="C406" s="55"/>
      <c r="D406" s="55"/>
    </row>
    <row r="407" spans="3:4">
      <c r="C407" s="55"/>
      <c r="D407" s="55"/>
    </row>
    <row r="408" spans="3:4">
      <c r="C408" s="55"/>
      <c r="D408" s="55"/>
    </row>
    <row r="409" spans="3:4">
      <c r="C409" s="55"/>
      <c r="D409" s="55"/>
    </row>
    <row r="410" spans="3:4">
      <c r="C410" s="55"/>
      <c r="D410" s="55"/>
    </row>
    <row r="411" spans="3:4">
      <c r="C411" s="55"/>
      <c r="D411" s="55"/>
    </row>
    <row r="412" spans="3:4">
      <c r="C412" s="55"/>
      <c r="D412" s="55"/>
    </row>
    <row r="413" spans="3:4">
      <c r="C413" s="55"/>
      <c r="D413" s="55"/>
    </row>
    <row r="414" spans="3:4">
      <c r="C414" s="55"/>
      <c r="D414" s="55"/>
    </row>
    <row r="415" spans="3:4">
      <c r="C415" s="55"/>
      <c r="D415" s="55"/>
    </row>
    <row r="416" spans="3:4">
      <c r="C416" s="55"/>
      <c r="D416" s="55"/>
    </row>
    <row r="417" spans="3:4">
      <c r="C417" s="55"/>
      <c r="D417" s="55"/>
    </row>
    <row r="418" spans="3:4">
      <c r="C418" s="55"/>
      <c r="D418" s="55"/>
    </row>
    <row r="419" spans="3:4">
      <c r="C419" s="55"/>
      <c r="D419" s="55"/>
    </row>
    <row r="420" spans="3:4">
      <c r="C420" s="55"/>
      <c r="D420" s="55"/>
    </row>
    <row r="421" spans="3:4">
      <c r="C421" s="55"/>
      <c r="D421" s="55"/>
    </row>
    <row r="422" spans="3:4">
      <c r="C422" s="55"/>
      <c r="D422" s="55"/>
    </row>
    <row r="423" spans="3:4">
      <c r="C423" s="55"/>
      <c r="D423" s="55"/>
    </row>
    <row r="424" spans="3:4">
      <c r="C424" s="55"/>
      <c r="D424" s="55"/>
    </row>
    <row r="425" spans="3:4">
      <c r="C425" s="55"/>
      <c r="D425" s="55"/>
    </row>
    <row r="426" spans="3:4">
      <c r="C426" s="55"/>
      <c r="D426" s="55"/>
    </row>
    <row r="427" spans="3:4">
      <c r="C427" s="55"/>
      <c r="D427" s="55"/>
    </row>
    <row r="428" spans="3:4">
      <c r="C428" s="55"/>
      <c r="D428" s="55"/>
    </row>
    <row r="429" spans="3:4">
      <c r="C429" s="55"/>
      <c r="D429" s="55"/>
    </row>
    <row r="430" spans="3:4">
      <c r="C430" s="55"/>
      <c r="D430" s="55"/>
    </row>
    <row r="431" spans="3:4">
      <c r="C431" s="55"/>
      <c r="D431" s="55"/>
    </row>
    <row r="432" spans="3:4">
      <c r="C432" s="55"/>
      <c r="D432" s="55"/>
    </row>
    <row r="433" spans="3:4">
      <c r="C433" s="55"/>
      <c r="D433" s="55"/>
    </row>
    <row r="434" spans="3:4">
      <c r="C434" s="55"/>
      <c r="D434" s="55"/>
    </row>
    <row r="435" spans="3:4">
      <c r="C435" s="55"/>
      <c r="D435" s="55"/>
    </row>
    <row r="436" spans="3:4">
      <c r="C436" s="55"/>
      <c r="D436" s="55"/>
    </row>
    <row r="437" spans="3:4">
      <c r="C437" s="55"/>
      <c r="D437" s="55"/>
    </row>
    <row r="438" spans="3:4">
      <c r="C438" s="55"/>
      <c r="D438" s="55"/>
    </row>
    <row r="439" spans="3:4">
      <c r="C439" s="55"/>
      <c r="D439" s="55"/>
    </row>
    <row r="440" spans="3:4">
      <c r="C440" s="55"/>
      <c r="D440" s="55"/>
    </row>
    <row r="441" spans="3:4">
      <c r="C441" s="55"/>
      <c r="D441" s="55"/>
    </row>
    <row r="442" spans="3:4">
      <c r="C442" s="55"/>
      <c r="D442" s="55"/>
    </row>
    <row r="443" spans="3:4">
      <c r="C443" s="55"/>
      <c r="D443" s="55"/>
    </row>
    <row r="444" spans="3:4">
      <c r="C444" s="55"/>
      <c r="D444" s="55"/>
    </row>
    <row r="445" spans="3:4">
      <c r="C445" s="55"/>
      <c r="D445" s="55"/>
    </row>
    <row r="446" spans="3:4">
      <c r="C446" s="55"/>
      <c r="D446" s="55"/>
    </row>
    <row r="447" spans="3:4">
      <c r="C447" s="55"/>
      <c r="D447" s="55"/>
    </row>
    <row r="448" spans="3:4">
      <c r="C448" s="55"/>
      <c r="D448" s="55"/>
    </row>
    <row r="449" spans="3:4">
      <c r="C449" s="55"/>
      <c r="D449" s="55"/>
    </row>
    <row r="450" spans="3:4">
      <c r="C450" s="55"/>
      <c r="D450" s="55"/>
    </row>
    <row r="451" spans="3:4">
      <c r="C451" s="55"/>
      <c r="D451" s="55"/>
    </row>
    <row r="452" spans="3:4">
      <c r="C452" s="55"/>
      <c r="D452" s="55"/>
    </row>
    <row r="453" spans="3:4">
      <c r="C453" s="55"/>
      <c r="D453" s="55"/>
    </row>
    <row r="454" spans="3:4">
      <c r="C454" s="55"/>
      <c r="D454" s="55"/>
    </row>
    <row r="455" spans="3:4">
      <c r="C455" s="55"/>
      <c r="D455" s="55"/>
    </row>
    <row r="456" spans="3:4">
      <c r="C456" s="55"/>
      <c r="D456" s="55"/>
    </row>
    <row r="457" spans="3:4">
      <c r="C457" s="55"/>
      <c r="D457" s="55"/>
    </row>
    <row r="458" spans="3:4">
      <c r="C458" s="55"/>
      <c r="D458" s="55"/>
    </row>
    <row r="459" spans="3:4">
      <c r="C459" s="55"/>
      <c r="D459" s="55"/>
    </row>
    <row r="460" spans="3:4">
      <c r="C460" s="55"/>
      <c r="D460" s="55"/>
    </row>
    <row r="461" spans="3:4">
      <c r="C461" s="55"/>
      <c r="D461" s="55"/>
    </row>
    <row r="462" spans="3:4">
      <c r="C462" s="55"/>
      <c r="D462" s="55"/>
    </row>
    <row r="463" spans="3:4">
      <c r="C463" s="55"/>
      <c r="D463" s="55"/>
    </row>
    <row r="464" spans="3:4">
      <c r="C464" s="55"/>
      <c r="D464" s="55"/>
    </row>
    <row r="465" spans="3:4">
      <c r="C465" s="55"/>
      <c r="D465" s="55"/>
    </row>
    <row r="466" spans="3:4">
      <c r="C466" s="55"/>
      <c r="D466" s="55"/>
    </row>
    <row r="467" spans="3:4">
      <c r="C467" s="55"/>
      <c r="D467" s="55"/>
    </row>
    <row r="468" spans="3:4">
      <c r="C468" s="55"/>
      <c r="D468" s="55"/>
    </row>
    <row r="469" spans="3:4">
      <c r="C469" s="55"/>
      <c r="D469" s="55"/>
    </row>
    <row r="470" spans="3:4">
      <c r="C470" s="55"/>
      <c r="D470" s="55"/>
    </row>
    <row r="471" spans="3:4">
      <c r="C471" s="55"/>
      <c r="D471" s="55"/>
    </row>
    <row r="472" spans="3:4">
      <c r="C472" s="55"/>
      <c r="D472" s="55"/>
    </row>
    <row r="473" spans="3:4">
      <c r="C473" s="55"/>
      <c r="D473" s="55"/>
    </row>
    <row r="474" spans="3:4">
      <c r="C474" s="55"/>
      <c r="D474" s="55"/>
    </row>
    <row r="475" spans="3:4">
      <c r="C475" s="55"/>
      <c r="D475" s="55"/>
    </row>
    <row r="476" spans="3:4">
      <c r="C476" s="55"/>
      <c r="D476" s="55"/>
    </row>
    <row r="477" spans="3:4">
      <c r="C477" s="55"/>
      <c r="D477" s="55"/>
    </row>
    <row r="478" spans="3:4">
      <c r="C478" s="55"/>
      <c r="D478" s="55"/>
    </row>
    <row r="479" spans="3:4">
      <c r="C479" s="55"/>
      <c r="D479" s="55"/>
    </row>
    <row r="480" spans="3:4">
      <c r="C480" s="55"/>
      <c r="D480" s="55"/>
    </row>
    <row r="481" spans="3:4">
      <c r="C481" s="55"/>
      <c r="D481" s="55"/>
    </row>
    <row r="482" spans="3:4">
      <c r="C482" s="55"/>
      <c r="D482" s="55"/>
    </row>
    <row r="483" spans="3:4">
      <c r="C483" s="55"/>
      <c r="D483" s="55"/>
    </row>
    <row r="484" spans="3:4">
      <c r="C484" s="55"/>
      <c r="D484" s="55"/>
    </row>
    <row r="485" spans="3:4">
      <c r="C485" s="55"/>
      <c r="D485" s="55"/>
    </row>
    <row r="486" spans="3:4">
      <c r="C486" s="55"/>
      <c r="D486" s="55"/>
    </row>
    <row r="487" spans="3:4">
      <c r="C487" s="55"/>
      <c r="D487" s="55"/>
    </row>
    <row r="488" spans="3:4">
      <c r="C488" s="55"/>
      <c r="D488" s="55"/>
    </row>
    <row r="489" spans="3:4">
      <c r="C489" s="55"/>
      <c r="D489" s="55"/>
    </row>
    <row r="490" spans="3:4">
      <c r="C490" s="55"/>
      <c r="D490" s="55"/>
    </row>
    <row r="491" spans="3:4">
      <c r="C491" s="55"/>
      <c r="D491" s="55"/>
    </row>
    <row r="492" spans="3:4">
      <c r="C492" s="55"/>
      <c r="D492" s="55"/>
    </row>
    <row r="493" spans="3:4">
      <c r="C493" s="55"/>
      <c r="D493" s="55"/>
    </row>
    <row r="494" spans="3:4">
      <c r="C494" s="55"/>
      <c r="D494" s="55"/>
    </row>
    <row r="495" spans="3:4">
      <c r="C495" s="55"/>
      <c r="D495" s="55"/>
    </row>
    <row r="496" spans="3:4">
      <c r="C496" s="55"/>
      <c r="D496" s="55"/>
    </row>
    <row r="497" spans="3:4">
      <c r="C497" s="55"/>
      <c r="D497" s="55"/>
    </row>
    <row r="498" spans="3:4">
      <c r="C498" s="55"/>
      <c r="D498" s="55"/>
    </row>
    <row r="499" spans="3:4">
      <c r="C499" s="55"/>
      <c r="D499" s="55"/>
    </row>
    <row r="500" spans="3:4">
      <c r="C500" s="55"/>
      <c r="D500" s="55"/>
    </row>
    <row r="501" spans="3:4">
      <c r="C501" s="55"/>
      <c r="D501" s="55"/>
    </row>
    <row r="502" spans="3:4">
      <c r="C502" s="55"/>
      <c r="D502" s="55"/>
    </row>
    <row r="503" spans="3:4">
      <c r="C503" s="55"/>
      <c r="D503" s="55"/>
    </row>
    <row r="504" spans="3:4">
      <c r="C504" s="55"/>
      <c r="D504" s="55"/>
    </row>
    <row r="505" spans="3:4">
      <c r="C505" s="55"/>
      <c r="D505" s="55"/>
    </row>
    <row r="506" spans="3:4">
      <c r="C506" s="55"/>
      <c r="D506" s="55"/>
    </row>
    <row r="507" spans="3:4">
      <c r="C507" s="55"/>
      <c r="D507" s="55"/>
    </row>
    <row r="508" spans="3:4">
      <c r="C508" s="55"/>
      <c r="D508" s="55"/>
    </row>
    <row r="509" spans="3:4">
      <c r="C509" s="55"/>
      <c r="D509" s="55"/>
    </row>
    <row r="510" spans="3:4">
      <c r="C510" s="55"/>
      <c r="D510" s="55"/>
    </row>
    <row r="511" spans="3:4">
      <c r="C511" s="55"/>
      <c r="D511" s="55"/>
    </row>
    <row r="512" spans="3:4">
      <c r="C512" s="55"/>
      <c r="D512" s="55"/>
    </row>
    <row r="513" spans="3:4">
      <c r="C513" s="55"/>
      <c r="D513" s="55"/>
    </row>
    <row r="514" spans="3:4">
      <c r="C514" s="55"/>
      <c r="D514" s="55"/>
    </row>
    <row r="515" spans="3:4">
      <c r="C515" s="55"/>
      <c r="D515" s="55"/>
    </row>
    <row r="516" spans="3:4">
      <c r="C516" s="55"/>
      <c r="D516" s="55"/>
    </row>
    <row r="517" spans="3:4">
      <c r="C517" s="55"/>
      <c r="D517" s="55"/>
    </row>
    <row r="518" spans="3:4">
      <c r="C518" s="55"/>
      <c r="D518" s="55"/>
    </row>
    <row r="519" spans="3:4">
      <c r="C519" s="55"/>
      <c r="D519" s="55"/>
    </row>
    <row r="520" spans="3:4">
      <c r="C520" s="55"/>
      <c r="D520" s="55"/>
    </row>
    <row r="521" spans="3:4">
      <c r="C521" s="55"/>
      <c r="D521" s="55"/>
    </row>
    <row r="522" spans="3:4">
      <c r="C522" s="55"/>
      <c r="D522" s="55"/>
    </row>
    <row r="523" spans="3:4">
      <c r="C523" s="55"/>
      <c r="D523" s="55"/>
    </row>
    <row r="524" spans="3:4">
      <c r="C524" s="55"/>
      <c r="D524" s="55"/>
    </row>
    <row r="525" spans="3:4">
      <c r="C525" s="55"/>
      <c r="D525" s="55"/>
    </row>
    <row r="526" spans="3:4">
      <c r="C526" s="55"/>
      <c r="D526" s="55"/>
    </row>
    <row r="527" spans="3:4">
      <c r="C527" s="55"/>
      <c r="D527" s="55"/>
    </row>
    <row r="528" spans="3:4">
      <c r="C528" s="55"/>
      <c r="D528" s="55"/>
    </row>
    <row r="529" spans="3:4">
      <c r="C529" s="55"/>
      <c r="D529" s="55"/>
    </row>
    <row r="530" spans="3:4">
      <c r="C530" s="55"/>
      <c r="D530" s="55"/>
    </row>
    <row r="531" spans="3:4">
      <c r="C531" s="55"/>
      <c r="D531" s="55"/>
    </row>
    <row r="532" spans="3:4">
      <c r="C532" s="55"/>
      <c r="D532" s="55"/>
    </row>
    <row r="533" spans="3:4">
      <c r="C533" s="55"/>
      <c r="D533" s="55"/>
    </row>
    <row r="534" spans="3:4">
      <c r="C534" s="55"/>
      <c r="D534" s="55"/>
    </row>
    <row r="535" spans="3:4">
      <c r="C535" s="55"/>
      <c r="D535" s="55"/>
    </row>
    <row r="536" spans="3:4">
      <c r="C536" s="55"/>
      <c r="D536" s="55"/>
    </row>
    <row r="537" spans="3:4">
      <c r="C537" s="55"/>
      <c r="D537" s="55"/>
    </row>
    <row r="538" spans="3:4">
      <c r="C538" s="55"/>
      <c r="D538" s="55"/>
    </row>
    <row r="539" spans="3:4">
      <c r="C539" s="55"/>
      <c r="D539" s="55"/>
    </row>
    <row r="540" spans="3:4">
      <c r="C540" s="55"/>
      <c r="D540" s="55"/>
    </row>
    <row r="541" spans="3:4">
      <c r="C541" s="55"/>
      <c r="D541" s="55"/>
    </row>
    <row r="542" spans="3:4">
      <c r="C542" s="55"/>
      <c r="D542" s="55"/>
    </row>
    <row r="543" spans="3:4">
      <c r="C543" s="55"/>
      <c r="D543" s="55"/>
    </row>
    <row r="544" spans="3:4">
      <c r="C544" s="55"/>
      <c r="D544" s="55"/>
    </row>
    <row r="545" spans="3:4">
      <c r="C545" s="55"/>
      <c r="D545" s="55"/>
    </row>
    <row r="546" spans="3:4">
      <c r="C546" s="55"/>
      <c r="D546" s="55"/>
    </row>
    <row r="547" spans="3:4">
      <c r="C547" s="55"/>
      <c r="D547" s="55"/>
    </row>
    <row r="548" spans="3:4">
      <c r="C548" s="55"/>
      <c r="D548" s="55"/>
    </row>
    <row r="549" spans="3:4">
      <c r="C549" s="55"/>
      <c r="D549" s="55"/>
    </row>
    <row r="550" spans="3:4">
      <c r="C550" s="55"/>
      <c r="D550" s="55"/>
    </row>
    <row r="551" spans="3:4">
      <c r="C551" s="55"/>
      <c r="D551" s="55"/>
    </row>
    <row r="552" spans="3:4">
      <c r="C552" s="55"/>
      <c r="D552" s="55"/>
    </row>
    <row r="553" spans="3:4">
      <c r="C553" s="55"/>
      <c r="D553" s="55"/>
    </row>
    <row r="554" spans="3:4">
      <c r="C554" s="55"/>
      <c r="D554" s="55"/>
    </row>
    <row r="555" spans="3:4">
      <c r="C555" s="55"/>
      <c r="D555" s="55"/>
    </row>
    <row r="556" spans="3:4">
      <c r="C556" s="55"/>
      <c r="D556" s="55"/>
    </row>
    <row r="557" spans="3:4">
      <c r="C557" s="55"/>
      <c r="D557" s="55"/>
    </row>
    <row r="558" spans="3:4">
      <c r="C558" s="55"/>
      <c r="D558" s="55"/>
    </row>
    <row r="559" spans="3:4">
      <c r="C559" s="55"/>
      <c r="D559" s="55"/>
    </row>
    <row r="560" spans="3:4">
      <c r="C560" s="55"/>
      <c r="D560" s="55"/>
    </row>
    <row r="561" spans="3:4">
      <c r="C561" s="55"/>
      <c r="D561" s="55"/>
    </row>
    <row r="562" spans="3:4">
      <c r="C562" s="55"/>
      <c r="D562" s="55"/>
    </row>
    <row r="563" spans="3:4">
      <c r="C563" s="55"/>
      <c r="D563" s="55"/>
    </row>
    <row r="564" spans="3:4">
      <c r="C564" s="55"/>
      <c r="D564" s="55"/>
    </row>
    <row r="565" spans="3:4">
      <c r="C565" s="55"/>
      <c r="D565" s="55"/>
    </row>
    <row r="566" spans="3:4">
      <c r="C566" s="55"/>
      <c r="D566" s="55"/>
    </row>
    <row r="567" spans="3:4">
      <c r="C567" s="55"/>
      <c r="D567" s="55"/>
    </row>
    <row r="568" spans="3:4">
      <c r="C568" s="55"/>
      <c r="D568" s="55"/>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28691-E017-42FB-BDB6-777C038F207C}">
  <sheetPr>
    <tabColor rgb="FF92D050"/>
  </sheetPr>
  <dimension ref="A1:E166"/>
  <sheetViews>
    <sheetView topLeftCell="A3" workbookViewId="0">
      <selection activeCell="I16" sqref="I16"/>
    </sheetView>
  </sheetViews>
  <sheetFormatPr defaultRowHeight="12.75"/>
  <cols>
    <col min="2" max="2" width="47.28515625" bestFit="1" customWidth="1"/>
    <col min="3" max="3" width="31" bestFit="1" customWidth="1"/>
    <col min="4" max="4" width="13.85546875" bestFit="1" customWidth="1"/>
    <col min="5" max="5" width="12.7109375" bestFit="1" customWidth="1"/>
  </cols>
  <sheetData>
    <row r="1" spans="1:5" ht="15">
      <c r="B1" s="113" t="s">
        <v>1432</v>
      </c>
      <c r="C1" s="114" t="s">
        <v>1433</v>
      </c>
    </row>
    <row r="3" spans="1:5">
      <c r="A3" t="s">
        <v>1307</v>
      </c>
      <c r="B3" t="s">
        <v>1382</v>
      </c>
      <c r="C3" t="s">
        <v>1438</v>
      </c>
      <c r="D3" t="s">
        <v>1439</v>
      </c>
      <c r="E3" t="s">
        <v>1440</v>
      </c>
    </row>
    <row r="4" spans="1:5">
      <c r="A4" t="s">
        <v>6</v>
      </c>
      <c r="B4" t="s">
        <v>8</v>
      </c>
      <c r="C4" s="55">
        <v>478593</v>
      </c>
      <c r="D4" s="55">
        <v>447850</v>
      </c>
      <c r="E4" s="55">
        <v>30743</v>
      </c>
    </row>
    <row r="5" spans="1:5">
      <c r="A5" t="s">
        <v>9</v>
      </c>
      <c r="B5" t="s">
        <v>10</v>
      </c>
      <c r="C5" s="55">
        <v>62034</v>
      </c>
      <c r="D5" s="55">
        <v>58049</v>
      </c>
      <c r="E5" s="55">
        <v>3985</v>
      </c>
    </row>
    <row r="6" spans="1:5">
      <c r="A6" t="s">
        <v>14</v>
      </c>
      <c r="B6" t="s">
        <v>16</v>
      </c>
      <c r="C6" s="55">
        <v>300697</v>
      </c>
      <c r="D6" s="55">
        <v>285084</v>
      </c>
      <c r="E6" s="55">
        <v>15613</v>
      </c>
    </row>
    <row r="7" spans="1:5">
      <c r="A7" t="s">
        <v>17</v>
      </c>
      <c r="B7" t="s">
        <v>18</v>
      </c>
      <c r="C7" s="55">
        <v>1195206</v>
      </c>
      <c r="D7" s="55">
        <v>1132567</v>
      </c>
      <c r="E7" s="55">
        <v>62639</v>
      </c>
    </row>
    <row r="8" spans="1:5">
      <c r="A8" t="s">
        <v>22</v>
      </c>
      <c r="B8" t="s">
        <v>24</v>
      </c>
      <c r="C8" s="55">
        <v>2810381</v>
      </c>
      <c r="D8" s="55">
        <v>2649798</v>
      </c>
      <c r="E8" s="55">
        <v>160583</v>
      </c>
    </row>
    <row r="9" spans="1:5">
      <c r="A9" t="s">
        <v>25</v>
      </c>
      <c r="B9" t="s">
        <v>26</v>
      </c>
      <c r="C9" s="55">
        <v>2196031</v>
      </c>
      <c r="D9" s="55">
        <v>2064756</v>
      </c>
      <c r="E9" s="55">
        <v>131275</v>
      </c>
    </row>
    <row r="10" spans="1:5">
      <c r="A10" t="s">
        <v>27</v>
      </c>
      <c r="B10" t="s">
        <v>29</v>
      </c>
      <c r="C10" s="55">
        <v>2196478</v>
      </c>
      <c r="D10" s="55">
        <v>2099371</v>
      </c>
      <c r="E10" s="55">
        <v>97107</v>
      </c>
    </row>
    <row r="11" spans="1:5">
      <c r="A11" t="s">
        <v>30</v>
      </c>
      <c r="B11" t="s">
        <v>31</v>
      </c>
      <c r="C11" s="55">
        <v>10486490</v>
      </c>
      <c r="D11" s="55">
        <v>9867245</v>
      </c>
      <c r="E11" s="55">
        <v>619245</v>
      </c>
    </row>
    <row r="12" spans="1:5">
      <c r="A12" t="s">
        <v>32</v>
      </c>
      <c r="B12" t="s">
        <v>33</v>
      </c>
      <c r="C12" s="55">
        <v>2213684</v>
      </c>
      <c r="D12" s="55">
        <v>2118471</v>
      </c>
      <c r="E12" s="55">
        <v>95213</v>
      </c>
    </row>
    <row r="13" spans="1:5">
      <c r="A13" t="s">
        <v>36</v>
      </c>
      <c r="B13" t="s">
        <v>37</v>
      </c>
      <c r="C13" s="55">
        <v>3844558</v>
      </c>
      <c r="D13" s="55">
        <v>3626838</v>
      </c>
      <c r="E13" s="55">
        <v>217720</v>
      </c>
    </row>
    <row r="14" spans="1:5">
      <c r="A14" t="s">
        <v>41</v>
      </c>
      <c r="B14" t="s">
        <v>42</v>
      </c>
      <c r="C14" s="55">
        <v>566925</v>
      </c>
      <c r="D14" s="55">
        <v>533516</v>
      </c>
      <c r="E14" s="55">
        <v>33409</v>
      </c>
    </row>
    <row r="15" spans="1:5">
      <c r="A15" t="s">
        <v>43</v>
      </c>
      <c r="B15" t="s">
        <v>44</v>
      </c>
      <c r="C15" s="55">
        <v>260046</v>
      </c>
      <c r="D15" s="55">
        <v>243993</v>
      </c>
      <c r="E15" s="55">
        <v>16053</v>
      </c>
    </row>
    <row r="16" spans="1:5">
      <c r="A16" t="s">
        <v>45</v>
      </c>
      <c r="B16" t="s">
        <v>47</v>
      </c>
      <c r="C16" s="55">
        <v>1220010</v>
      </c>
      <c r="D16" s="55">
        <v>1156931</v>
      </c>
      <c r="E16" s="55">
        <v>63079</v>
      </c>
    </row>
    <row r="17" spans="1:5">
      <c r="A17" t="s">
        <v>55</v>
      </c>
      <c r="B17" t="s">
        <v>56</v>
      </c>
      <c r="C17" s="55">
        <v>197970</v>
      </c>
      <c r="D17" s="55">
        <v>190087</v>
      </c>
      <c r="E17" s="55">
        <v>7883</v>
      </c>
    </row>
    <row r="18" spans="1:5">
      <c r="A18" t="s">
        <v>57</v>
      </c>
      <c r="B18" t="s">
        <v>58</v>
      </c>
      <c r="C18" s="55">
        <v>2526918</v>
      </c>
      <c r="D18" s="55">
        <v>2367948</v>
      </c>
      <c r="E18" s="55">
        <v>158970</v>
      </c>
    </row>
    <row r="19" spans="1:5">
      <c r="A19" t="s">
        <v>59</v>
      </c>
      <c r="B19" t="s">
        <v>60</v>
      </c>
      <c r="C19" s="55">
        <v>128608</v>
      </c>
      <c r="D19" s="55">
        <v>120346</v>
      </c>
      <c r="E19" s="55">
        <v>8262</v>
      </c>
    </row>
    <row r="20" spans="1:5">
      <c r="A20" t="s">
        <v>65</v>
      </c>
      <c r="B20" t="s">
        <v>66</v>
      </c>
      <c r="C20" s="55">
        <v>217951</v>
      </c>
      <c r="D20" s="55">
        <v>207866</v>
      </c>
      <c r="E20" s="55">
        <v>10085</v>
      </c>
    </row>
    <row r="21" spans="1:5">
      <c r="A21" t="s">
        <v>67</v>
      </c>
      <c r="B21" t="s">
        <v>68</v>
      </c>
      <c r="C21" s="55">
        <v>60715</v>
      </c>
      <c r="D21" s="55">
        <v>57831</v>
      </c>
      <c r="E21" s="55">
        <v>2884</v>
      </c>
    </row>
    <row r="22" spans="1:5">
      <c r="A22" t="s">
        <v>69</v>
      </c>
      <c r="B22" t="s">
        <v>696</v>
      </c>
      <c r="C22" s="55">
        <v>23742</v>
      </c>
      <c r="D22" s="55">
        <v>22512</v>
      </c>
      <c r="E22" s="55">
        <v>1230</v>
      </c>
    </row>
    <row r="23" spans="1:5">
      <c r="A23" t="s">
        <v>73</v>
      </c>
      <c r="B23" t="s">
        <v>74</v>
      </c>
      <c r="C23" s="55">
        <v>2707655</v>
      </c>
      <c r="D23" s="55">
        <v>2576857</v>
      </c>
      <c r="E23" s="55">
        <v>130798</v>
      </c>
    </row>
    <row r="24" spans="1:5">
      <c r="A24" t="s">
        <v>75</v>
      </c>
      <c r="B24" t="s">
        <v>76</v>
      </c>
      <c r="C24" s="55">
        <v>1060253</v>
      </c>
      <c r="D24" s="55">
        <v>1043933</v>
      </c>
      <c r="E24" s="55">
        <v>16320</v>
      </c>
    </row>
    <row r="25" spans="1:5">
      <c r="A25" t="s">
        <v>77</v>
      </c>
      <c r="B25" t="s">
        <v>78</v>
      </c>
      <c r="C25" s="55">
        <v>889736</v>
      </c>
      <c r="D25" s="55">
        <v>842064</v>
      </c>
      <c r="E25" s="55">
        <v>47672</v>
      </c>
    </row>
    <row r="26" spans="1:5">
      <c r="A26" t="s">
        <v>79</v>
      </c>
      <c r="B26" t="s">
        <v>80</v>
      </c>
      <c r="C26" s="55">
        <v>486158</v>
      </c>
      <c r="D26" s="55">
        <v>461229</v>
      </c>
      <c r="E26" s="55">
        <v>24929</v>
      </c>
    </row>
    <row r="27" spans="1:5">
      <c r="A27" t="s">
        <v>81</v>
      </c>
      <c r="B27" t="s">
        <v>82</v>
      </c>
      <c r="C27" s="55">
        <v>385599</v>
      </c>
      <c r="D27" s="55">
        <v>362986</v>
      </c>
      <c r="E27" s="55">
        <v>22613</v>
      </c>
    </row>
    <row r="28" spans="1:5">
      <c r="A28" t="s">
        <v>83</v>
      </c>
      <c r="B28" t="s">
        <v>84</v>
      </c>
      <c r="C28" s="55">
        <v>87673</v>
      </c>
      <c r="D28" s="55">
        <v>83125</v>
      </c>
      <c r="E28" s="55">
        <v>4548</v>
      </c>
    </row>
    <row r="29" spans="1:5">
      <c r="A29" t="s">
        <v>85</v>
      </c>
      <c r="B29" t="s">
        <v>86</v>
      </c>
      <c r="C29" s="55">
        <v>622043</v>
      </c>
      <c r="D29" s="55">
        <v>586138</v>
      </c>
      <c r="E29" s="55">
        <v>35905</v>
      </c>
    </row>
    <row r="30" spans="1:5">
      <c r="A30" t="s">
        <v>91</v>
      </c>
      <c r="B30" t="s">
        <v>697</v>
      </c>
      <c r="C30" s="55">
        <v>2724762</v>
      </c>
      <c r="D30" s="55">
        <v>2610168</v>
      </c>
      <c r="E30" s="55">
        <v>114594</v>
      </c>
    </row>
    <row r="31" spans="1:5">
      <c r="A31" t="s">
        <v>95</v>
      </c>
      <c r="B31" t="s">
        <v>96</v>
      </c>
      <c r="C31" s="55">
        <v>0</v>
      </c>
      <c r="D31" s="55">
        <v>0</v>
      </c>
      <c r="E31" s="55">
        <v>0</v>
      </c>
    </row>
    <row r="32" spans="1:5">
      <c r="A32" t="s">
        <v>101</v>
      </c>
      <c r="B32" t="s">
        <v>1371</v>
      </c>
      <c r="C32" s="55">
        <v>0</v>
      </c>
      <c r="D32" s="55">
        <v>0</v>
      </c>
      <c r="E32" s="55">
        <v>0</v>
      </c>
    </row>
    <row r="33" spans="1:5">
      <c r="A33" t="s">
        <v>105</v>
      </c>
      <c r="B33" t="s">
        <v>106</v>
      </c>
      <c r="C33" s="55">
        <v>45285</v>
      </c>
      <c r="D33" s="55">
        <v>45285</v>
      </c>
      <c r="E33" s="55">
        <v>0</v>
      </c>
    </row>
    <row r="34" spans="1:5">
      <c r="A34" t="s">
        <v>107</v>
      </c>
      <c r="B34" t="s">
        <v>108</v>
      </c>
      <c r="C34" s="55">
        <v>0</v>
      </c>
      <c r="D34" s="55">
        <v>0</v>
      </c>
      <c r="E34" s="55">
        <v>0</v>
      </c>
    </row>
    <row r="35" spans="1:5">
      <c r="A35" t="s">
        <v>109</v>
      </c>
      <c r="B35" t="s">
        <v>110</v>
      </c>
      <c r="C35" s="55">
        <v>14823</v>
      </c>
      <c r="D35" s="55">
        <v>14823</v>
      </c>
      <c r="E35" s="55">
        <v>0</v>
      </c>
    </row>
    <row r="36" spans="1:5">
      <c r="A36" t="s">
        <v>113</v>
      </c>
      <c r="B36" t="s">
        <v>114</v>
      </c>
      <c r="C36" s="55">
        <v>190382</v>
      </c>
      <c r="D36" s="55">
        <v>178152</v>
      </c>
      <c r="E36" s="55">
        <v>12230</v>
      </c>
    </row>
    <row r="37" spans="1:5">
      <c r="A37" t="s">
        <v>115</v>
      </c>
      <c r="B37" t="s">
        <v>116</v>
      </c>
      <c r="C37" s="55">
        <v>59302</v>
      </c>
      <c r="D37" s="55">
        <v>55493</v>
      </c>
      <c r="E37" s="55">
        <v>3809</v>
      </c>
    </row>
    <row r="38" spans="1:5">
      <c r="A38" t="s">
        <v>125</v>
      </c>
      <c r="B38" t="s">
        <v>126</v>
      </c>
      <c r="C38" s="55">
        <v>0</v>
      </c>
      <c r="D38" s="55">
        <v>0</v>
      </c>
      <c r="E38" s="55">
        <v>0</v>
      </c>
    </row>
    <row r="39" spans="1:5">
      <c r="A39" t="s">
        <v>133</v>
      </c>
      <c r="B39" t="s">
        <v>134</v>
      </c>
      <c r="C39" s="55">
        <v>167348</v>
      </c>
      <c r="D39" s="55">
        <v>160089</v>
      </c>
      <c r="E39" s="55">
        <v>7259</v>
      </c>
    </row>
    <row r="40" spans="1:5">
      <c r="A40" t="s">
        <v>137</v>
      </c>
      <c r="B40" t="s">
        <v>1315</v>
      </c>
      <c r="C40" s="55">
        <v>463607</v>
      </c>
      <c r="D40" s="55">
        <v>442993</v>
      </c>
      <c r="E40" s="55">
        <v>20614</v>
      </c>
    </row>
    <row r="41" spans="1:5">
      <c r="A41" t="s">
        <v>139</v>
      </c>
      <c r="B41" t="s">
        <v>1316</v>
      </c>
      <c r="C41" s="55">
        <v>0</v>
      </c>
      <c r="D41" s="55">
        <v>0</v>
      </c>
      <c r="E41" s="55">
        <v>0</v>
      </c>
    </row>
    <row r="42" spans="1:5">
      <c r="A42" t="s">
        <v>141</v>
      </c>
      <c r="B42" t="s">
        <v>142</v>
      </c>
      <c r="C42" s="55">
        <v>426265</v>
      </c>
      <c r="D42" s="55">
        <v>417087</v>
      </c>
      <c r="E42" s="55">
        <v>9178</v>
      </c>
    </row>
    <row r="43" spans="1:5">
      <c r="A43" t="s">
        <v>145</v>
      </c>
      <c r="B43" t="s">
        <v>146</v>
      </c>
      <c r="C43" s="55">
        <v>18932</v>
      </c>
      <c r="D43" s="55">
        <v>18932</v>
      </c>
      <c r="E43" s="55">
        <v>0</v>
      </c>
    </row>
    <row r="44" spans="1:5">
      <c r="A44" t="s">
        <v>147</v>
      </c>
      <c r="B44" t="s">
        <v>148</v>
      </c>
      <c r="C44" s="55">
        <v>6273690</v>
      </c>
      <c r="D44" s="55">
        <v>5899458</v>
      </c>
      <c r="E44" s="55">
        <v>374232</v>
      </c>
    </row>
    <row r="45" spans="1:5">
      <c r="A45" t="s">
        <v>1309</v>
      </c>
      <c r="B45" t="s">
        <v>712</v>
      </c>
      <c r="C45" s="55">
        <v>5447255</v>
      </c>
      <c r="D45" s="55">
        <v>5157603</v>
      </c>
      <c r="E45" s="55">
        <v>289652</v>
      </c>
    </row>
    <row r="46" spans="1:5">
      <c r="A46" t="s">
        <v>151</v>
      </c>
      <c r="B46" t="s">
        <v>152</v>
      </c>
      <c r="C46" s="55">
        <v>0</v>
      </c>
      <c r="D46" s="55">
        <v>0</v>
      </c>
      <c r="E46" s="55">
        <v>0</v>
      </c>
    </row>
    <row r="47" spans="1:5">
      <c r="A47" t="s">
        <v>153</v>
      </c>
      <c r="B47" t="s">
        <v>154</v>
      </c>
      <c r="C47" s="55">
        <v>36022</v>
      </c>
      <c r="D47" s="55">
        <v>34734</v>
      </c>
      <c r="E47" s="55">
        <v>1288</v>
      </c>
    </row>
    <row r="48" spans="1:5">
      <c r="A48" t="s">
        <v>157</v>
      </c>
      <c r="B48" t="s">
        <v>158</v>
      </c>
      <c r="C48" s="55">
        <v>1587025</v>
      </c>
      <c r="D48" s="55">
        <v>1489555</v>
      </c>
      <c r="E48" s="55">
        <v>97470</v>
      </c>
    </row>
    <row r="49" spans="1:5">
      <c r="A49" t="s">
        <v>165</v>
      </c>
      <c r="B49" t="s">
        <v>166</v>
      </c>
      <c r="C49" s="55">
        <v>7691131</v>
      </c>
      <c r="D49" s="55">
        <v>7225397</v>
      </c>
      <c r="E49" s="55">
        <v>465734</v>
      </c>
    </row>
    <row r="50" spans="1:5">
      <c r="A50" t="s">
        <v>167</v>
      </c>
      <c r="B50" t="s">
        <v>1317</v>
      </c>
      <c r="C50" s="55">
        <v>2875258</v>
      </c>
      <c r="D50" s="55">
        <v>2777567</v>
      </c>
      <c r="E50" s="55">
        <v>97691</v>
      </c>
    </row>
    <row r="51" spans="1:5">
      <c r="A51" t="s">
        <v>171</v>
      </c>
      <c r="B51" t="s">
        <v>172</v>
      </c>
      <c r="C51" s="55">
        <v>4822731</v>
      </c>
      <c r="D51" s="55">
        <v>4576512</v>
      </c>
      <c r="E51" s="55">
        <v>246219</v>
      </c>
    </row>
    <row r="52" spans="1:5">
      <c r="A52" t="s">
        <v>173</v>
      </c>
      <c r="B52" t="s">
        <v>174</v>
      </c>
      <c r="C52" s="55">
        <v>1029709</v>
      </c>
      <c r="D52" s="55">
        <v>969380</v>
      </c>
      <c r="E52" s="55">
        <v>60329</v>
      </c>
    </row>
    <row r="53" spans="1:5">
      <c r="A53" t="s">
        <v>175</v>
      </c>
      <c r="B53" t="s">
        <v>176</v>
      </c>
      <c r="C53" s="55">
        <v>861127</v>
      </c>
      <c r="D53" s="55">
        <v>811105</v>
      </c>
      <c r="E53" s="55">
        <v>50022</v>
      </c>
    </row>
    <row r="54" spans="1:5">
      <c r="A54" t="s">
        <v>179</v>
      </c>
      <c r="B54" t="s">
        <v>180</v>
      </c>
      <c r="C54" s="55">
        <v>1187630</v>
      </c>
      <c r="D54" s="55">
        <v>1127516</v>
      </c>
      <c r="E54" s="55">
        <v>60114</v>
      </c>
    </row>
    <row r="55" spans="1:5">
      <c r="A55" t="s">
        <v>189</v>
      </c>
      <c r="B55" t="s">
        <v>190</v>
      </c>
      <c r="C55" s="55">
        <v>70087</v>
      </c>
      <c r="D55" s="55">
        <v>67413</v>
      </c>
      <c r="E55" s="55">
        <v>2674</v>
      </c>
    </row>
    <row r="56" spans="1:5">
      <c r="A56" t="s">
        <v>195</v>
      </c>
      <c r="B56" t="s">
        <v>196</v>
      </c>
      <c r="C56" s="55">
        <v>1615212</v>
      </c>
      <c r="D56" s="55">
        <v>1523041</v>
      </c>
      <c r="E56" s="55">
        <v>92171</v>
      </c>
    </row>
    <row r="57" spans="1:5">
      <c r="A57" t="s">
        <v>197</v>
      </c>
      <c r="B57" t="s">
        <v>198</v>
      </c>
      <c r="C57" s="55">
        <v>45834</v>
      </c>
      <c r="D57" s="55">
        <v>43604</v>
      </c>
      <c r="E57" s="55">
        <v>2230</v>
      </c>
    </row>
    <row r="58" spans="1:5">
      <c r="A58" t="s">
        <v>203</v>
      </c>
      <c r="B58" t="s">
        <v>204</v>
      </c>
      <c r="C58" s="55">
        <v>238378</v>
      </c>
      <c r="D58" s="55">
        <v>223065</v>
      </c>
      <c r="E58" s="55">
        <v>15313</v>
      </c>
    </row>
    <row r="59" spans="1:5">
      <c r="A59" t="s">
        <v>205</v>
      </c>
      <c r="B59" t="s">
        <v>206</v>
      </c>
      <c r="C59" s="55">
        <v>0</v>
      </c>
      <c r="D59" s="55">
        <v>0</v>
      </c>
      <c r="E59" s="55">
        <v>0</v>
      </c>
    </row>
    <row r="60" spans="1:5">
      <c r="A60" t="s">
        <v>209</v>
      </c>
      <c r="B60" t="s">
        <v>210</v>
      </c>
      <c r="C60" s="55">
        <v>4805682</v>
      </c>
      <c r="D60" s="55">
        <v>4512417</v>
      </c>
      <c r="E60" s="55">
        <v>293265</v>
      </c>
    </row>
    <row r="61" spans="1:5">
      <c r="A61" t="s">
        <v>211</v>
      </c>
      <c r="B61" t="s">
        <v>212</v>
      </c>
      <c r="C61" s="55">
        <v>673295</v>
      </c>
      <c r="D61" s="55">
        <v>631832</v>
      </c>
      <c r="E61" s="55">
        <v>41463</v>
      </c>
    </row>
    <row r="62" spans="1:5">
      <c r="A62" t="s">
        <v>213</v>
      </c>
      <c r="B62" t="s">
        <v>214</v>
      </c>
      <c r="C62" s="55">
        <v>76942</v>
      </c>
      <c r="D62" s="55">
        <v>72981</v>
      </c>
      <c r="E62" s="55">
        <v>3961</v>
      </c>
    </row>
    <row r="63" spans="1:5">
      <c r="A63" t="s">
        <v>215</v>
      </c>
      <c r="B63" t="s">
        <v>216</v>
      </c>
      <c r="C63" s="55">
        <v>45391</v>
      </c>
      <c r="D63" s="55">
        <v>45391</v>
      </c>
      <c r="E63" s="55">
        <v>0</v>
      </c>
    </row>
    <row r="64" spans="1:5">
      <c r="A64" t="s">
        <v>217</v>
      </c>
      <c r="B64" t="s">
        <v>883</v>
      </c>
      <c r="C64" s="55">
        <v>13989</v>
      </c>
      <c r="D64" s="55">
        <v>13989</v>
      </c>
      <c r="E64" s="55">
        <v>0</v>
      </c>
    </row>
    <row r="65" spans="1:5">
      <c r="A65" t="s">
        <v>219</v>
      </c>
      <c r="B65" t="s">
        <v>827</v>
      </c>
      <c r="C65" s="55">
        <v>53266</v>
      </c>
      <c r="D65" s="55">
        <v>53266</v>
      </c>
      <c r="E65" s="55">
        <v>0</v>
      </c>
    </row>
    <row r="66" spans="1:5">
      <c r="A66" t="s">
        <v>221</v>
      </c>
      <c r="B66" t="s">
        <v>828</v>
      </c>
      <c r="C66" s="55">
        <v>6244</v>
      </c>
      <c r="D66" s="55">
        <v>6244</v>
      </c>
      <c r="E66" s="55">
        <v>0</v>
      </c>
    </row>
    <row r="67" spans="1:5">
      <c r="A67" t="s">
        <v>229</v>
      </c>
      <c r="B67" t="s">
        <v>230</v>
      </c>
      <c r="C67" s="55">
        <v>5986739</v>
      </c>
      <c r="D67" s="55">
        <v>5632021</v>
      </c>
      <c r="E67" s="55">
        <v>354718</v>
      </c>
    </row>
    <row r="68" spans="1:5">
      <c r="A68" t="s">
        <v>237</v>
      </c>
      <c r="B68" t="s">
        <v>238</v>
      </c>
      <c r="C68" s="55">
        <v>1083820</v>
      </c>
      <c r="D68" s="55">
        <v>1019312</v>
      </c>
      <c r="E68" s="55">
        <v>64508</v>
      </c>
    </row>
    <row r="69" spans="1:5">
      <c r="A69" t="s">
        <v>239</v>
      </c>
      <c r="B69" t="s">
        <v>240</v>
      </c>
      <c r="C69" s="55">
        <v>593371</v>
      </c>
      <c r="D69" s="55">
        <v>555709</v>
      </c>
      <c r="E69" s="55">
        <v>37662</v>
      </c>
    </row>
    <row r="70" spans="1:5">
      <c r="A70" t="s">
        <v>241</v>
      </c>
      <c r="B70" t="s">
        <v>242</v>
      </c>
      <c r="C70" s="55">
        <v>11528408</v>
      </c>
      <c r="D70" s="55">
        <v>10823124</v>
      </c>
      <c r="E70" s="55">
        <v>705284</v>
      </c>
    </row>
    <row r="71" spans="1:5">
      <c r="A71" t="s">
        <v>251</v>
      </c>
      <c r="B71" t="s">
        <v>252</v>
      </c>
      <c r="C71" s="55">
        <v>788753</v>
      </c>
      <c r="D71" s="55">
        <v>739907</v>
      </c>
      <c r="E71" s="55">
        <v>48846</v>
      </c>
    </row>
    <row r="72" spans="1:5">
      <c r="A72" t="s">
        <v>253</v>
      </c>
      <c r="B72" t="s">
        <v>254</v>
      </c>
      <c r="C72" s="55">
        <v>399403</v>
      </c>
      <c r="D72" s="55">
        <v>374964</v>
      </c>
      <c r="E72" s="55">
        <v>24439</v>
      </c>
    </row>
    <row r="73" spans="1:5">
      <c r="A73" t="s">
        <v>257</v>
      </c>
      <c r="B73" t="s">
        <v>258</v>
      </c>
      <c r="C73" s="55">
        <v>129145</v>
      </c>
      <c r="D73" s="55">
        <v>123603</v>
      </c>
      <c r="E73" s="55">
        <v>5542</v>
      </c>
    </row>
    <row r="74" spans="1:5">
      <c r="A74" t="s">
        <v>261</v>
      </c>
      <c r="B74" t="s">
        <v>262</v>
      </c>
      <c r="C74" s="55">
        <v>3101621</v>
      </c>
      <c r="D74" s="55">
        <v>2936119</v>
      </c>
      <c r="E74" s="55">
        <v>165502</v>
      </c>
    </row>
    <row r="75" spans="1:5">
      <c r="A75" t="s">
        <v>263</v>
      </c>
      <c r="B75" t="s">
        <v>264</v>
      </c>
      <c r="C75" s="55">
        <v>14694783</v>
      </c>
      <c r="D75" s="55">
        <v>13812159</v>
      </c>
      <c r="E75" s="55">
        <v>882624</v>
      </c>
    </row>
    <row r="76" spans="1:5">
      <c r="A76" t="s">
        <v>265</v>
      </c>
      <c r="B76" t="s">
        <v>266</v>
      </c>
      <c r="C76" s="55">
        <v>1083037</v>
      </c>
      <c r="D76" s="55">
        <v>1021715</v>
      </c>
      <c r="E76" s="55">
        <v>61322</v>
      </c>
    </row>
    <row r="77" spans="1:5">
      <c r="A77" t="s">
        <v>273</v>
      </c>
      <c r="B77" t="s">
        <v>274</v>
      </c>
      <c r="C77" s="55">
        <v>1543354</v>
      </c>
      <c r="D77" s="55">
        <v>1461585</v>
      </c>
      <c r="E77" s="55">
        <v>81769</v>
      </c>
    </row>
    <row r="78" spans="1:5">
      <c r="A78" t="s">
        <v>277</v>
      </c>
      <c r="B78" t="s">
        <v>1319</v>
      </c>
      <c r="C78" s="55">
        <v>310221</v>
      </c>
      <c r="D78" s="55">
        <v>290865</v>
      </c>
      <c r="E78" s="55">
        <v>19356</v>
      </c>
    </row>
    <row r="79" spans="1:5">
      <c r="A79" t="s">
        <v>283</v>
      </c>
      <c r="B79" t="s">
        <v>284</v>
      </c>
      <c r="C79" s="55">
        <v>368826</v>
      </c>
      <c r="D79" s="55">
        <v>348205</v>
      </c>
      <c r="E79" s="55">
        <v>20621</v>
      </c>
    </row>
    <row r="80" spans="1:5">
      <c r="A80" t="s">
        <v>285</v>
      </c>
      <c r="B80" t="s">
        <v>286</v>
      </c>
      <c r="C80" s="55">
        <v>151065</v>
      </c>
      <c r="D80" s="55">
        <v>141361</v>
      </c>
      <c r="E80" s="55">
        <v>9704</v>
      </c>
    </row>
    <row r="81" spans="1:5">
      <c r="A81" t="s">
        <v>295</v>
      </c>
      <c r="B81" t="s">
        <v>296</v>
      </c>
      <c r="C81" s="55">
        <v>4438040</v>
      </c>
      <c r="D81" s="55">
        <v>4208474</v>
      </c>
      <c r="E81" s="55">
        <v>229566</v>
      </c>
    </row>
    <row r="82" spans="1:5">
      <c r="A82" t="s">
        <v>297</v>
      </c>
      <c r="B82" t="s">
        <v>298</v>
      </c>
      <c r="C82" s="55">
        <v>66656</v>
      </c>
      <c r="D82" s="55">
        <v>63250</v>
      </c>
      <c r="E82" s="55">
        <v>3406</v>
      </c>
    </row>
    <row r="83" spans="1:5">
      <c r="A83" t="s">
        <v>299</v>
      </c>
      <c r="B83" t="s">
        <v>300</v>
      </c>
      <c r="C83" s="55">
        <v>525683</v>
      </c>
      <c r="D83" s="55">
        <v>493358</v>
      </c>
      <c r="E83" s="55">
        <v>32325</v>
      </c>
    </row>
    <row r="84" spans="1:5">
      <c r="A84" t="s">
        <v>301</v>
      </c>
      <c r="B84" t="s">
        <v>302</v>
      </c>
      <c r="C84" s="55">
        <v>34877</v>
      </c>
      <c r="D84" s="55">
        <v>32637</v>
      </c>
      <c r="E84" s="55">
        <v>2240</v>
      </c>
    </row>
    <row r="85" spans="1:5">
      <c r="A85" t="s">
        <v>303</v>
      </c>
      <c r="B85" t="s">
        <v>304</v>
      </c>
      <c r="C85" s="55">
        <v>1491100</v>
      </c>
      <c r="D85" s="55">
        <v>1399093</v>
      </c>
      <c r="E85" s="55">
        <v>92007</v>
      </c>
    </row>
    <row r="86" spans="1:5">
      <c r="A86" t="s">
        <v>305</v>
      </c>
      <c r="B86" t="s">
        <v>306</v>
      </c>
      <c r="C86" s="55">
        <v>377544</v>
      </c>
      <c r="D86" s="55">
        <v>358375</v>
      </c>
      <c r="E86" s="55">
        <v>19169</v>
      </c>
    </row>
    <row r="87" spans="1:5">
      <c r="A87" t="s">
        <v>311</v>
      </c>
      <c r="B87" t="s">
        <v>312</v>
      </c>
      <c r="C87" s="55">
        <v>2207322</v>
      </c>
      <c r="D87" s="55">
        <v>2073673</v>
      </c>
      <c r="E87" s="55">
        <v>133649</v>
      </c>
    </row>
    <row r="88" spans="1:5">
      <c r="A88" t="s">
        <v>315</v>
      </c>
      <c r="B88" t="s">
        <v>316</v>
      </c>
      <c r="C88" s="55">
        <v>150124</v>
      </c>
      <c r="D88" s="55">
        <v>140481</v>
      </c>
      <c r="E88" s="55">
        <v>9643</v>
      </c>
    </row>
    <row r="89" spans="1:5">
      <c r="A89" t="s">
        <v>317</v>
      </c>
      <c r="B89" t="s">
        <v>318</v>
      </c>
      <c r="C89" s="55">
        <v>0</v>
      </c>
      <c r="D89" s="55">
        <v>0</v>
      </c>
      <c r="E89" s="55">
        <v>0</v>
      </c>
    </row>
    <row r="90" spans="1:5">
      <c r="A90" t="s">
        <v>323</v>
      </c>
      <c r="B90" t="s">
        <v>698</v>
      </c>
      <c r="C90" s="55">
        <v>703730</v>
      </c>
      <c r="D90" s="55">
        <v>660073</v>
      </c>
      <c r="E90" s="55">
        <v>43657</v>
      </c>
    </row>
    <row r="91" spans="1:5">
      <c r="A91" t="s">
        <v>327</v>
      </c>
      <c r="B91" t="s">
        <v>328</v>
      </c>
      <c r="C91" s="55">
        <v>1774144</v>
      </c>
      <c r="D91" s="55">
        <v>1682277</v>
      </c>
      <c r="E91" s="55">
        <v>91867</v>
      </c>
    </row>
    <row r="92" spans="1:5">
      <c r="A92" t="s">
        <v>329</v>
      </c>
      <c r="B92" t="s">
        <v>330</v>
      </c>
      <c r="C92" s="55">
        <v>5082874</v>
      </c>
      <c r="D92" s="55">
        <v>4797429</v>
      </c>
      <c r="E92" s="55">
        <v>285445</v>
      </c>
    </row>
    <row r="93" spans="1:5">
      <c r="A93" t="s">
        <v>331</v>
      </c>
      <c r="B93" t="s">
        <v>332</v>
      </c>
      <c r="C93" s="55">
        <v>0</v>
      </c>
      <c r="D93" s="55">
        <v>0</v>
      </c>
      <c r="E93" s="55">
        <v>0</v>
      </c>
    </row>
    <row r="94" spans="1:5">
      <c r="A94" t="s">
        <v>333</v>
      </c>
      <c r="B94" t="s">
        <v>334</v>
      </c>
      <c r="C94" s="55">
        <v>328868</v>
      </c>
      <c r="D94" s="55">
        <v>307743</v>
      </c>
      <c r="E94" s="55">
        <v>21125</v>
      </c>
    </row>
    <row r="95" spans="1:5">
      <c r="A95" t="s">
        <v>343</v>
      </c>
      <c r="B95" t="s">
        <v>344</v>
      </c>
      <c r="C95" s="55">
        <v>174859</v>
      </c>
      <c r="D95" s="55">
        <v>166368</v>
      </c>
      <c r="E95" s="55">
        <v>8491</v>
      </c>
    </row>
    <row r="96" spans="1:5">
      <c r="A96" t="s">
        <v>345</v>
      </c>
      <c r="B96" t="s">
        <v>346</v>
      </c>
      <c r="C96" s="55">
        <v>53395</v>
      </c>
      <c r="D96" s="55">
        <v>53395</v>
      </c>
      <c r="E96" s="55">
        <v>0</v>
      </c>
    </row>
    <row r="97" spans="1:5">
      <c r="A97" t="s">
        <v>349</v>
      </c>
      <c r="B97" t="s">
        <v>350</v>
      </c>
      <c r="C97" s="55">
        <v>1627978</v>
      </c>
      <c r="D97" s="55">
        <v>1554207</v>
      </c>
      <c r="E97" s="55">
        <v>73771</v>
      </c>
    </row>
    <row r="98" spans="1:5">
      <c r="A98" t="s">
        <v>351</v>
      </c>
      <c r="B98" t="s">
        <v>352</v>
      </c>
      <c r="C98" s="55">
        <v>103188</v>
      </c>
      <c r="D98" s="55">
        <v>97433</v>
      </c>
      <c r="E98" s="55">
        <v>5755</v>
      </c>
    </row>
    <row r="99" spans="1:5">
      <c r="A99" t="s">
        <v>355</v>
      </c>
      <c r="B99" t="s">
        <v>356</v>
      </c>
      <c r="C99" s="55">
        <v>3377388</v>
      </c>
      <c r="D99" s="55">
        <v>3195034</v>
      </c>
      <c r="E99" s="55">
        <v>182354</v>
      </c>
    </row>
    <row r="100" spans="1:5">
      <c r="A100" t="s">
        <v>359</v>
      </c>
      <c r="B100" t="s">
        <v>360</v>
      </c>
      <c r="C100" s="55">
        <v>14106290</v>
      </c>
      <c r="D100" s="55">
        <v>13229759</v>
      </c>
      <c r="E100" s="55">
        <v>876531</v>
      </c>
    </row>
    <row r="101" spans="1:5">
      <c r="A101" t="s">
        <v>361</v>
      </c>
      <c r="B101" t="s">
        <v>362</v>
      </c>
      <c r="C101" s="55">
        <v>218095</v>
      </c>
      <c r="D101" s="55">
        <v>208051</v>
      </c>
      <c r="E101" s="55">
        <v>10044</v>
      </c>
    </row>
    <row r="102" spans="1:5">
      <c r="A102" t="s">
        <v>365</v>
      </c>
      <c r="B102" t="s">
        <v>366</v>
      </c>
      <c r="C102" s="55">
        <v>124418</v>
      </c>
      <c r="D102" s="55">
        <v>116426</v>
      </c>
      <c r="E102" s="55">
        <v>7992</v>
      </c>
    </row>
    <row r="103" spans="1:5">
      <c r="A103" t="s">
        <v>701</v>
      </c>
      <c r="B103" t="s">
        <v>938</v>
      </c>
      <c r="C103" s="55">
        <v>709564</v>
      </c>
      <c r="D103" s="55">
        <v>709564</v>
      </c>
      <c r="E103" s="55">
        <v>0</v>
      </c>
    </row>
    <row r="104" spans="1:5">
      <c r="A104" t="s">
        <v>375</v>
      </c>
      <c r="B104" t="s">
        <v>376</v>
      </c>
      <c r="C104" s="55">
        <v>2379032</v>
      </c>
      <c r="D104" s="55">
        <v>2265651</v>
      </c>
      <c r="E104" s="55">
        <v>113381</v>
      </c>
    </row>
    <row r="105" spans="1:5">
      <c r="A105" t="s">
        <v>379</v>
      </c>
      <c r="B105" t="s">
        <v>380</v>
      </c>
      <c r="C105" s="55">
        <v>154799</v>
      </c>
      <c r="D105" s="55">
        <v>145866</v>
      </c>
      <c r="E105" s="55">
        <v>8933</v>
      </c>
    </row>
    <row r="106" spans="1:5">
      <c r="A106" t="s">
        <v>383</v>
      </c>
      <c r="B106" t="s">
        <v>384</v>
      </c>
      <c r="C106" s="55">
        <v>165873</v>
      </c>
      <c r="D106" s="55">
        <v>157300</v>
      </c>
      <c r="E106" s="55">
        <v>8573</v>
      </c>
    </row>
    <row r="107" spans="1:5">
      <c r="A107" t="s">
        <v>393</v>
      </c>
      <c r="B107" t="s">
        <v>394</v>
      </c>
      <c r="C107" s="55">
        <v>1787877</v>
      </c>
      <c r="D107" s="55">
        <v>1679815</v>
      </c>
      <c r="E107" s="55">
        <v>108062</v>
      </c>
    </row>
    <row r="108" spans="1:5">
      <c r="A108" t="s">
        <v>401</v>
      </c>
      <c r="B108" t="s">
        <v>402</v>
      </c>
      <c r="C108" s="55">
        <v>522123</v>
      </c>
      <c r="D108" s="55">
        <v>497427</v>
      </c>
      <c r="E108" s="55">
        <v>24696</v>
      </c>
    </row>
    <row r="109" spans="1:5">
      <c r="A109" t="s">
        <v>407</v>
      </c>
      <c r="B109" t="s">
        <v>408</v>
      </c>
      <c r="C109" s="55">
        <v>117034</v>
      </c>
      <c r="D109" s="55">
        <v>109516</v>
      </c>
      <c r="E109" s="55">
        <v>7518</v>
      </c>
    </row>
    <row r="110" spans="1:5">
      <c r="A110" t="s">
        <v>409</v>
      </c>
      <c r="B110" t="s">
        <v>410</v>
      </c>
      <c r="C110" s="55">
        <v>2056370</v>
      </c>
      <c r="D110" s="55">
        <v>1938303</v>
      </c>
      <c r="E110" s="55">
        <v>118067</v>
      </c>
    </row>
    <row r="111" spans="1:5">
      <c r="A111" t="s">
        <v>417</v>
      </c>
      <c r="B111" t="s">
        <v>418</v>
      </c>
      <c r="C111" s="55">
        <v>480894</v>
      </c>
      <c r="D111" s="55">
        <v>465369</v>
      </c>
      <c r="E111" s="55">
        <v>15525</v>
      </c>
    </row>
    <row r="112" spans="1:5">
      <c r="A112" t="s">
        <v>419</v>
      </c>
      <c r="B112" t="s">
        <v>420</v>
      </c>
      <c r="C112" s="55">
        <v>282928</v>
      </c>
      <c r="D112" s="55">
        <v>274672</v>
      </c>
      <c r="E112" s="55">
        <v>8256</v>
      </c>
    </row>
    <row r="113" spans="1:5">
      <c r="A113" t="s">
        <v>421</v>
      </c>
      <c r="B113" t="s">
        <v>422</v>
      </c>
      <c r="C113" s="55">
        <v>1839</v>
      </c>
      <c r="D113" s="55">
        <v>1839</v>
      </c>
      <c r="E113" s="55">
        <v>0</v>
      </c>
    </row>
    <row r="114" spans="1:5">
      <c r="A114" t="s">
        <v>425</v>
      </c>
      <c r="B114" t="s">
        <v>426</v>
      </c>
      <c r="C114" s="55">
        <v>246488</v>
      </c>
      <c r="D114" s="55">
        <v>235430</v>
      </c>
      <c r="E114" s="55">
        <v>11058</v>
      </c>
    </row>
    <row r="115" spans="1:5">
      <c r="A115" t="s">
        <v>431</v>
      </c>
      <c r="B115" t="s">
        <v>432</v>
      </c>
      <c r="C115" s="55">
        <v>5898716</v>
      </c>
      <c r="D115" s="55">
        <v>5576780</v>
      </c>
      <c r="E115" s="55">
        <v>321936</v>
      </c>
    </row>
    <row r="116" spans="1:5">
      <c r="A116" t="s">
        <v>435</v>
      </c>
      <c r="B116" t="s">
        <v>436</v>
      </c>
      <c r="C116" s="55">
        <v>81825</v>
      </c>
      <c r="D116" s="55">
        <v>78028</v>
      </c>
      <c r="E116" s="55">
        <v>3797</v>
      </c>
    </row>
    <row r="117" spans="1:5">
      <c r="A117" t="s">
        <v>439</v>
      </c>
      <c r="B117" t="s">
        <v>440</v>
      </c>
      <c r="C117" s="55">
        <v>280555</v>
      </c>
      <c r="D117" s="55">
        <v>266080</v>
      </c>
      <c r="E117" s="55">
        <v>14475</v>
      </c>
    </row>
    <row r="118" spans="1:5">
      <c r="A118" t="s">
        <v>447</v>
      </c>
      <c r="B118" t="s">
        <v>448</v>
      </c>
      <c r="C118" s="55">
        <v>6769</v>
      </c>
      <c r="D118" s="55">
        <v>6769</v>
      </c>
      <c r="E118" s="55">
        <v>0</v>
      </c>
    </row>
    <row r="119" spans="1:5">
      <c r="A119" t="s">
        <v>451</v>
      </c>
      <c r="B119" t="s">
        <v>452</v>
      </c>
      <c r="C119" s="55">
        <v>6507031</v>
      </c>
      <c r="D119" s="55">
        <v>6114750</v>
      </c>
      <c r="E119" s="55">
        <v>392281</v>
      </c>
    </row>
    <row r="120" spans="1:5">
      <c r="A120" t="s">
        <v>453</v>
      </c>
      <c r="B120" t="s">
        <v>454</v>
      </c>
      <c r="C120" s="55">
        <v>0</v>
      </c>
      <c r="D120" s="55">
        <v>0</v>
      </c>
      <c r="E120" s="55">
        <v>0</v>
      </c>
    </row>
    <row r="121" spans="1:5">
      <c r="A121" t="s">
        <v>455</v>
      </c>
      <c r="B121" t="s">
        <v>456</v>
      </c>
      <c r="C121" s="55">
        <v>362323</v>
      </c>
      <c r="D121" s="55">
        <v>346732</v>
      </c>
      <c r="E121" s="55">
        <v>15591</v>
      </c>
    </row>
    <row r="122" spans="1:5">
      <c r="A122" t="s">
        <v>457</v>
      </c>
      <c r="B122" t="s">
        <v>458</v>
      </c>
      <c r="C122" s="55">
        <v>693728</v>
      </c>
      <c r="D122" s="55">
        <v>658829</v>
      </c>
      <c r="E122" s="55">
        <v>34899</v>
      </c>
    </row>
    <row r="123" spans="1:5">
      <c r="A123" t="s">
        <v>463</v>
      </c>
      <c r="B123" t="s">
        <v>464</v>
      </c>
      <c r="C123" s="55">
        <v>639570</v>
      </c>
      <c r="D123" s="55">
        <v>602805</v>
      </c>
      <c r="E123" s="55">
        <v>36765</v>
      </c>
    </row>
    <row r="124" spans="1:5">
      <c r="A124" t="s">
        <v>465</v>
      </c>
      <c r="B124" t="s">
        <v>466</v>
      </c>
      <c r="C124" s="55">
        <v>639736</v>
      </c>
      <c r="D124" s="55">
        <v>600139</v>
      </c>
      <c r="E124" s="55">
        <v>39597</v>
      </c>
    </row>
    <row r="125" spans="1:5">
      <c r="A125" t="s">
        <v>699</v>
      </c>
      <c r="B125" t="s">
        <v>1408</v>
      </c>
      <c r="C125" s="55">
        <v>33916</v>
      </c>
      <c r="D125" s="55">
        <v>31878</v>
      </c>
      <c r="E125" s="55">
        <v>2038</v>
      </c>
    </row>
    <row r="126" spans="1:5">
      <c r="A126" t="s">
        <v>475</v>
      </c>
      <c r="B126" t="s">
        <v>476</v>
      </c>
      <c r="C126" s="55">
        <v>137589</v>
      </c>
      <c r="D126" s="55">
        <v>136350</v>
      </c>
      <c r="E126" s="55">
        <v>1239</v>
      </c>
    </row>
    <row r="127" spans="1:5">
      <c r="A127" t="s">
        <v>477</v>
      </c>
      <c r="B127" t="s">
        <v>478</v>
      </c>
      <c r="C127" s="55">
        <v>80942</v>
      </c>
      <c r="D127" s="55">
        <v>75742</v>
      </c>
      <c r="E127" s="55">
        <v>5200</v>
      </c>
    </row>
    <row r="128" spans="1:5">
      <c r="A128" t="s">
        <v>479</v>
      </c>
      <c r="B128" t="s">
        <v>480</v>
      </c>
      <c r="C128" s="55">
        <v>28700644</v>
      </c>
      <c r="D128" s="55">
        <v>26890047</v>
      </c>
      <c r="E128" s="55">
        <v>1810597</v>
      </c>
    </row>
    <row r="129" spans="1:5">
      <c r="A129" t="s">
        <v>481</v>
      </c>
      <c r="B129" t="s">
        <v>482</v>
      </c>
      <c r="C129" s="55">
        <v>1403445</v>
      </c>
      <c r="D129" s="55">
        <v>1320477</v>
      </c>
      <c r="E129" s="55">
        <v>82968</v>
      </c>
    </row>
    <row r="130" spans="1:5">
      <c r="A130" t="s">
        <v>483</v>
      </c>
      <c r="B130" t="s">
        <v>484</v>
      </c>
      <c r="C130" s="55">
        <v>60334</v>
      </c>
      <c r="D130" s="55">
        <v>57388</v>
      </c>
      <c r="E130" s="55">
        <v>2946</v>
      </c>
    </row>
    <row r="131" spans="1:5">
      <c r="A131" t="s">
        <v>487</v>
      </c>
      <c r="B131" t="s">
        <v>488</v>
      </c>
      <c r="C131" s="55">
        <v>415657</v>
      </c>
      <c r="D131" s="55">
        <v>391825</v>
      </c>
      <c r="E131" s="55">
        <v>23832</v>
      </c>
    </row>
    <row r="132" spans="1:5">
      <c r="A132" t="s">
        <v>491</v>
      </c>
      <c r="B132" t="s">
        <v>492</v>
      </c>
      <c r="C132" s="55">
        <v>666549</v>
      </c>
      <c r="D132" s="55">
        <v>628416</v>
      </c>
      <c r="E132" s="55">
        <v>38133</v>
      </c>
    </row>
    <row r="133" spans="1:5">
      <c r="A133" t="s">
        <v>493</v>
      </c>
      <c r="B133" t="s">
        <v>494</v>
      </c>
      <c r="C133" s="55">
        <v>3400806</v>
      </c>
      <c r="D133" s="55">
        <v>3205552</v>
      </c>
      <c r="E133" s="55">
        <v>195254</v>
      </c>
    </row>
    <row r="134" spans="1:5">
      <c r="A134" t="s">
        <v>499</v>
      </c>
      <c r="B134" t="s">
        <v>500</v>
      </c>
      <c r="C134" s="55">
        <v>2916069</v>
      </c>
      <c r="D134" s="55">
        <v>2741418</v>
      </c>
      <c r="E134" s="55">
        <v>174651</v>
      </c>
    </row>
    <row r="135" spans="1:5">
      <c r="A135" t="s">
        <v>501</v>
      </c>
      <c r="B135" t="s">
        <v>502</v>
      </c>
      <c r="C135" s="55">
        <v>4029834</v>
      </c>
      <c r="D135" s="55">
        <v>3779006</v>
      </c>
      <c r="E135" s="55">
        <v>250828</v>
      </c>
    </row>
    <row r="136" spans="1:5">
      <c r="A136" t="s">
        <v>503</v>
      </c>
      <c r="B136" t="s">
        <v>504</v>
      </c>
      <c r="C136" s="55">
        <v>141933</v>
      </c>
      <c r="D136" s="55">
        <v>132814</v>
      </c>
      <c r="E136" s="55">
        <v>9119</v>
      </c>
    </row>
    <row r="137" spans="1:5">
      <c r="A137" t="s">
        <v>507</v>
      </c>
      <c r="B137" t="s">
        <v>508</v>
      </c>
      <c r="C137" s="55">
        <v>3190644</v>
      </c>
      <c r="D137" s="55">
        <v>3014614</v>
      </c>
      <c r="E137" s="55">
        <v>176030</v>
      </c>
    </row>
    <row r="138" spans="1:5">
      <c r="A138" t="s">
        <v>509</v>
      </c>
      <c r="B138" t="s">
        <v>510</v>
      </c>
      <c r="C138" s="55">
        <v>221175</v>
      </c>
      <c r="D138" s="55">
        <v>206967</v>
      </c>
      <c r="E138" s="55">
        <v>14208</v>
      </c>
    </row>
    <row r="139" spans="1:5">
      <c r="A139" t="s">
        <v>511</v>
      </c>
      <c r="B139" t="s">
        <v>512</v>
      </c>
      <c r="C139" s="55">
        <v>0</v>
      </c>
      <c r="D139" s="55">
        <v>0</v>
      </c>
      <c r="E139" s="55">
        <v>0</v>
      </c>
    </row>
    <row r="140" spans="1:5">
      <c r="A140" t="s">
        <v>513</v>
      </c>
      <c r="B140" t="s">
        <v>514</v>
      </c>
      <c r="C140" s="55">
        <v>1542229</v>
      </c>
      <c r="D140" s="55">
        <v>1505425</v>
      </c>
      <c r="E140" s="55">
        <v>36804</v>
      </c>
    </row>
    <row r="141" spans="1:5">
      <c r="A141" t="s">
        <v>519</v>
      </c>
      <c r="B141" t="s">
        <v>520</v>
      </c>
      <c r="C141" s="55">
        <v>1479278</v>
      </c>
      <c r="D141" s="55">
        <v>1394333</v>
      </c>
      <c r="E141" s="55">
        <v>84945</v>
      </c>
    </row>
    <row r="142" spans="1:5">
      <c r="A142" t="s">
        <v>527</v>
      </c>
      <c r="B142" t="s">
        <v>1322</v>
      </c>
      <c r="C142" s="55">
        <v>405076</v>
      </c>
      <c r="D142" s="55">
        <v>390700</v>
      </c>
      <c r="E142" s="55">
        <v>14376</v>
      </c>
    </row>
    <row r="143" spans="1:5">
      <c r="A143" t="s">
        <v>533</v>
      </c>
      <c r="B143" t="s">
        <v>534</v>
      </c>
      <c r="C143" s="55">
        <v>887874</v>
      </c>
      <c r="D143" s="55">
        <v>830849</v>
      </c>
      <c r="E143" s="55">
        <v>57025</v>
      </c>
    </row>
    <row r="144" spans="1:5">
      <c r="A144" t="s">
        <v>535</v>
      </c>
      <c r="B144" t="s">
        <v>700</v>
      </c>
      <c r="C144" s="55">
        <v>314468</v>
      </c>
      <c r="D144" s="55">
        <v>294267</v>
      </c>
      <c r="E144" s="55">
        <v>20201</v>
      </c>
    </row>
    <row r="145" spans="1:5">
      <c r="A145" t="s">
        <v>543</v>
      </c>
      <c r="B145" t="s">
        <v>1323</v>
      </c>
      <c r="C145" s="55">
        <v>2055913</v>
      </c>
      <c r="D145" s="55">
        <v>1947351</v>
      </c>
      <c r="E145" s="55">
        <v>108562</v>
      </c>
    </row>
    <row r="146" spans="1:5">
      <c r="A146" t="s">
        <v>545</v>
      </c>
      <c r="B146" t="s">
        <v>546</v>
      </c>
      <c r="C146" s="55">
        <v>699444</v>
      </c>
      <c r="D146" s="55">
        <v>654514</v>
      </c>
      <c r="E146" s="55">
        <v>44930</v>
      </c>
    </row>
    <row r="147" spans="1:5">
      <c r="A147" t="s">
        <v>549</v>
      </c>
      <c r="B147" t="s">
        <v>550</v>
      </c>
      <c r="C147" s="55">
        <v>5670765</v>
      </c>
      <c r="D147" s="55">
        <v>5360060</v>
      </c>
      <c r="E147" s="55">
        <v>310705</v>
      </c>
    </row>
    <row r="148" spans="1:5">
      <c r="A148" t="s">
        <v>553</v>
      </c>
      <c r="B148" t="s">
        <v>554</v>
      </c>
      <c r="C148" s="55">
        <v>4533076</v>
      </c>
      <c r="D148" s="55">
        <v>4293072</v>
      </c>
      <c r="E148" s="55">
        <v>240004</v>
      </c>
    </row>
    <row r="149" spans="1:5">
      <c r="A149" t="s">
        <v>557</v>
      </c>
      <c r="B149" t="s">
        <v>558</v>
      </c>
      <c r="C149" s="55">
        <v>16624</v>
      </c>
      <c r="D149" s="55">
        <v>16624</v>
      </c>
      <c r="E149" s="55">
        <v>0</v>
      </c>
    </row>
    <row r="150" spans="1:5">
      <c r="A150" t="s">
        <v>561</v>
      </c>
      <c r="B150" t="s">
        <v>562</v>
      </c>
      <c r="C150" s="55">
        <v>184368</v>
      </c>
      <c r="D150" s="55">
        <v>173610</v>
      </c>
      <c r="E150" s="55">
        <v>10758</v>
      </c>
    </row>
    <row r="151" spans="1:5">
      <c r="A151" t="s">
        <v>573</v>
      </c>
      <c r="B151" t="s">
        <v>574</v>
      </c>
      <c r="C151" s="55">
        <v>697702</v>
      </c>
      <c r="D151" s="55">
        <v>658143</v>
      </c>
      <c r="E151" s="55">
        <v>39559</v>
      </c>
    </row>
    <row r="152" spans="1:5">
      <c r="A152" t="s">
        <v>575</v>
      </c>
      <c r="B152" t="s">
        <v>576</v>
      </c>
      <c r="C152" s="55">
        <v>1491215</v>
      </c>
      <c r="D152" s="55">
        <v>1408062</v>
      </c>
      <c r="E152" s="55">
        <v>83153</v>
      </c>
    </row>
    <row r="153" spans="1:5">
      <c r="A153" t="s">
        <v>579</v>
      </c>
      <c r="B153" t="s">
        <v>580</v>
      </c>
      <c r="C153" s="55">
        <v>967191</v>
      </c>
      <c r="D153" s="55">
        <v>911652</v>
      </c>
      <c r="E153" s="55">
        <v>55539</v>
      </c>
    </row>
    <row r="154" spans="1:5">
      <c r="A154" t="s">
        <v>583</v>
      </c>
      <c r="B154" t="s">
        <v>584</v>
      </c>
      <c r="C154" s="55">
        <v>5351324</v>
      </c>
      <c r="D154" s="55">
        <v>5115587</v>
      </c>
      <c r="E154" s="55">
        <v>235737</v>
      </c>
    </row>
    <row r="155" spans="1:5">
      <c r="A155" t="s">
        <v>585</v>
      </c>
      <c r="B155" t="s">
        <v>586</v>
      </c>
      <c r="C155" s="55">
        <v>159461</v>
      </c>
      <c r="D155" s="55">
        <v>151600</v>
      </c>
      <c r="E155" s="55">
        <v>7861</v>
      </c>
    </row>
    <row r="156" spans="1:5">
      <c r="A156" t="s">
        <v>591</v>
      </c>
      <c r="B156" t="s">
        <v>592</v>
      </c>
      <c r="C156" s="55">
        <v>809857</v>
      </c>
      <c r="D156" s="55">
        <v>757834</v>
      </c>
      <c r="E156" s="55">
        <v>52023</v>
      </c>
    </row>
    <row r="157" spans="1:5">
      <c r="A157" t="s">
        <v>702</v>
      </c>
      <c r="B157" t="s">
        <v>939</v>
      </c>
      <c r="C157" s="55">
        <v>287269</v>
      </c>
      <c r="D157" s="55">
        <v>287269</v>
      </c>
      <c r="E157" s="55">
        <v>0</v>
      </c>
    </row>
    <row r="158" spans="1:5">
      <c r="A158" t="s">
        <v>601</v>
      </c>
      <c r="B158" t="s">
        <v>602</v>
      </c>
      <c r="C158" s="55">
        <v>1057354</v>
      </c>
      <c r="D158" s="55">
        <v>999320</v>
      </c>
      <c r="E158" s="55">
        <v>58034</v>
      </c>
    </row>
    <row r="159" spans="1:5">
      <c r="A159" t="s">
        <v>609</v>
      </c>
      <c r="B159" t="s">
        <v>610</v>
      </c>
      <c r="C159" s="55">
        <v>1043866</v>
      </c>
      <c r="D159" s="55">
        <v>998023</v>
      </c>
      <c r="E159" s="55">
        <v>45843</v>
      </c>
    </row>
    <row r="160" spans="1:5">
      <c r="A160" t="s">
        <v>613</v>
      </c>
      <c r="B160" t="s">
        <v>1324</v>
      </c>
      <c r="C160" s="55">
        <v>360588</v>
      </c>
      <c r="D160" s="55">
        <v>339556</v>
      </c>
      <c r="E160" s="55">
        <v>21032</v>
      </c>
    </row>
    <row r="161" spans="1:5">
      <c r="A161" t="s">
        <v>617</v>
      </c>
      <c r="B161" t="s">
        <v>618</v>
      </c>
      <c r="C161" s="55">
        <v>63725</v>
      </c>
      <c r="D161" s="55">
        <v>59740</v>
      </c>
      <c r="E161" s="55">
        <v>3985</v>
      </c>
    </row>
    <row r="162" spans="1:5">
      <c r="A162" t="s">
        <v>619</v>
      </c>
      <c r="B162" t="s">
        <v>620</v>
      </c>
      <c r="C162" s="55">
        <v>88678</v>
      </c>
      <c r="D162" s="55">
        <v>84767</v>
      </c>
      <c r="E162" s="55">
        <v>3911</v>
      </c>
    </row>
    <row r="163" spans="1:5">
      <c r="A163" t="s">
        <v>631</v>
      </c>
      <c r="B163" t="s">
        <v>632</v>
      </c>
      <c r="C163" s="55">
        <v>197217</v>
      </c>
      <c r="D163" s="55">
        <v>185714</v>
      </c>
      <c r="E163" s="55">
        <v>11503</v>
      </c>
    </row>
    <row r="164" spans="1:5">
      <c r="A164" t="s">
        <v>637</v>
      </c>
      <c r="B164" t="s">
        <v>638</v>
      </c>
      <c r="C164" s="55">
        <v>766731</v>
      </c>
      <c r="D164" s="55">
        <v>732051</v>
      </c>
      <c r="E164" s="55">
        <v>34680</v>
      </c>
    </row>
    <row r="165" spans="1:5">
      <c r="A165" t="s">
        <v>639</v>
      </c>
      <c r="B165" t="s">
        <v>640</v>
      </c>
      <c r="C165" s="55">
        <v>1649572</v>
      </c>
      <c r="D165" s="55">
        <v>1573897</v>
      </c>
      <c r="E165" s="55">
        <v>75675</v>
      </c>
    </row>
    <row r="166" spans="1:5">
      <c r="A166" t="s">
        <v>641</v>
      </c>
      <c r="B166" t="s">
        <v>642</v>
      </c>
      <c r="C166" s="55">
        <v>1096448</v>
      </c>
      <c r="D166" s="55">
        <v>1027955</v>
      </c>
      <c r="E166" s="55">
        <v>68493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300D0-DE7C-4824-AA4F-B6C5DA84C20F}">
  <sheetPr>
    <tabColor rgb="FF92D050"/>
  </sheetPr>
  <dimension ref="A1:F313"/>
  <sheetViews>
    <sheetView workbookViewId="0">
      <selection activeCell="I16" sqref="I16"/>
    </sheetView>
  </sheetViews>
  <sheetFormatPr defaultRowHeight="12.75"/>
  <cols>
    <col min="2" max="2" width="28.7109375" customWidth="1"/>
    <col min="3" max="3" width="14.85546875" bestFit="1" customWidth="1"/>
    <col min="4" max="4" width="13.85546875" bestFit="1" customWidth="1"/>
    <col min="5" max="6" width="12.7109375" bestFit="1" customWidth="1"/>
  </cols>
  <sheetData>
    <row r="1" spans="1:6" ht="15">
      <c r="B1" s="113" t="s">
        <v>1432</v>
      </c>
      <c r="C1" s="114" t="s">
        <v>1434</v>
      </c>
    </row>
    <row r="3" spans="1:6">
      <c r="A3">
        <v>1</v>
      </c>
      <c r="B3">
        <v>2</v>
      </c>
      <c r="C3">
        <v>3</v>
      </c>
      <c r="D3">
        <v>4</v>
      </c>
      <c r="E3">
        <v>5</v>
      </c>
      <c r="F3">
        <v>6</v>
      </c>
    </row>
    <row r="4" spans="1:6">
      <c r="A4" t="s">
        <v>680</v>
      </c>
      <c r="B4" t="s">
        <v>1367</v>
      </c>
      <c r="C4">
        <v>21</v>
      </c>
      <c r="D4">
        <v>24</v>
      </c>
      <c r="E4">
        <v>26</v>
      </c>
      <c r="F4">
        <v>29</v>
      </c>
    </row>
    <row r="5" spans="1:6">
      <c r="A5" t="s">
        <v>603</v>
      </c>
      <c r="B5" t="s">
        <v>604</v>
      </c>
      <c r="C5" s="55">
        <v>208682</v>
      </c>
      <c r="D5" s="55">
        <v>19867</v>
      </c>
      <c r="E5" s="55"/>
      <c r="F5" s="55"/>
    </row>
    <row r="6" spans="1:6">
      <c r="A6" t="s">
        <v>395</v>
      </c>
      <c r="B6" t="s">
        <v>396</v>
      </c>
      <c r="C6" s="55">
        <v>7591592</v>
      </c>
      <c r="D6" s="55">
        <v>1108593</v>
      </c>
      <c r="E6" s="55"/>
      <c r="F6" s="55"/>
    </row>
    <row r="7" spans="1:6">
      <c r="A7" t="s">
        <v>271</v>
      </c>
      <c r="B7" t="s">
        <v>272</v>
      </c>
      <c r="C7" s="55">
        <v>195167</v>
      </c>
      <c r="D7" s="55">
        <v>50000</v>
      </c>
      <c r="E7" s="55"/>
      <c r="F7" s="55"/>
    </row>
    <row r="8" spans="1:6">
      <c r="A8" t="s">
        <v>459</v>
      </c>
      <c r="B8" t="s">
        <v>460</v>
      </c>
      <c r="C8" s="55">
        <v>631658</v>
      </c>
      <c r="D8" s="55">
        <v>56057</v>
      </c>
      <c r="E8" s="55"/>
      <c r="F8" s="55"/>
    </row>
    <row r="9" spans="1:6">
      <c r="A9" t="s">
        <v>87</v>
      </c>
      <c r="B9" t="s">
        <v>88</v>
      </c>
      <c r="C9" s="55">
        <v>7343425</v>
      </c>
      <c r="D9" s="55">
        <v>764870</v>
      </c>
      <c r="E9" s="55"/>
      <c r="F9" s="55"/>
    </row>
    <row r="10" spans="1:6">
      <c r="A10" t="s">
        <v>19</v>
      </c>
      <c r="B10" t="s">
        <v>21</v>
      </c>
      <c r="C10" s="55">
        <v>1387965</v>
      </c>
      <c r="D10" s="55">
        <v>175070</v>
      </c>
      <c r="E10" s="55"/>
      <c r="F10" s="55"/>
    </row>
    <row r="11" spans="1:6">
      <c r="A11" t="s">
        <v>239</v>
      </c>
      <c r="B11" t="s">
        <v>240</v>
      </c>
      <c r="C11" s="55">
        <v>38986086</v>
      </c>
      <c r="D11" s="55">
        <v>3877124</v>
      </c>
      <c r="E11" s="55"/>
      <c r="F11" s="55">
        <v>16214</v>
      </c>
    </row>
    <row r="12" spans="1:6">
      <c r="A12" t="s">
        <v>405</v>
      </c>
      <c r="B12" t="s">
        <v>406</v>
      </c>
      <c r="C12" s="55">
        <v>286273</v>
      </c>
      <c r="D12" s="55">
        <v>45000</v>
      </c>
      <c r="E12" s="55"/>
      <c r="F12" s="55"/>
    </row>
    <row r="13" spans="1:6">
      <c r="A13" t="s">
        <v>245</v>
      </c>
      <c r="B13" t="s">
        <v>246</v>
      </c>
      <c r="C13" s="55">
        <v>2343601</v>
      </c>
      <c r="D13" s="55">
        <v>233564</v>
      </c>
      <c r="E13" s="55"/>
      <c r="F13" s="55"/>
    </row>
    <row r="14" spans="1:6">
      <c r="A14" t="s">
        <v>177</v>
      </c>
      <c r="B14" t="s">
        <v>178</v>
      </c>
      <c r="C14" s="55">
        <v>1721757</v>
      </c>
      <c r="D14" s="55">
        <v>271349</v>
      </c>
      <c r="E14" s="55"/>
      <c r="F14" s="55"/>
    </row>
    <row r="15" spans="1:6">
      <c r="A15" t="s">
        <v>425</v>
      </c>
      <c r="B15" t="s">
        <v>426</v>
      </c>
      <c r="C15" s="55">
        <v>4854700</v>
      </c>
      <c r="D15" s="55">
        <v>660150</v>
      </c>
      <c r="E15" s="55"/>
      <c r="F15" s="55"/>
    </row>
    <row r="16" spans="1:6">
      <c r="A16" t="s">
        <v>455</v>
      </c>
      <c r="B16" t="s">
        <v>456</v>
      </c>
      <c r="C16" s="55">
        <v>36191998</v>
      </c>
      <c r="D16" s="55">
        <v>2515604</v>
      </c>
      <c r="E16" s="55"/>
      <c r="F16" s="55"/>
    </row>
    <row r="17" spans="1:6">
      <c r="A17" t="s">
        <v>289</v>
      </c>
      <c r="B17" t="s">
        <v>290</v>
      </c>
      <c r="C17" s="55">
        <v>1122141</v>
      </c>
      <c r="D17" s="55"/>
      <c r="E17" s="55"/>
      <c r="F17" s="55"/>
    </row>
    <row r="18" spans="1:6">
      <c r="A18" t="s">
        <v>155</v>
      </c>
      <c r="B18" t="s">
        <v>156</v>
      </c>
      <c r="C18" s="55">
        <v>688953</v>
      </c>
      <c r="D18" s="55"/>
      <c r="E18" s="55"/>
      <c r="F18" s="55"/>
    </row>
    <row r="19" spans="1:6">
      <c r="A19" t="s">
        <v>257</v>
      </c>
      <c r="B19" t="s">
        <v>258</v>
      </c>
      <c r="C19" s="55">
        <v>2105023</v>
      </c>
      <c r="D19" s="55">
        <v>289657</v>
      </c>
      <c r="E19" s="55"/>
      <c r="F19" s="55"/>
    </row>
    <row r="20" spans="1:6">
      <c r="A20" t="s">
        <v>65</v>
      </c>
      <c r="B20" t="s">
        <v>66</v>
      </c>
      <c r="C20" s="55">
        <v>2824111</v>
      </c>
      <c r="D20" s="55">
        <v>337620</v>
      </c>
      <c r="E20" s="55"/>
      <c r="F20" s="55"/>
    </row>
    <row r="21" spans="1:6">
      <c r="A21" t="s">
        <v>63</v>
      </c>
      <c r="B21" t="s">
        <v>64</v>
      </c>
      <c r="C21" s="55">
        <v>1915183</v>
      </c>
      <c r="D21" s="55">
        <v>160527</v>
      </c>
      <c r="E21" s="55"/>
      <c r="F21" s="55"/>
    </row>
    <row r="22" spans="1:6">
      <c r="A22" t="s">
        <v>609</v>
      </c>
      <c r="B22" t="s">
        <v>610</v>
      </c>
      <c r="C22" s="55">
        <v>18352696</v>
      </c>
      <c r="D22" s="55">
        <v>1679425</v>
      </c>
      <c r="E22" s="55"/>
      <c r="F22" s="55"/>
    </row>
    <row r="23" spans="1:6">
      <c r="A23" t="s">
        <v>411</v>
      </c>
      <c r="B23" t="s">
        <v>412</v>
      </c>
      <c r="C23" s="55">
        <v>671164</v>
      </c>
      <c r="D23" s="55">
        <v>41115</v>
      </c>
      <c r="E23" s="55"/>
      <c r="F23" s="55"/>
    </row>
    <row r="24" spans="1:6">
      <c r="A24" t="s">
        <v>417</v>
      </c>
      <c r="B24" t="s">
        <v>418</v>
      </c>
      <c r="C24" s="55">
        <v>9987775</v>
      </c>
      <c r="D24" s="55">
        <v>718148</v>
      </c>
      <c r="E24" s="55"/>
      <c r="F24" s="55"/>
    </row>
    <row r="25" spans="1:6">
      <c r="A25" t="s">
        <v>115</v>
      </c>
      <c r="B25" t="s">
        <v>116</v>
      </c>
      <c r="C25" s="55">
        <v>794971</v>
      </c>
      <c r="D25" s="55">
        <v>72985</v>
      </c>
      <c r="E25" s="55"/>
      <c r="F25" s="55"/>
    </row>
    <row r="26" spans="1:6">
      <c r="A26" t="s">
        <v>487</v>
      </c>
      <c r="B26" t="s">
        <v>488</v>
      </c>
      <c r="C26" s="55">
        <v>6973528</v>
      </c>
      <c r="D26" s="55">
        <v>535551</v>
      </c>
      <c r="E26" s="55"/>
      <c r="F26" s="55"/>
    </row>
    <row r="27" spans="1:6">
      <c r="A27" t="s">
        <v>59</v>
      </c>
      <c r="B27" t="s">
        <v>60</v>
      </c>
      <c r="C27" s="55">
        <v>1616236</v>
      </c>
      <c r="D27" s="55">
        <v>120500</v>
      </c>
      <c r="E27" s="55"/>
      <c r="F27" s="55">
        <v>142852</v>
      </c>
    </row>
    <row r="28" spans="1:6">
      <c r="A28" t="s">
        <v>437</v>
      </c>
      <c r="B28" t="s">
        <v>438</v>
      </c>
      <c r="C28" s="55">
        <v>11912060</v>
      </c>
      <c r="D28" s="55">
        <v>731275</v>
      </c>
      <c r="E28" s="55"/>
      <c r="F28" s="55"/>
    </row>
    <row r="29" spans="1:6">
      <c r="A29" t="s">
        <v>583</v>
      </c>
      <c r="B29" t="s">
        <v>584</v>
      </c>
      <c r="C29" s="55">
        <v>92259769</v>
      </c>
      <c r="D29" s="55">
        <v>4880757</v>
      </c>
      <c r="E29" s="55"/>
      <c r="F29" s="55"/>
    </row>
    <row r="30" spans="1:6">
      <c r="A30" t="s">
        <v>211</v>
      </c>
      <c r="B30" t="s">
        <v>212</v>
      </c>
      <c r="C30" s="55">
        <v>4998198</v>
      </c>
      <c r="D30" s="55">
        <v>255778</v>
      </c>
      <c r="E30" s="55"/>
      <c r="F30" s="55"/>
    </row>
    <row r="31" spans="1:6">
      <c r="A31" t="s">
        <v>251</v>
      </c>
      <c r="B31" t="s">
        <v>252</v>
      </c>
      <c r="C31" s="55">
        <v>4293541</v>
      </c>
      <c r="D31" s="55">
        <v>316182</v>
      </c>
      <c r="E31" s="55"/>
      <c r="F31" s="55"/>
    </row>
    <row r="32" spans="1:6">
      <c r="A32" t="s">
        <v>201</v>
      </c>
      <c r="B32" t="s">
        <v>202</v>
      </c>
      <c r="C32" s="55">
        <v>250255</v>
      </c>
      <c r="D32" s="55"/>
      <c r="E32" s="55"/>
      <c r="F32" s="55"/>
    </row>
    <row r="33" spans="1:6">
      <c r="A33" t="s">
        <v>601</v>
      </c>
      <c r="B33" t="s">
        <v>602</v>
      </c>
      <c r="C33" s="55">
        <v>8577772</v>
      </c>
      <c r="D33" s="55">
        <v>621349</v>
      </c>
      <c r="E33" s="55"/>
      <c r="F33" s="55"/>
    </row>
    <row r="34" spans="1:6">
      <c r="A34" t="s">
        <v>167</v>
      </c>
      <c r="B34" t="s">
        <v>168</v>
      </c>
      <c r="C34" s="55">
        <v>75141150</v>
      </c>
      <c r="D34" s="55">
        <v>5361601</v>
      </c>
      <c r="E34" s="55"/>
      <c r="F34" s="55"/>
    </row>
    <row r="35" spans="1:6">
      <c r="A35" t="s">
        <v>57</v>
      </c>
      <c r="B35" t="s">
        <v>58</v>
      </c>
      <c r="C35" s="55">
        <v>17756927</v>
      </c>
      <c r="D35" s="55">
        <v>1278312</v>
      </c>
      <c r="E35" s="55"/>
      <c r="F35" s="55"/>
    </row>
    <row r="36" spans="1:6">
      <c r="A36" t="s">
        <v>27</v>
      </c>
      <c r="B36" t="s">
        <v>29</v>
      </c>
      <c r="C36" s="55">
        <v>36115806</v>
      </c>
      <c r="D36" s="55">
        <v>2570246</v>
      </c>
      <c r="E36" s="55"/>
      <c r="F36" s="55"/>
    </row>
    <row r="37" spans="1:6">
      <c r="A37" t="s">
        <v>457</v>
      </c>
      <c r="B37" t="s">
        <v>458</v>
      </c>
      <c r="C37" s="55">
        <v>10333291</v>
      </c>
      <c r="D37" s="55">
        <v>713010</v>
      </c>
      <c r="E37" s="55"/>
      <c r="F37" s="55"/>
    </row>
    <row r="38" spans="1:6">
      <c r="A38" t="s">
        <v>699</v>
      </c>
      <c r="B38" t="s">
        <v>1430</v>
      </c>
      <c r="C38" s="55">
        <v>375397</v>
      </c>
      <c r="D38" s="55">
        <v>6066</v>
      </c>
      <c r="E38" s="55"/>
      <c r="F38" s="55"/>
    </row>
    <row r="39" spans="1:6">
      <c r="A39" t="s">
        <v>129</v>
      </c>
      <c r="B39" t="s">
        <v>130</v>
      </c>
      <c r="C39" s="55">
        <v>715372</v>
      </c>
      <c r="D39" s="55"/>
      <c r="E39" s="55"/>
      <c r="F39" s="55"/>
    </row>
    <row r="40" spans="1:6">
      <c r="A40" t="s">
        <v>523</v>
      </c>
      <c r="B40" t="s">
        <v>524</v>
      </c>
      <c r="C40" s="55">
        <v>1851998</v>
      </c>
      <c r="D40" s="55"/>
      <c r="E40" s="55"/>
      <c r="F40" s="55"/>
    </row>
    <row r="41" spans="1:6">
      <c r="A41" t="s">
        <v>273</v>
      </c>
      <c r="B41" t="s">
        <v>274</v>
      </c>
      <c r="C41" s="55">
        <v>19809474</v>
      </c>
      <c r="D41" s="55">
        <v>1685886</v>
      </c>
      <c r="E41" s="55"/>
      <c r="F41" s="55"/>
    </row>
    <row r="42" spans="1:6">
      <c r="A42" t="s">
        <v>569</v>
      </c>
      <c r="B42" t="s">
        <v>570</v>
      </c>
      <c r="C42" s="55">
        <v>1259520</v>
      </c>
      <c r="D42" s="55"/>
      <c r="E42" s="55"/>
      <c r="F42" s="55"/>
    </row>
    <row r="43" spans="1:6">
      <c r="A43" t="s">
        <v>67</v>
      </c>
      <c r="B43" t="s">
        <v>68</v>
      </c>
      <c r="C43" s="55">
        <v>3786063</v>
      </c>
      <c r="D43" s="55">
        <v>284056</v>
      </c>
      <c r="E43" s="55"/>
      <c r="F43" s="55"/>
    </row>
    <row r="44" spans="1:6">
      <c r="A44" t="s">
        <v>233</v>
      </c>
      <c r="B44" t="s">
        <v>234</v>
      </c>
      <c r="C44" s="55">
        <v>2720472</v>
      </c>
      <c r="D44" s="55"/>
      <c r="E44" s="55"/>
      <c r="F44" s="55"/>
    </row>
    <row r="45" spans="1:6">
      <c r="A45" t="s">
        <v>637</v>
      </c>
      <c r="B45" t="s">
        <v>638</v>
      </c>
      <c r="C45" s="55">
        <v>7987875</v>
      </c>
      <c r="D45" s="55">
        <v>471779</v>
      </c>
      <c r="E45" s="55"/>
      <c r="F45" s="55"/>
    </row>
    <row r="46" spans="1:6">
      <c r="A46" t="s">
        <v>237</v>
      </c>
      <c r="B46" t="s">
        <v>238</v>
      </c>
      <c r="C46" s="55">
        <v>13918328</v>
      </c>
      <c r="D46" s="55">
        <v>1156362</v>
      </c>
      <c r="E46" s="55"/>
      <c r="F46" s="55"/>
    </row>
    <row r="47" spans="1:6">
      <c r="A47" t="s">
        <v>389</v>
      </c>
      <c r="B47" t="s">
        <v>390</v>
      </c>
      <c r="C47" s="55">
        <v>241204</v>
      </c>
      <c r="D47" s="55"/>
      <c r="E47" s="55"/>
      <c r="F47" s="55"/>
    </row>
    <row r="48" spans="1:6">
      <c r="A48" t="s">
        <v>51</v>
      </c>
      <c r="B48" t="s">
        <v>52</v>
      </c>
      <c r="C48" s="55">
        <v>1250973</v>
      </c>
      <c r="D48" s="55">
        <v>185192</v>
      </c>
      <c r="E48" s="55"/>
      <c r="F48" s="55"/>
    </row>
    <row r="49" spans="1:6">
      <c r="A49" t="s">
        <v>397</v>
      </c>
      <c r="B49" t="s">
        <v>398</v>
      </c>
      <c r="C49" s="55">
        <v>43214</v>
      </c>
      <c r="D49" s="55">
        <v>4574</v>
      </c>
      <c r="E49" s="55"/>
      <c r="F49" s="55"/>
    </row>
    <row r="50" spans="1:6">
      <c r="A50" t="s">
        <v>141</v>
      </c>
      <c r="B50" t="s">
        <v>142</v>
      </c>
      <c r="C50" s="55">
        <v>11933960</v>
      </c>
      <c r="D50" s="55">
        <v>1300871</v>
      </c>
      <c r="E50" s="55"/>
      <c r="F50" s="55"/>
    </row>
    <row r="51" spans="1:6">
      <c r="A51" t="s">
        <v>287</v>
      </c>
      <c r="B51" t="s">
        <v>288</v>
      </c>
      <c r="C51" s="55">
        <v>166778</v>
      </c>
      <c r="D51" s="55"/>
      <c r="E51" s="55"/>
      <c r="F51" s="55"/>
    </row>
    <row r="52" spans="1:6">
      <c r="A52" t="s">
        <v>605</v>
      </c>
      <c r="B52" t="s">
        <v>606</v>
      </c>
      <c r="C52" s="55">
        <v>589747</v>
      </c>
      <c r="D52" s="55"/>
      <c r="E52" s="55"/>
      <c r="F52" s="55"/>
    </row>
    <row r="53" spans="1:6">
      <c r="A53" t="s">
        <v>235</v>
      </c>
      <c r="B53" t="s">
        <v>236</v>
      </c>
      <c r="C53" s="55">
        <v>93079</v>
      </c>
      <c r="D53" s="55">
        <v>10000</v>
      </c>
      <c r="E53" s="55"/>
      <c r="F53" s="55">
        <v>6377</v>
      </c>
    </row>
    <row r="54" spans="1:6">
      <c r="A54" t="s">
        <v>119</v>
      </c>
      <c r="B54" t="s">
        <v>120</v>
      </c>
      <c r="C54" s="55">
        <v>454741</v>
      </c>
      <c r="D54" s="55">
        <v>56278</v>
      </c>
      <c r="E54" s="55"/>
      <c r="F54" s="55"/>
    </row>
    <row r="55" spans="1:6">
      <c r="A55" t="s">
        <v>387</v>
      </c>
      <c r="B55" t="s">
        <v>388</v>
      </c>
      <c r="C55" s="55">
        <v>89993</v>
      </c>
      <c r="D55" s="55">
        <v>13000</v>
      </c>
      <c r="E55" s="55"/>
      <c r="F55" s="55"/>
    </row>
    <row r="56" spans="1:6">
      <c r="A56" t="s">
        <v>223</v>
      </c>
      <c r="B56" t="s">
        <v>224</v>
      </c>
      <c r="C56" s="55">
        <v>525915</v>
      </c>
      <c r="D56" s="55">
        <v>56760</v>
      </c>
      <c r="E56" s="55"/>
      <c r="F56" s="55">
        <v>20000</v>
      </c>
    </row>
    <row r="57" spans="1:6">
      <c r="A57" t="s">
        <v>453</v>
      </c>
      <c r="B57" t="s">
        <v>454</v>
      </c>
      <c r="C57" s="55">
        <v>1128009</v>
      </c>
      <c r="D57" s="55">
        <v>98168</v>
      </c>
      <c r="E57" s="55"/>
      <c r="F57" s="55"/>
    </row>
    <row r="58" spans="1:6">
      <c r="A58" t="s">
        <v>401</v>
      </c>
      <c r="B58" t="s">
        <v>402</v>
      </c>
      <c r="C58" s="55">
        <v>39593255</v>
      </c>
      <c r="D58" s="55">
        <v>4623365</v>
      </c>
      <c r="E58" s="55"/>
      <c r="F58" s="55"/>
    </row>
    <row r="59" spans="1:6">
      <c r="A59" t="s">
        <v>347</v>
      </c>
      <c r="B59" t="s">
        <v>348</v>
      </c>
      <c r="C59" s="55">
        <v>4248144</v>
      </c>
      <c r="D59" s="55">
        <v>456958</v>
      </c>
      <c r="E59" s="55"/>
      <c r="F59" s="55"/>
    </row>
    <row r="60" spans="1:6">
      <c r="A60" t="s">
        <v>521</v>
      </c>
      <c r="B60" t="s">
        <v>522</v>
      </c>
      <c r="C60" s="55">
        <v>31468</v>
      </c>
      <c r="D60" s="55"/>
      <c r="E60" s="55"/>
      <c r="F60" s="55"/>
    </row>
    <row r="61" spans="1:6">
      <c r="A61" t="s">
        <v>231</v>
      </c>
      <c r="B61" t="s">
        <v>232</v>
      </c>
      <c r="C61" s="55">
        <v>137698</v>
      </c>
      <c r="D61" s="55"/>
      <c r="E61" s="55"/>
      <c r="F61" s="55"/>
    </row>
    <row r="62" spans="1:6">
      <c r="A62" t="s">
        <v>415</v>
      </c>
      <c r="B62" t="s">
        <v>416</v>
      </c>
      <c r="C62" s="55">
        <v>771452</v>
      </c>
      <c r="D62" s="55">
        <v>71720</v>
      </c>
      <c r="E62" s="55"/>
      <c r="F62" s="55"/>
    </row>
    <row r="63" spans="1:6">
      <c r="A63" t="s">
        <v>591</v>
      </c>
      <c r="B63" t="s">
        <v>592</v>
      </c>
      <c r="C63" s="55">
        <v>5282445</v>
      </c>
      <c r="D63" s="55">
        <v>584723</v>
      </c>
      <c r="E63" s="55"/>
      <c r="F63" s="55"/>
    </row>
    <row r="64" spans="1:6">
      <c r="A64" t="s">
        <v>439</v>
      </c>
      <c r="B64" t="s">
        <v>440</v>
      </c>
      <c r="C64" s="55">
        <v>6014821</v>
      </c>
      <c r="D64" s="55">
        <v>660202</v>
      </c>
      <c r="E64" s="55"/>
      <c r="F64" s="55"/>
    </row>
    <row r="65" spans="1:6">
      <c r="A65" t="s">
        <v>599</v>
      </c>
      <c r="B65" t="s">
        <v>600</v>
      </c>
      <c r="C65" s="55">
        <v>2081979</v>
      </c>
      <c r="D65" s="55">
        <v>306791</v>
      </c>
      <c r="E65" s="55"/>
      <c r="F65" s="55"/>
    </row>
    <row r="66" spans="1:6">
      <c r="A66" t="s">
        <v>111</v>
      </c>
      <c r="B66" t="s">
        <v>112</v>
      </c>
      <c r="C66" s="55">
        <v>362303</v>
      </c>
      <c r="D66" s="55">
        <v>47638</v>
      </c>
      <c r="E66" s="55"/>
      <c r="F66" s="55"/>
    </row>
    <row r="67" spans="1:6">
      <c r="A67" t="s">
        <v>503</v>
      </c>
      <c r="B67" t="s">
        <v>504</v>
      </c>
      <c r="C67" s="55">
        <v>1717740</v>
      </c>
      <c r="D67" s="55">
        <v>120290</v>
      </c>
      <c r="E67" s="55"/>
      <c r="F67" s="55"/>
    </row>
    <row r="68" spans="1:6">
      <c r="A68" t="s">
        <v>471</v>
      </c>
      <c r="B68" t="s">
        <v>472</v>
      </c>
      <c r="C68" s="55">
        <v>2805121</v>
      </c>
      <c r="D68" s="55">
        <v>318652</v>
      </c>
      <c r="E68" s="55"/>
      <c r="F68" s="55"/>
    </row>
    <row r="69" spans="1:6">
      <c r="A69" t="s">
        <v>317</v>
      </c>
      <c r="B69" t="s">
        <v>318</v>
      </c>
      <c r="C69" s="55">
        <v>21894073</v>
      </c>
      <c r="D69" s="55">
        <v>1903306</v>
      </c>
      <c r="E69" s="55"/>
      <c r="F69" s="55"/>
    </row>
    <row r="70" spans="1:6">
      <c r="A70" t="s">
        <v>159</v>
      </c>
      <c r="B70" t="s">
        <v>160</v>
      </c>
      <c r="C70" s="55">
        <v>5147034</v>
      </c>
      <c r="D70" s="55">
        <v>624513</v>
      </c>
      <c r="E70" s="55"/>
      <c r="F70" s="55"/>
    </row>
    <row r="71" spans="1:6">
      <c r="A71" t="s">
        <v>629</v>
      </c>
      <c r="B71" t="s">
        <v>630</v>
      </c>
      <c r="C71" s="55">
        <v>276370</v>
      </c>
      <c r="D71" s="55">
        <v>26498</v>
      </c>
      <c r="E71" s="55"/>
      <c r="F71" s="55"/>
    </row>
    <row r="72" spans="1:6">
      <c r="A72" t="s">
        <v>189</v>
      </c>
      <c r="B72" t="s">
        <v>190</v>
      </c>
      <c r="C72" s="55">
        <v>1476355</v>
      </c>
      <c r="D72" s="55">
        <v>183974</v>
      </c>
      <c r="E72" s="55"/>
      <c r="F72" s="55">
        <v>4745</v>
      </c>
    </row>
    <row r="73" spans="1:6">
      <c r="A73" t="s">
        <v>6</v>
      </c>
      <c r="B73" t="s">
        <v>8</v>
      </c>
      <c r="C73" s="55">
        <v>9197147</v>
      </c>
      <c r="D73" s="55">
        <v>887127</v>
      </c>
      <c r="E73" s="55"/>
      <c r="F73" s="55"/>
    </row>
    <row r="74" spans="1:6">
      <c r="A74" t="s">
        <v>215</v>
      </c>
      <c r="B74" t="s">
        <v>216</v>
      </c>
      <c r="C74" s="55">
        <v>4479611</v>
      </c>
      <c r="D74" s="55">
        <v>450266</v>
      </c>
      <c r="E74" s="55"/>
      <c r="F74" s="55"/>
    </row>
    <row r="75" spans="1:6">
      <c r="A75" t="s">
        <v>345</v>
      </c>
      <c r="B75" t="s">
        <v>346</v>
      </c>
      <c r="C75" s="55">
        <v>1736236</v>
      </c>
      <c r="D75" s="55">
        <v>146433</v>
      </c>
      <c r="E75" s="55"/>
      <c r="F75" s="55"/>
    </row>
    <row r="76" spans="1:6">
      <c r="A76" t="s">
        <v>297</v>
      </c>
      <c r="B76" t="s">
        <v>298</v>
      </c>
      <c r="C76" s="55">
        <v>1032762</v>
      </c>
      <c r="D76" s="55">
        <v>72201</v>
      </c>
      <c r="E76" s="55"/>
      <c r="F76" s="55"/>
    </row>
    <row r="77" spans="1:6">
      <c r="A77" t="s">
        <v>313</v>
      </c>
      <c r="B77" t="s">
        <v>314</v>
      </c>
      <c r="C77" s="55">
        <v>3791804</v>
      </c>
      <c r="D77" s="55">
        <v>317362</v>
      </c>
      <c r="E77" s="55"/>
      <c r="F77" s="55"/>
    </row>
    <row r="78" spans="1:6">
      <c r="A78" t="s">
        <v>151</v>
      </c>
      <c r="B78" t="s">
        <v>152</v>
      </c>
      <c r="C78" s="55">
        <v>4034221</v>
      </c>
      <c r="D78" s="55">
        <v>448221</v>
      </c>
      <c r="E78" s="55"/>
      <c r="F78" s="55"/>
    </row>
    <row r="79" spans="1:6">
      <c r="A79" t="s">
        <v>551</v>
      </c>
      <c r="B79" t="s">
        <v>552</v>
      </c>
      <c r="C79" s="55">
        <v>505881</v>
      </c>
      <c r="D79" s="55">
        <v>44000</v>
      </c>
      <c r="E79" s="55"/>
      <c r="F79" s="55">
        <v>62483</v>
      </c>
    </row>
    <row r="80" spans="1:6">
      <c r="A80" t="s">
        <v>259</v>
      </c>
      <c r="B80" t="s">
        <v>260</v>
      </c>
      <c r="C80" s="55">
        <v>750920</v>
      </c>
      <c r="D80" s="55"/>
      <c r="E80" s="55"/>
      <c r="F80" s="55">
        <v>9000</v>
      </c>
    </row>
    <row r="81" spans="1:6">
      <c r="A81" t="s">
        <v>109</v>
      </c>
      <c r="B81" t="s">
        <v>110</v>
      </c>
      <c r="C81" s="55">
        <v>431453</v>
      </c>
      <c r="D81" s="55">
        <v>43925</v>
      </c>
      <c r="E81" s="55"/>
      <c r="F81" s="55"/>
    </row>
    <row r="82" spans="1:6">
      <c r="A82" t="s">
        <v>477</v>
      </c>
      <c r="B82" t="s">
        <v>478</v>
      </c>
      <c r="C82" s="55">
        <v>253504</v>
      </c>
      <c r="D82" s="55">
        <v>16917</v>
      </c>
      <c r="E82" s="55"/>
      <c r="F82" s="55"/>
    </row>
    <row r="83" spans="1:6">
      <c r="A83" t="s">
        <v>633</v>
      </c>
      <c r="B83" t="s">
        <v>634</v>
      </c>
      <c r="C83" s="55">
        <v>340227</v>
      </c>
      <c r="D83" s="55">
        <v>39507</v>
      </c>
      <c r="E83" s="55"/>
      <c r="F83" s="55"/>
    </row>
    <row r="84" spans="1:6">
      <c r="A84" t="s">
        <v>369</v>
      </c>
      <c r="B84" t="s">
        <v>370</v>
      </c>
      <c r="C84" s="55">
        <v>1091127</v>
      </c>
      <c r="D84" s="55">
        <v>210200</v>
      </c>
      <c r="E84" s="55"/>
      <c r="F84" s="55"/>
    </row>
    <row r="85" spans="1:6">
      <c r="A85" t="s">
        <v>365</v>
      </c>
      <c r="B85" t="s">
        <v>366</v>
      </c>
      <c r="C85" s="55">
        <v>1261226</v>
      </c>
      <c r="D85" s="55">
        <v>70844</v>
      </c>
      <c r="E85" s="55"/>
      <c r="F85" s="55">
        <v>8433</v>
      </c>
    </row>
    <row r="86" spans="1:6">
      <c r="A86" t="s">
        <v>361</v>
      </c>
      <c r="B86" t="s">
        <v>362</v>
      </c>
      <c r="C86" s="55">
        <v>22801694</v>
      </c>
      <c r="D86" s="55">
        <v>1031765</v>
      </c>
      <c r="E86" s="55"/>
      <c r="F86" s="55">
        <v>237389</v>
      </c>
    </row>
    <row r="87" spans="1:6">
      <c r="A87" t="s">
        <v>113</v>
      </c>
      <c r="B87" t="s">
        <v>114</v>
      </c>
      <c r="C87" s="55">
        <v>2762066</v>
      </c>
      <c r="D87" s="55">
        <v>207496</v>
      </c>
      <c r="E87" s="55"/>
      <c r="F87" s="55"/>
    </row>
    <row r="88" spans="1:6">
      <c r="A88" t="s">
        <v>509</v>
      </c>
      <c r="B88" t="s">
        <v>510</v>
      </c>
      <c r="C88" s="55">
        <v>3665217</v>
      </c>
      <c r="D88" s="55">
        <v>416289</v>
      </c>
      <c r="E88" s="55"/>
      <c r="F88" s="55"/>
    </row>
    <row r="89" spans="1:6">
      <c r="A89" t="s">
        <v>433</v>
      </c>
      <c r="B89" t="s">
        <v>434</v>
      </c>
      <c r="C89" s="55">
        <v>331075</v>
      </c>
      <c r="D89" s="55">
        <v>10564</v>
      </c>
      <c r="E89" s="55"/>
      <c r="F89" s="55">
        <v>5805</v>
      </c>
    </row>
    <row r="90" spans="1:6">
      <c r="A90" t="s">
        <v>53</v>
      </c>
      <c r="B90" t="s">
        <v>54</v>
      </c>
      <c r="C90" s="55">
        <v>191995</v>
      </c>
      <c r="D90" s="55">
        <v>20431</v>
      </c>
      <c r="E90" s="55"/>
      <c r="F90" s="55"/>
    </row>
    <row r="91" spans="1:6">
      <c r="A91" t="s">
        <v>435</v>
      </c>
      <c r="B91" t="s">
        <v>436</v>
      </c>
      <c r="C91" s="55">
        <v>1217037</v>
      </c>
      <c r="D91" s="55">
        <v>128488</v>
      </c>
      <c r="E91" s="55"/>
      <c r="F91" s="55"/>
    </row>
    <row r="92" spans="1:6">
      <c r="A92" t="s">
        <v>85</v>
      </c>
      <c r="B92" t="s">
        <v>86</v>
      </c>
      <c r="C92" s="55">
        <v>2716355</v>
      </c>
      <c r="D92" s="55">
        <v>270030</v>
      </c>
      <c r="E92" s="55"/>
      <c r="F92" s="55"/>
    </row>
    <row r="93" spans="1:6">
      <c r="A93" t="s">
        <v>419</v>
      </c>
      <c r="B93" t="s">
        <v>420</v>
      </c>
      <c r="C93" s="55">
        <v>3086714</v>
      </c>
      <c r="D93" s="55">
        <v>323679</v>
      </c>
      <c r="E93" s="55"/>
      <c r="F93" s="55"/>
    </row>
    <row r="94" spans="1:6">
      <c r="A94" t="s">
        <v>479</v>
      </c>
      <c r="B94" t="s">
        <v>480</v>
      </c>
      <c r="C94" s="55">
        <v>282513060</v>
      </c>
      <c r="D94" s="55">
        <v>16305275</v>
      </c>
      <c r="E94" s="55"/>
      <c r="F94" s="55"/>
    </row>
    <row r="95" spans="1:6">
      <c r="A95" t="s">
        <v>171</v>
      </c>
      <c r="B95" t="s">
        <v>172</v>
      </c>
      <c r="C95" s="55">
        <v>65225704</v>
      </c>
      <c r="D95" s="55">
        <v>5111399</v>
      </c>
      <c r="E95" s="55"/>
      <c r="F95" s="55"/>
    </row>
    <row r="96" spans="1:6">
      <c r="A96" t="s">
        <v>157</v>
      </c>
      <c r="B96" t="s">
        <v>158</v>
      </c>
      <c r="C96" s="55">
        <v>13263174</v>
      </c>
      <c r="D96" s="55">
        <v>1166089</v>
      </c>
      <c r="E96" s="55"/>
      <c r="F96" s="55"/>
    </row>
    <row r="97" spans="1:6">
      <c r="A97" t="s">
        <v>303</v>
      </c>
      <c r="B97" t="s">
        <v>304</v>
      </c>
      <c r="C97" s="55">
        <v>10553831</v>
      </c>
      <c r="D97" s="55">
        <v>860582</v>
      </c>
      <c r="E97" s="55"/>
      <c r="F97" s="55"/>
    </row>
    <row r="98" spans="1:6">
      <c r="A98" t="s">
        <v>209</v>
      </c>
      <c r="B98" t="s">
        <v>210</v>
      </c>
      <c r="C98" s="55">
        <v>69232395</v>
      </c>
      <c r="D98" s="55">
        <v>4911257</v>
      </c>
      <c r="E98" s="55"/>
      <c r="F98" s="55"/>
    </row>
    <row r="99" spans="1:6">
      <c r="A99" t="s">
        <v>585</v>
      </c>
      <c r="B99" t="s">
        <v>586</v>
      </c>
      <c r="C99" s="55">
        <v>3406043</v>
      </c>
      <c r="D99" s="55">
        <v>363179</v>
      </c>
      <c r="E99" s="55"/>
      <c r="F99" s="55"/>
    </row>
    <row r="100" spans="1:6">
      <c r="A100" t="s">
        <v>451</v>
      </c>
      <c r="B100" t="s">
        <v>452</v>
      </c>
      <c r="C100" s="55">
        <v>56301644</v>
      </c>
      <c r="D100" s="55">
        <v>3770181</v>
      </c>
      <c r="E100" s="55"/>
      <c r="F100" s="55"/>
    </row>
    <row r="101" spans="1:6">
      <c r="A101" t="s">
        <v>497</v>
      </c>
      <c r="B101" t="s">
        <v>498</v>
      </c>
      <c r="C101" s="55">
        <v>245730</v>
      </c>
      <c r="D101" s="55">
        <v>13000</v>
      </c>
      <c r="E101" s="55"/>
      <c r="F101" s="55"/>
    </row>
    <row r="102" spans="1:6">
      <c r="A102" t="s">
        <v>30</v>
      </c>
      <c r="B102" t="s">
        <v>31</v>
      </c>
      <c r="C102" s="55">
        <v>82921205</v>
      </c>
      <c r="D102" s="55">
        <v>4621065</v>
      </c>
      <c r="E102" s="55"/>
      <c r="F102" s="55"/>
    </row>
    <row r="103" spans="1:6">
      <c r="A103" t="s">
        <v>573</v>
      </c>
      <c r="B103" t="s">
        <v>574</v>
      </c>
      <c r="C103" s="55">
        <v>8267040</v>
      </c>
      <c r="D103" s="55">
        <v>647323</v>
      </c>
      <c r="E103" s="55"/>
      <c r="F103" s="55"/>
    </row>
    <row r="104" spans="1:6">
      <c r="A104" t="s">
        <v>463</v>
      </c>
      <c r="B104" t="s">
        <v>464</v>
      </c>
      <c r="C104" s="55">
        <v>7077254</v>
      </c>
      <c r="D104" s="55">
        <v>747977</v>
      </c>
      <c r="E104" s="55"/>
      <c r="F104" s="55"/>
    </row>
    <row r="105" spans="1:6">
      <c r="A105" t="s">
        <v>22</v>
      </c>
      <c r="B105" t="s">
        <v>24</v>
      </c>
      <c r="C105" s="55">
        <v>50499315</v>
      </c>
      <c r="D105" s="55">
        <v>3662037</v>
      </c>
      <c r="E105" s="55"/>
      <c r="F105" s="55">
        <v>23927</v>
      </c>
    </row>
    <row r="106" spans="1:6">
      <c r="A106" t="s">
        <v>553</v>
      </c>
      <c r="B106" t="s">
        <v>554</v>
      </c>
      <c r="C106" s="55">
        <v>31048286</v>
      </c>
      <c r="D106" s="55">
        <v>2472178</v>
      </c>
      <c r="E106" s="55"/>
      <c r="F106" s="55"/>
    </row>
    <row r="107" spans="1:6">
      <c r="A107" t="s">
        <v>501</v>
      </c>
      <c r="B107" t="s">
        <v>502</v>
      </c>
      <c r="C107" s="55">
        <v>19441114</v>
      </c>
      <c r="D107" s="55">
        <v>1565105</v>
      </c>
      <c r="E107" s="55"/>
      <c r="F107" s="55"/>
    </row>
    <row r="108" spans="1:6">
      <c r="A108" t="s">
        <v>229</v>
      </c>
      <c r="B108" t="s">
        <v>230</v>
      </c>
      <c r="C108" s="55">
        <v>50264073</v>
      </c>
      <c r="D108" s="55">
        <v>7575465</v>
      </c>
      <c r="E108" s="55"/>
      <c r="F108" s="55"/>
    </row>
    <row r="109" spans="1:6">
      <c r="A109" t="s">
        <v>493</v>
      </c>
      <c r="B109" t="s">
        <v>494</v>
      </c>
      <c r="C109" s="55">
        <v>32960750</v>
      </c>
      <c r="D109" s="55">
        <v>2501216</v>
      </c>
      <c r="E109" s="55">
        <v>150003</v>
      </c>
      <c r="F109" s="55"/>
    </row>
    <row r="110" spans="1:6">
      <c r="A110" t="s">
        <v>263</v>
      </c>
      <c r="B110" t="s">
        <v>264</v>
      </c>
      <c r="C110" s="55">
        <v>82449362</v>
      </c>
      <c r="D110" s="55">
        <v>7446495</v>
      </c>
      <c r="E110" s="55"/>
      <c r="F110" s="55"/>
    </row>
    <row r="111" spans="1:6">
      <c r="A111" t="s">
        <v>241</v>
      </c>
      <c r="B111" t="s">
        <v>242</v>
      </c>
      <c r="C111" s="55">
        <v>95603439</v>
      </c>
      <c r="D111" s="55">
        <v>7758271</v>
      </c>
      <c r="E111" s="55"/>
      <c r="F111" s="55"/>
    </row>
    <row r="112" spans="1:6">
      <c r="A112" t="s">
        <v>359</v>
      </c>
      <c r="B112" t="s">
        <v>360</v>
      </c>
      <c r="C112" s="55">
        <v>84753892</v>
      </c>
      <c r="D112" s="55">
        <v>5777563</v>
      </c>
      <c r="E112" s="55"/>
      <c r="F112" s="55"/>
    </row>
    <row r="113" spans="1:6">
      <c r="A113" t="s">
        <v>539</v>
      </c>
      <c r="B113" t="s">
        <v>540</v>
      </c>
      <c r="C113" s="55">
        <v>717981</v>
      </c>
      <c r="D113" s="55">
        <v>37995</v>
      </c>
      <c r="E113" s="55"/>
      <c r="F113" s="55"/>
    </row>
    <row r="114" spans="1:6">
      <c r="A114" t="s">
        <v>535</v>
      </c>
      <c r="B114" t="s">
        <v>536</v>
      </c>
      <c r="C114" s="55">
        <v>1380022</v>
      </c>
      <c r="D114" s="55">
        <v>172047</v>
      </c>
      <c r="E114" s="55"/>
      <c r="F114" s="55"/>
    </row>
    <row r="115" spans="1:6">
      <c r="A115" t="s">
        <v>443</v>
      </c>
      <c r="B115" t="s">
        <v>444</v>
      </c>
      <c r="C115" s="55">
        <v>448685</v>
      </c>
      <c r="D115" s="55"/>
      <c r="E115" s="55"/>
      <c r="F115" s="55"/>
    </row>
    <row r="116" spans="1:6">
      <c r="A116" t="s">
        <v>445</v>
      </c>
      <c r="B116" t="s">
        <v>446</v>
      </c>
      <c r="C116" s="55">
        <v>795119</v>
      </c>
      <c r="D116" s="55">
        <v>115282</v>
      </c>
      <c r="E116" s="55"/>
      <c r="F116" s="55"/>
    </row>
    <row r="117" spans="1:6">
      <c r="A117" t="s">
        <v>219</v>
      </c>
      <c r="B117" t="s">
        <v>220</v>
      </c>
      <c r="C117" s="55">
        <v>1454404</v>
      </c>
      <c r="D117" s="55">
        <v>91395</v>
      </c>
      <c r="E117" s="55"/>
      <c r="F117" s="55"/>
    </row>
    <row r="118" spans="1:6">
      <c r="A118" t="s">
        <v>221</v>
      </c>
      <c r="B118" t="s">
        <v>222</v>
      </c>
      <c r="C118" s="55">
        <v>855222</v>
      </c>
      <c r="D118" s="55">
        <v>61386</v>
      </c>
      <c r="E118" s="55"/>
      <c r="F118" s="55"/>
    </row>
    <row r="119" spans="1:6">
      <c r="A119" t="s">
        <v>623</v>
      </c>
      <c r="B119" t="s">
        <v>624</v>
      </c>
      <c r="C119" s="55">
        <v>467306</v>
      </c>
      <c r="D119" s="55">
        <v>31474</v>
      </c>
      <c r="E119" s="55"/>
      <c r="F119" s="55"/>
    </row>
    <row r="120" spans="1:6">
      <c r="A120" t="s">
        <v>829</v>
      </c>
      <c r="B120" t="s">
        <v>1431</v>
      </c>
      <c r="C120" s="55">
        <v>732742</v>
      </c>
      <c r="D120" s="55">
        <v>39431</v>
      </c>
      <c r="E120" s="55"/>
      <c r="F120" s="55"/>
    </row>
    <row r="121" spans="1:6">
      <c r="A121" t="s">
        <v>45</v>
      </c>
      <c r="B121" t="s">
        <v>47</v>
      </c>
      <c r="C121" s="55">
        <v>18595328</v>
      </c>
      <c r="D121" s="55">
        <v>1357914</v>
      </c>
      <c r="E121" s="55"/>
      <c r="F121" s="55"/>
    </row>
    <row r="122" spans="1:6">
      <c r="A122" t="s">
        <v>25</v>
      </c>
      <c r="B122" t="s">
        <v>26</v>
      </c>
      <c r="C122" s="55">
        <v>11408060</v>
      </c>
      <c r="D122" s="55">
        <v>985890</v>
      </c>
      <c r="E122" s="55"/>
      <c r="F122" s="55"/>
    </row>
    <row r="123" spans="1:6">
      <c r="A123" t="s">
        <v>349</v>
      </c>
      <c r="B123" t="s">
        <v>350</v>
      </c>
      <c r="C123" s="55">
        <v>18484700</v>
      </c>
      <c r="D123" s="55">
        <v>1726813</v>
      </c>
      <c r="E123" s="55"/>
      <c r="F123" s="55">
        <v>392706</v>
      </c>
    </row>
    <row r="124" spans="1:6">
      <c r="A124" t="s">
        <v>73</v>
      </c>
      <c r="B124" t="s">
        <v>74</v>
      </c>
      <c r="C124" s="55">
        <v>32878743</v>
      </c>
      <c r="D124" s="55">
        <v>2867426</v>
      </c>
      <c r="E124" s="55"/>
      <c r="F124" s="55">
        <v>634566</v>
      </c>
    </row>
    <row r="125" spans="1:6">
      <c r="A125" t="s">
        <v>507</v>
      </c>
      <c r="B125" t="s">
        <v>508</v>
      </c>
      <c r="C125" s="55">
        <v>33271071</v>
      </c>
      <c r="D125" s="55">
        <v>4115727</v>
      </c>
      <c r="E125" s="55"/>
      <c r="F125" s="55"/>
    </row>
    <row r="126" spans="1:6">
      <c r="A126" t="s">
        <v>69</v>
      </c>
      <c r="B126" t="s">
        <v>70</v>
      </c>
      <c r="C126" s="55">
        <v>1811647</v>
      </c>
      <c r="D126" s="55">
        <v>84800</v>
      </c>
      <c r="E126" s="55"/>
      <c r="F126" s="55"/>
    </row>
    <row r="127" spans="1:6">
      <c r="A127" t="s">
        <v>123</v>
      </c>
      <c r="B127" t="s">
        <v>124</v>
      </c>
      <c r="C127" s="55">
        <v>156775</v>
      </c>
      <c r="D127" s="55"/>
      <c r="E127" s="55"/>
      <c r="F127" s="55"/>
    </row>
    <row r="128" spans="1:6">
      <c r="A128" t="s">
        <v>143</v>
      </c>
      <c r="B128" t="s">
        <v>144</v>
      </c>
      <c r="C128" s="55">
        <v>270917</v>
      </c>
      <c r="D128" s="55">
        <v>18940</v>
      </c>
      <c r="E128" s="55"/>
      <c r="F128" s="55"/>
    </row>
    <row r="129" spans="1:6">
      <c r="A129" t="s">
        <v>559</v>
      </c>
      <c r="B129" t="s">
        <v>560</v>
      </c>
      <c r="C129" s="55">
        <v>413688</v>
      </c>
      <c r="D129" s="55">
        <v>8673</v>
      </c>
      <c r="E129" s="55"/>
      <c r="F129" s="55"/>
    </row>
    <row r="130" spans="1:6">
      <c r="A130" t="s">
        <v>149</v>
      </c>
      <c r="B130" t="s">
        <v>150</v>
      </c>
      <c r="C130" s="55">
        <v>6864979</v>
      </c>
      <c r="D130" s="55">
        <v>710210</v>
      </c>
      <c r="E130" s="55"/>
      <c r="F130" s="55"/>
    </row>
    <row r="131" spans="1:6">
      <c r="A131" t="s">
        <v>247</v>
      </c>
      <c r="B131" t="s">
        <v>248</v>
      </c>
      <c r="C131" s="55">
        <v>1014022</v>
      </c>
      <c r="D131" s="55">
        <v>111827</v>
      </c>
      <c r="E131" s="55"/>
      <c r="F131" s="55"/>
    </row>
    <row r="132" spans="1:6">
      <c r="A132" t="s">
        <v>89</v>
      </c>
      <c r="B132" t="s">
        <v>90</v>
      </c>
      <c r="C132" s="55">
        <v>2286070</v>
      </c>
      <c r="D132" s="55">
        <v>283972</v>
      </c>
      <c r="E132" s="55"/>
      <c r="F132" s="55"/>
    </row>
    <row r="133" spans="1:6">
      <c r="A133" t="s">
        <v>635</v>
      </c>
      <c r="B133" t="s">
        <v>636</v>
      </c>
      <c r="C133" s="55">
        <v>261388</v>
      </c>
      <c r="D133" s="55"/>
      <c r="E133" s="55"/>
      <c r="F133" s="55"/>
    </row>
    <row r="134" spans="1:6">
      <c r="A134" t="s">
        <v>38</v>
      </c>
      <c r="B134" t="s">
        <v>40</v>
      </c>
      <c r="C134" s="55">
        <v>225000</v>
      </c>
      <c r="D134" s="55"/>
      <c r="E134" s="55"/>
      <c r="F134" s="55"/>
    </row>
    <row r="135" spans="1:6">
      <c r="A135" t="s">
        <v>71</v>
      </c>
      <c r="B135" t="s">
        <v>72</v>
      </c>
      <c r="C135" s="55">
        <v>152624</v>
      </c>
      <c r="D135" s="55"/>
      <c r="E135" s="55"/>
      <c r="F135" s="55"/>
    </row>
    <row r="136" spans="1:6">
      <c r="A136" t="s">
        <v>571</v>
      </c>
      <c r="B136" t="s">
        <v>572</v>
      </c>
      <c r="C136" s="55">
        <v>260000</v>
      </c>
      <c r="D136" s="55"/>
      <c r="E136" s="55"/>
      <c r="F136" s="55"/>
    </row>
    <row r="137" spans="1:6">
      <c r="A137" t="s">
        <v>185</v>
      </c>
      <c r="B137" t="s">
        <v>186</v>
      </c>
      <c r="C137" s="55">
        <v>138615</v>
      </c>
      <c r="D137" s="55"/>
      <c r="E137" s="55"/>
      <c r="F137" s="55"/>
    </row>
    <row r="138" spans="1:6">
      <c r="A138" t="s">
        <v>249</v>
      </c>
      <c r="B138" t="s">
        <v>250</v>
      </c>
      <c r="C138" s="55">
        <v>120579</v>
      </c>
      <c r="D138" s="55"/>
      <c r="E138" s="55"/>
      <c r="F138" s="55"/>
    </row>
    <row r="139" spans="1:6">
      <c r="A139" t="s">
        <v>467</v>
      </c>
      <c r="B139" t="s">
        <v>468</v>
      </c>
      <c r="C139" s="55">
        <v>40848</v>
      </c>
      <c r="D139" s="55"/>
      <c r="E139" s="55"/>
      <c r="F139" s="55"/>
    </row>
    <row r="140" spans="1:6">
      <c r="A140" t="s">
        <v>187</v>
      </c>
      <c r="B140" t="s">
        <v>188</v>
      </c>
      <c r="C140" s="55">
        <v>6503648</v>
      </c>
      <c r="D140" s="55"/>
      <c r="E140" s="55"/>
      <c r="F140" s="55"/>
    </row>
    <row r="141" spans="1:6">
      <c r="A141" t="s">
        <v>621</v>
      </c>
      <c r="B141" t="s">
        <v>622</v>
      </c>
      <c r="C141" s="55">
        <v>2472540</v>
      </c>
      <c r="D141" s="55"/>
      <c r="E141" s="55"/>
      <c r="F141" s="55"/>
    </row>
    <row r="142" spans="1:6">
      <c r="A142" t="s">
        <v>281</v>
      </c>
      <c r="B142" t="s">
        <v>282</v>
      </c>
      <c r="C142" s="55">
        <v>375494</v>
      </c>
      <c r="D142" s="55"/>
      <c r="E142" s="55"/>
      <c r="F142" s="55"/>
    </row>
    <row r="143" spans="1:6">
      <c r="A143" t="s">
        <v>333</v>
      </c>
      <c r="B143" t="s">
        <v>334</v>
      </c>
      <c r="C143" s="55">
        <v>3378205</v>
      </c>
      <c r="D143" s="55">
        <v>172049</v>
      </c>
      <c r="E143" s="55"/>
      <c r="F143" s="55"/>
    </row>
    <row r="144" spans="1:6">
      <c r="A144" t="s">
        <v>163</v>
      </c>
      <c r="B144" t="s">
        <v>164</v>
      </c>
      <c r="C144" s="55">
        <v>158545</v>
      </c>
      <c r="D144" s="55">
        <v>11339</v>
      </c>
      <c r="E144" s="55"/>
      <c r="F144" s="55"/>
    </row>
    <row r="145" spans="1:6">
      <c r="A145" t="s">
        <v>319</v>
      </c>
      <c r="B145" t="s">
        <v>320</v>
      </c>
      <c r="C145" s="55">
        <v>1626000</v>
      </c>
      <c r="D145" s="55">
        <v>150575</v>
      </c>
      <c r="E145" s="55"/>
      <c r="F145" s="55"/>
    </row>
    <row r="146" spans="1:6">
      <c r="A146" t="s">
        <v>315</v>
      </c>
      <c r="B146" t="s">
        <v>316</v>
      </c>
      <c r="C146" s="55">
        <v>1304364</v>
      </c>
      <c r="D146" s="55">
        <v>127980</v>
      </c>
      <c r="E146" s="55"/>
      <c r="F146" s="55"/>
    </row>
    <row r="147" spans="1:6">
      <c r="A147" t="s">
        <v>9</v>
      </c>
      <c r="B147" t="s">
        <v>10</v>
      </c>
      <c r="C147" s="55">
        <v>2872596</v>
      </c>
      <c r="D147" s="55">
        <v>121214</v>
      </c>
      <c r="E147" s="55"/>
      <c r="F147" s="55"/>
    </row>
    <row r="148" spans="1:6">
      <c r="A148" t="s">
        <v>631</v>
      </c>
      <c r="B148" t="s">
        <v>632</v>
      </c>
      <c r="C148" s="55">
        <v>2090325</v>
      </c>
      <c r="D148" s="55">
        <v>200721</v>
      </c>
      <c r="E148" s="55"/>
      <c r="F148" s="55"/>
    </row>
    <row r="149" spans="1:6">
      <c r="A149" t="s">
        <v>43</v>
      </c>
      <c r="B149" t="s">
        <v>44</v>
      </c>
      <c r="C149" s="55">
        <v>870808</v>
      </c>
      <c r="D149" s="55">
        <v>40000</v>
      </c>
      <c r="E149" s="55"/>
      <c r="F149" s="55"/>
    </row>
    <row r="150" spans="1:6">
      <c r="A150" t="s">
        <v>561</v>
      </c>
      <c r="B150" t="s">
        <v>562</v>
      </c>
      <c r="C150" s="55">
        <v>2479493</v>
      </c>
      <c r="D150" s="55">
        <v>192600</v>
      </c>
      <c r="E150" s="55"/>
      <c r="F150" s="55"/>
    </row>
    <row r="151" spans="1:6">
      <c r="A151" t="s">
        <v>379</v>
      </c>
      <c r="B151" t="s">
        <v>380</v>
      </c>
      <c r="C151" s="55">
        <v>2346276</v>
      </c>
      <c r="D151" s="55">
        <v>209828</v>
      </c>
      <c r="E151" s="55"/>
      <c r="F151" s="55"/>
    </row>
    <row r="152" spans="1:6">
      <c r="A152" t="s">
        <v>407</v>
      </c>
      <c r="B152" t="s">
        <v>408</v>
      </c>
      <c r="C152" s="55">
        <v>1049377</v>
      </c>
      <c r="D152" s="55">
        <v>68107</v>
      </c>
      <c r="E152" s="55"/>
      <c r="F152" s="55"/>
    </row>
    <row r="153" spans="1:6">
      <c r="A153" t="s">
        <v>79</v>
      </c>
      <c r="B153" t="s">
        <v>80</v>
      </c>
      <c r="C153" s="55">
        <v>7540089</v>
      </c>
      <c r="D153" s="55">
        <v>703347</v>
      </c>
      <c r="E153" s="55"/>
      <c r="F153" s="55"/>
    </row>
    <row r="154" spans="1:6">
      <c r="A154" t="s">
        <v>617</v>
      </c>
      <c r="B154" t="s">
        <v>618</v>
      </c>
      <c r="C154" s="55">
        <v>971550</v>
      </c>
      <c r="D154" s="55">
        <v>138646</v>
      </c>
      <c r="E154" s="55"/>
      <c r="F154" s="55"/>
    </row>
    <row r="155" spans="1:6">
      <c r="A155" t="s">
        <v>77</v>
      </c>
      <c r="B155" t="s">
        <v>78</v>
      </c>
      <c r="C155" s="55">
        <v>9536122</v>
      </c>
      <c r="D155" s="55">
        <v>913150</v>
      </c>
      <c r="E155" s="55"/>
      <c r="F155" s="55"/>
    </row>
    <row r="156" spans="1:6">
      <c r="A156" t="s">
        <v>517</v>
      </c>
      <c r="B156" t="s">
        <v>518</v>
      </c>
      <c r="C156" s="55">
        <v>261462</v>
      </c>
      <c r="D156" s="55">
        <v>21209</v>
      </c>
      <c r="E156" s="55"/>
      <c r="F156" s="55"/>
    </row>
    <row r="157" spans="1:6">
      <c r="A157" t="s">
        <v>449</v>
      </c>
      <c r="B157" t="s">
        <v>450</v>
      </c>
      <c r="C157" s="55">
        <v>1122225</v>
      </c>
      <c r="D157" s="55">
        <v>178953</v>
      </c>
      <c r="E157" s="55"/>
      <c r="F157" s="55"/>
    </row>
    <row r="158" spans="1:6">
      <c r="A158" t="s">
        <v>11</v>
      </c>
      <c r="B158" t="s">
        <v>13</v>
      </c>
      <c r="C158" s="55">
        <v>170932</v>
      </c>
      <c r="D158" s="55">
        <v>22000</v>
      </c>
      <c r="E158" s="55"/>
      <c r="F158" s="55"/>
    </row>
    <row r="159" spans="1:6">
      <c r="A159" t="s">
        <v>117</v>
      </c>
      <c r="B159" t="s">
        <v>118</v>
      </c>
      <c r="C159" s="55">
        <v>367413</v>
      </c>
      <c r="D159" s="55">
        <v>18000</v>
      </c>
      <c r="E159" s="55"/>
      <c r="F159" s="55"/>
    </row>
    <row r="160" spans="1:6">
      <c r="A160" t="s">
        <v>371</v>
      </c>
      <c r="B160" t="s">
        <v>372</v>
      </c>
      <c r="C160" s="55">
        <v>569733</v>
      </c>
      <c r="D160" s="55">
        <v>54660</v>
      </c>
      <c r="E160" s="55"/>
      <c r="F160" s="55"/>
    </row>
    <row r="161" spans="1:6">
      <c r="A161" t="s">
        <v>625</v>
      </c>
      <c r="B161" t="s">
        <v>626</v>
      </c>
      <c r="C161" s="55">
        <v>558084</v>
      </c>
      <c r="D161" s="55">
        <v>54000</v>
      </c>
      <c r="E161" s="55"/>
      <c r="F161" s="55"/>
    </row>
    <row r="162" spans="1:6">
      <c r="A162" t="s">
        <v>205</v>
      </c>
      <c r="B162" t="s">
        <v>206</v>
      </c>
      <c r="C162" s="55">
        <v>372206</v>
      </c>
      <c r="D162" s="55">
        <v>28702</v>
      </c>
      <c r="E162" s="55"/>
      <c r="F162" s="55"/>
    </row>
    <row r="163" spans="1:6">
      <c r="A163" t="s">
        <v>127</v>
      </c>
      <c r="B163" t="s">
        <v>128</v>
      </c>
      <c r="C163" s="55">
        <v>1309956</v>
      </c>
      <c r="D163" s="55">
        <v>131283</v>
      </c>
      <c r="E163" s="55"/>
      <c r="F163" s="55"/>
    </row>
    <row r="164" spans="1:6">
      <c r="A164" t="s">
        <v>511</v>
      </c>
      <c r="B164" t="s">
        <v>512</v>
      </c>
      <c r="C164" s="55">
        <v>554954</v>
      </c>
      <c r="D164" s="55">
        <v>48000</v>
      </c>
      <c r="E164" s="55"/>
      <c r="F164" s="55"/>
    </row>
    <row r="165" spans="1:6">
      <c r="A165" t="s">
        <v>197</v>
      </c>
      <c r="B165" t="s">
        <v>198</v>
      </c>
      <c r="C165" s="55">
        <v>627433</v>
      </c>
      <c r="D165" s="55">
        <v>50000</v>
      </c>
      <c r="E165" s="55"/>
      <c r="F165" s="55"/>
    </row>
    <row r="166" spans="1:6">
      <c r="A166" t="s">
        <v>491</v>
      </c>
      <c r="B166" t="s">
        <v>492</v>
      </c>
      <c r="C166" s="55">
        <v>10571768</v>
      </c>
      <c r="D166" s="55">
        <v>965450</v>
      </c>
      <c r="E166" s="55"/>
      <c r="F166" s="55"/>
    </row>
    <row r="167" spans="1:6">
      <c r="A167" t="s">
        <v>291</v>
      </c>
      <c r="B167" t="s">
        <v>292</v>
      </c>
      <c r="C167" s="55">
        <v>1971536</v>
      </c>
      <c r="D167" s="55">
        <v>137039</v>
      </c>
      <c r="E167" s="55"/>
      <c r="F167" s="55"/>
    </row>
    <row r="168" spans="1:6">
      <c r="A168" t="s">
        <v>413</v>
      </c>
      <c r="B168" t="s">
        <v>414</v>
      </c>
      <c r="C168" s="55">
        <v>2433708</v>
      </c>
      <c r="D168" s="55">
        <v>128420</v>
      </c>
      <c r="E168" s="55"/>
      <c r="F168" s="55"/>
    </row>
    <row r="169" spans="1:6">
      <c r="A169" t="s">
        <v>351</v>
      </c>
      <c r="B169" t="s">
        <v>352</v>
      </c>
      <c r="C169" s="55">
        <v>4948892</v>
      </c>
      <c r="D169" s="55">
        <v>416719</v>
      </c>
      <c r="E169" s="55"/>
      <c r="F169" s="55"/>
    </row>
    <row r="170" spans="1:6">
      <c r="A170" t="s">
        <v>213</v>
      </c>
      <c r="B170" t="s">
        <v>214</v>
      </c>
      <c r="C170" s="55">
        <v>958510</v>
      </c>
      <c r="D170" s="55">
        <v>81450</v>
      </c>
      <c r="E170" s="55"/>
      <c r="F170" s="55"/>
    </row>
    <row r="171" spans="1:6">
      <c r="A171" t="s">
        <v>337</v>
      </c>
      <c r="B171" t="s">
        <v>338</v>
      </c>
      <c r="C171" s="55">
        <v>704820</v>
      </c>
      <c r="D171" s="55">
        <v>58154</v>
      </c>
      <c r="E171" s="55"/>
      <c r="F171" s="55">
        <v>19350</v>
      </c>
    </row>
    <row r="172" spans="1:6">
      <c r="A172" t="s">
        <v>377</v>
      </c>
      <c r="B172" t="s">
        <v>378</v>
      </c>
      <c r="C172" s="55">
        <v>13291744</v>
      </c>
      <c r="D172" s="55">
        <v>972199</v>
      </c>
      <c r="E172" s="55"/>
      <c r="F172" s="55"/>
    </row>
    <row r="173" spans="1:6">
      <c r="A173" t="s">
        <v>373</v>
      </c>
      <c r="B173" t="s">
        <v>374</v>
      </c>
      <c r="C173" s="55">
        <v>2319153</v>
      </c>
      <c r="D173" s="55">
        <v>250118</v>
      </c>
      <c r="E173" s="55"/>
      <c r="F173" s="55"/>
    </row>
    <row r="174" spans="1:6">
      <c r="A174" t="s">
        <v>48</v>
      </c>
      <c r="B174" t="s">
        <v>50</v>
      </c>
      <c r="C174" s="55">
        <v>1721873</v>
      </c>
      <c r="D174" s="55">
        <v>370400</v>
      </c>
      <c r="E174" s="55"/>
      <c r="F174" s="55"/>
    </row>
    <row r="175" spans="1:6">
      <c r="A175" t="s">
        <v>403</v>
      </c>
      <c r="B175" t="s">
        <v>404</v>
      </c>
      <c r="C175" s="55">
        <v>576524</v>
      </c>
      <c r="D175" s="55">
        <v>50255</v>
      </c>
      <c r="E175" s="55"/>
      <c r="F175" s="55"/>
    </row>
    <row r="176" spans="1:6">
      <c r="A176" t="s">
        <v>307</v>
      </c>
      <c r="B176" t="s">
        <v>308</v>
      </c>
      <c r="C176" s="55">
        <v>1777056</v>
      </c>
      <c r="D176" s="55"/>
      <c r="E176" s="55"/>
      <c r="F176" s="55"/>
    </row>
    <row r="177" spans="1:6">
      <c r="A177" t="s">
        <v>563</v>
      </c>
      <c r="B177" t="s">
        <v>564</v>
      </c>
      <c r="C177" s="55">
        <v>1865229</v>
      </c>
      <c r="D177" s="55">
        <v>256308</v>
      </c>
      <c r="E177" s="55"/>
      <c r="F177" s="55"/>
    </row>
    <row r="178" spans="1:6">
      <c r="A178" t="s">
        <v>391</v>
      </c>
      <c r="B178" t="s">
        <v>392</v>
      </c>
      <c r="C178" s="55">
        <v>1003412</v>
      </c>
      <c r="D178" s="55">
        <v>160119</v>
      </c>
      <c r="E178" s="55"/>
      <c r="F178" s="55"/>
    </row>
    <row r="179" spans="1:6">
      <c r="A179" t="s">
        <v>367</v>
      </c>
      <c r="B179" t="s">
        <v>368</v>
      </c>
      <c r="C179" s="55">
        <v>3211593</v>
      </c>
      <c r="D179" s="55">
        <v>10000</v>
      </c>
      <c r="E179" s="55"/>
      <c r="F179" s="55"/>
    </row>
    <row r="180" spans="1:6">
      <c r="A180" t="s">
        <v>447</v>
      </c>
      <c r="B180" t="s">
        <v>448</v>
      </c>
      <c r="C180" s="55">
        <v>1124346</v>
      </c>
      <c r="D180" s="55">
        <v>150000</v>
      </c>
      <c r="E180" s="55"/>
      <c r="F180" s="55"/>
    </row>
    <row r="181" spans="1:6">
      <c r="A181" t="s">
        <v>505</v>
      </c>
      <c r="B181" t="s">
        <v>506</v>
      </c>
      <c r="C181" s="55">
        <v>2898399</v>
      </c>
      <c r="D181" s="55">
        <v>148060</v>
      </c>
      <c r="E181" s="55"/>
      <c r="F181" s="55"/>
    </row>
    <row r="182" spans="1:6">
      <c r="A182" t="s">
        <v>335</v>
      </c>
      <c r="B182" t="s">
        <v>336</v>
      </c>
      <c r="C182" s="55">
        <v>628911</v>
      </c>
      <c r="D182" s="55"/>
      <c r="E182" s="55"/>
      <c r="F182" s="55"/>
    </row>
    <row r="183" spans="1:6">
      <c r="A183" t="s">
        <v>627</v>
      </c>
      <c r="B183" t="s">
        <v>628</v>
      </c>
      <c r="C183" s="55">
        <v>896560</v>
      </c>
      <c r="D183" s="55">
        <v>83078</v>
      </c>
      <c r="E183" s="55"/>
      <c r="F183" s="55"/>
    </row>
    <row r="184" spans="1:6">
      <c r="A184" t="s">
        <v>353</v>
      </c>
      <c r="B184" t="s">
        <v>354</v>
      </c>
      <c r="C184" s="55">
        <v>181225</v>
      </c>
      <c r="D184" s="55">
        <v>11000</v>
      </c>
      <c r="E184" s="55"/>
      <c r="F184" s="55"/>
    </row>
    <row r="185" spans="1:6">
      <c r="A185" t="s">
        <v>339</v>
      </c>
      <c r="B185" t="s">
        <v>340</v>
      </c>
      <c r="C185" s="55">
        <v>2616976</v>
      </c>
      <c r="D185" s="55">
        <v>328884</v>
      </c>
      <c r="E185" s="55"/>
      <c r="F185" s="55"/>
    </row>
    <row r="186" spans="1:6">
      <c r="A186" t="s">
        <v>121</v>
      </c>
      <c r="B186" t="s">
        <v>122</v>
      </c>
      <c r="C186" s="55">
        <v>809663</v>
      </c>
      <c r="D186" s="55">
        <v>81763</v>
      </c>
      <c r="E186" s="55"/>
      <c r="F186" s="55">
        <v>7000</v>
      </c>
    </row>
    <row r="187" spans="1:6">
      <c r="A187" t="s">
        <v>485</v>
      </c>
      <c r="B187" t="s">
        <v>486</v>
      </c>
      <c r="C187" s="55">
        <v>665473</v>
      </c>
      <c r="D187" s="55">
        <v>83144</v>
      </c>
      <c r="E187" s="55"/>
      <c r="F187" s="55"/>
    </row>
    <row r="188" spans="1:6">
      <c r="A188" t="s">
        <v>527</v>
      </c>
      <c r="B188" t="s">
        <v>528</v>
      </c>
      <c r="C188" s="55">
        <v>8003650</v>
      </c>
      <c r="D188" s="55">
        <v>774662</v>
      </c>
      <c r="E188" s="55"/>
      <c r="F188" s="55"/>
    </row>
    <row r="189" spans="1:6">
      <c r="A189" t="s">
        <v>431</v>
      </c>
      <c r="B189" t="s">
        <v>432</v>
      </c>
      <c r="C189" s="55">
        <v>65178608</v>
      </c>
      <c r="D189" s="55">
        <v>5244994</v>
      </c>
      <c r="E189" s="55"/>
      <c r="F189" s="55"/>
    </row>
    <row r="190" spans="1:6">
      <c r="A190" t="s">
        <v>549</v>
      </c>
      <c r="B190" t="s">
        <v>550</v>
      </c>
      <c r="C190" s="55">
        <v>79982218</v>
      </c>
      <c r="D190" s="55">
        <v>7735981</v>
      </c>
      <c r="E190" s="55"/>
      <c r="F190" s="55"/>
    </row>
    <row r="191" spans="1:6">
      <c r="A191" t="s">
        <v>61</v>
      </c>
      <c r="B191" t="s">
        <v>62</v>
      </c>
      <c r="C191" s="55">
        <v>355942</v>
      </c>
      <c r="D191" s="55">
        <v>52066</v>
      </c>
      <c r="E191" s="55"/>
      <c r="F191" s="55"/>
    </row>
    <row r="192" spans="1:6">
      <c r="A192" t="s">
        <v>579</v>
      </c>
      <c r="B192" t="s">
        <v>580</v>
      </c>
      <c r="C192" s="55">
        <v>13641128</v>
      </c>
      <c r="D192" s="55">
        <v>1350951</v>
      </c>
      <c r="E192" s="55"/>
      <c r="F192" s="55">
        <v>14660</v>
      </c>
    </row>
    <row r="193" spans="1:6">
      <c r="A193" t="s">
        <v>543</v>
      </c>
      <c r="B193" t="s">
        <v>544</v>
      </c>
      <c r="C193" s="55">
        <v>33513050</v>
      </c>
      <c r="D193" s="55">
        <v>2148482</v>
      </c>
      <c r="E193" s="55"/>
      <c r="F193" s="55"/>
    </row>
    <row r="194" spans="1:6">
      <c r="A194" t="s">
        <v>133</v>
      </c>
      <c r="B194" t="s">
        <v>134</v>
      </c>
      <c r="C194" s="55">
        <v>4699516</v>
      </c>
      <c r="D194" s="55">
        <v>268487</v>
      </c>
      <c r="E194" s="55"/>
      <c r="F194" s="55"/>
    </row>
    <row r="195" spans="1:6">
      <c r="A195" t="s">
        <v>393</v>
      </c>
      <c r="B195" t="s">
        <v>394</v>
      </c>
      <c r="C195" s="55">
        <v>10671581</v>
      </c>
      <c r="D195" s="55">
        <v>680829</v>
      </c>
      <c r="E195" s="55"/>
      <c r="F195" s="55"/>
    </row>
    <row r="196" spans="1:6">
      <c r="A196" t="s">
        <v>91</v>
      </c>
      <c r="B196" t="s">
        <v>92</v>
      </c>
      <c r="C196" s="55">
        <v>45598536</v>
      </c>
      <c r="D196" s="55">
        <v>2864990</v>
      </c>
      <c r="E196" s="55">
        <v>2753669</v>
      </c>
      <c r="F196" s="55">
        <v>1000000</v>
      </c>
    </row>
    <row r="197" spans="1:6">
      <c r="A197" t="s">
        <v>409</v>
      </c>
      <c r="B197" t="s">
        <v>410</v>
      </c>
      <c r="C197" s="55">
        <v>29388383</v>
      </c>
      <c r="D197" s="55">
        <v>2209929</v>
      </c>
      <c r="E197" s="55"/>
      <c r="F197" s="55"/>
    </row>
    <row r="198" spans="1:6">
      <c r="A198" t="s">
        <v>179</v>
      </c>
      <c r="B198" t="s">
        <v>180</v>
      </c>
      <c r="C198" s="55">
        <v>27031520</v>
      </c>
      <c r="D198" s="55">
        <v>1758832</v>
      </c>
      <c r="E198" s="55"/>
      <c r="F198" s="55"/>
    </row>
    <row r="199" spans="1:6">
      <c r="A199" t="s">
        <v>36</v>
      </c>
      <c r="B199" t="s">
        <v>37</v>
      </c>
      <c r="C199" s="55">
        <v>53171380</v>
      </c>
      <c r="D199" s="55">
        <v>4473581</v>
      </c>
      <c r="E199" s="55"/>
      <c r="F199" s="55"/>
    </row>
    <row r="200" spans="1:6">
      <c r="A200" t="s">
        <v>145</v>
      </c>
      <c r="B200" t="s">
        <v>146</v>
      </c>
      <c r="C200" s="55">
        <v>4839968</v>
      </c>
      <c r="D200" s="55">
        <v>549068</v>
      </c>
      <c r="E200" s="55"/>
      <c r="F200" s="55"/>
    </row>
    <row r="201" spans="1:6">
      <c r="A201" t="s">
        <v>619</v>
      </c>
      <c r="B201" t="s">
        <v>620</v>
      </c>
      <c r="C201" s="55">
        <v>10207427</v>
      </c>
      <c r="D201" s="55">
        <v>883077</v>
      </c>
      <c r="E201" s="55">
        <v>1</v>
      </c>
      <c r="F201" s="55"/>
    </row>
    <row r="202" spans="1:6">
      <c r="A202" t="s">
        <v>175</v>
      </c>
      <c r="B202" t="s">
        <v>176</v>
      </c>
      <c r="C202" s="55">
        <v>10922691</v>
      </c>
      <c r="D202" s="55">
        <v>797475</v>
      </c>
      <c r="E202" s="55"/>
      <c r="F202" s="55"/>
    </row>
    <row r="203" spans="1:6">
      <c r="A203" t="s">
        <v>217</v>
      </c>
      <c r="B203" t="s">
        <v>218</v>
      </c>
      <c r="C203" s="55">
        <v>814119</v>
      </c>
      <c r="D203" s="55">
        <v>60529</v>
      </c>
      <c r="E203" s="55"/>
      <c r="F203" s="55"/>
    </row>
    <row r="204" spans="1:6">
      <c r="A204" t="s">
        <v>489</v>
      </c>
      <c r="B204" t="s">
        <v>490</v>
      </c>
      <c r="C204" s="55">
        <v>3500</v>
      </c>
      <c r="D204" s="55"/>
      <c r="E204" s="55"/>
      <c r="F204" s="55"/>
    </row>
    <row r="205" spans="1:6">
      <c r="A205" t="s">
        <v>383</v>
      </c>
      <c r="B205" t="s">
        <v>384</v>
      </c>
      <c r="C205" s="55">
        <v>2416033</v>
      </c>
      <c r="D205" s="55">
        <v>159742</v>
      </c>
      <c r="E205" s="55"/>
      <c r="F205" s="55"/>
    </row>
    <row r="206" spans="1:6">
      <c r="A206" t="s">
        <v>277</v>
      </c>
      <c r="B206" t="s">
        <v>278</v>
      </c>
      <c r="C206" s="55">
        <v>871525</v>
      </c>
      <c r="D206" s="55">
        <v>95017</v>
      </c>
      <c r="E206" s="55"/>
      <c r="F206" s="55"/>
    </row>
    <row r="207" spans="1:6">
      <c r="A207" t="s">
        <v>475</v>
      </c>
      <c r="B207" t="s">
        <v>476</v>
      </c>
      <c r="C207" s="55">
        <v>2570719</v>
      </c>
      <c r="D207" s="55">
        <v>264170</v>
      </c>
      <c r="E207" s="55"/>
      <c r="F207" s="55"/>
    </row>
    <row r="208" spans="1:6">
      <c r="A208" t="s">
        <v>105</v>
      </c>
      <c r="B208" t="s">
        <v>106</v>
      </c>
      <c r="C208" s="55">
        <v>2004852</v>
      </c>
      <c r="D208" s="55">
        <v>149438</v>
      </c>
      <c r="E208" s="55"/>
      <c r="F208" s="55"/>
    </row>
    <row r="209" spans="1:6">
      <c r="A209" t="s">
        <v>55</v>
      </c>
      <c r="B209" t="s">
        <v>56</v>
      </c>
      <c r="C209" s="55">
        <v>10780862</v>
      </c>
      <c r="D209" s="55">
        <v>783008</v>
      </c>
      <c r="E209" s="55"/>
      <c r="F209" s="55"/>
    </row>
    <row r="210" spans="1:6">
      <c r="A210" t="s">
        <v>481</v>
      </c>
      <c r="B210" t="s">
        <v>482</v>
      </c>
      <c r="C210" s="55">
        <v>17232435</v>
      </c>
      <c r="D210" s="55">
        <v>975064</v>
      </c>
      <c r="E210" s="55"/>
      <c r="F210" s="55"/>
    </row>
    <row r="211" spans="1:6">
      <c r="A211" t="s">
        <v>14</v>
      </c>
      <c r="B211" t="s">
        <v>16</v>
      </c>
      <c r="C211" s="55">
        <v>6481522</v>
      </c>
      <c r="D211" s="55">
        <v>599997</v>
      </c>
      <c r="E211" s="55"/>
      <c r="F211" s="55"/>
    </row>
    <row r="212" spans="1:6">
      <c r="A212" t="s">
        <v>253</v>
      </c>
      <c r="B212" t="s">
        <v>254</v>
      </c>
      <c r="C212" s="55">
        <v>1747049</v>
      </c>
      <c r="D212" s="55">
        <v>144233</v>
      </c>
      <c r="E212" s="55"/>
      <c r="F212" s="55">
        <v>115578</v>
      </c>
    </row>
    <row r="213" spans="1:6">
      <c r="A213" t="s">
        <v>107</v>
      </c>
      <c r="B213" t="s">
        <v>108</v>
      </c>
      <c r="C213" s="55">
        <v>681654</v>
      </c>
      <c r="D213" s="55">
        <v>83273</v>
      </c>
      <c r="E213" s="55"/>
      <c r="F213" s="55"/>
    </row>
    <row r="214" spans="1:6">
      <c r="A214" t="s">
        <v>327</v>
      </c>
      <c r="B214" t="s">
        <v>328</v>
      </c>
      <c r="C214" s="55">
        <v>22646859</v>
      </c>
      <c r="D214" s="55">
        <v>1556169</v>
      </c>
      <c r="E214" s="55"/>
      <c r="F214" s="55"/>
    </row>
    <row r="215" spans="1:6">
      <c r="A215" t="s">
        <v>495</v>
      </c>
      <c r="B215" t="s">
        <v>496</v>
      </c>
      <c r="C215" s="55">
        <v>149942</v>
      </c>
      <c r="D215" s="55"/>
      <c r="E215" s="55"/>
      <c r="F215" s="55"/>
    </row>
    <row r="216" spans="1:6">
      <c r="A216" t="s">
        <v>325</v>
      </c>
      <c r="B216" t="s">
        <v>326</v>
      </c>
      <c r="C216" s="55">
        <v>164461</v>
      </c>
      <c r="D216" s="55"/>
      <c r="E216" s="55"/>
      <c r="F216" s="55"/>
    </row>
    <row r="217" spans="1:6">
      <c r="A217" t="s">
        <v>309</v>
      </c>
      <c r="B217" t="s">
        <v>310</v>
      </c>
      <c r="C217" s="55">
        <v>81851</v>
      </c>
      <c r="D217" s="55"/>
      <c r="E217" s="55"/>
      <c r="F217" s="55"/>
    </row>
    <row r="218" spans="1:6">
      <c r="A218" t="s">
        <v>531</v>
      </c>
      <c r="B218" t="s">
        <v>532</v>
      </c>
      <c r="C218" s="55">
        <v>1855359</v>
      </c>
      <c r="D218" s="55"/>
      <c r="E218" s="55"/>
      <c r="F218" s="55"/>
    </row>
    <row r="219" spans="1:6">
      <c r="A219" t="s">
        <v>165</v>
      </c>
      <c r="B219" t="s">
        <v>166</v>
      </c>
      <c r="C219" s="55">
        <v>69367301</v>
      </c>
      <c r="D219" s="55">
        <v>4867735</v>
      </c>
      <c r="E219" s="55"/>
      <c r="F219" s="55"/>
    </row>
    <row r="220" spans="1:6">
      <c r="A220" t="s">
        <v>261</v>
      </c>
      <c r="B220" t="s">
        <v>262</v>
      </c>
      <c r="C220" s="55">
        <v>35150813</v>
      </c>
      <c r="D220" s="55">
        <v>1894820</v>
      </c>
      <c r="E220" s="55"/>
      <c r="F220" s="55"/>
    </row>
    <row r="221" spans="1:6">
      <c r="A221" t="s">
        <v>329</v>
      </c>
      <c r="B221" t="s">
        <v>330</v>
      </c>
      <c r="C221" s="55">
        <v>59389438</v>
      </c>
      <c r="D221" s="55">
        <v>3357889</v>
      </c>
      <c r="E221" s="55"/>
      <c r="F221" s="55"/>
    </row>
    <row r="222" spans="1:6">
      <c r="A222" t="s">
        <v>147</v>
      </c>
      <c r="B222" t="s">
        <v>148</v>
      </c>
      <c r="C222" s="55">
        <v>75910137</v>
      </c>
      <c r="D222" s="55">
        <v>4454112</v>
      </c>
      <c r="E222" s="55"/>
      <c r="F222" s="55"/>
    </row>
    <row r="223" spans="1:6">
      <c r="A223" t="s">
        <v>17</v>
      </c>
      <c r="B223" t="s">
        <v>18</v>
      </c>
      <c r="C223" s="55">
        <v>17802520</v>
      </c>
      <c r="D223" s="55">
        <v>1139385</v>
      </c>
      <c r="E223" s="55"/>
      <c r="F223" s="55"/>
    </row>
    <row r="224" spans="1:6">
      <c r="A224" t="s">
        <v>295</v>
      </c>
      <c r="B224" t="s">
        <v>296</v>
      </c>
      <c r="C224" s="55">
        <v>34708945</v>
      </c>
      <c r="D224" s="55">
        <v>2591097</v>
      </c>
      <c r="E224" s="55"/>
      <c r="F224" s="55">
        <v>153468</v>
      </c>
    </row>
    <row r="225" spans="1:6">
      <c r="A225" t="s">
        <v>225</v>
      </c>
      <c r="B225" t="s">
        <v>226</v>
      </c>
      <c r="C225" s="55">
        <v>98252</v>
      </c>
      <c r="D225" s="55">
        <v>8751</v>
      </c>
      <c r="E225" s="55"/>
      <c r="F225" s="55"/>
    </row>
    <row r="226" spans="1:6">
      <c r="A226" t="s">
        <v>311</v>
      </c>
      <c r="B226" t="s">
        <v>312</v>
      </c>
      <c r="C226" s="55">
        <v>18201359</v>
      </c>
      <c r="D226" s="55">
        <v>1239120</v>
      </c>
      <c r="E226" s="55"/>
      <c r="F226" s="55"/>
    </row>
    <row r="227" spans="1:6">
      <c r="A227" t="s">
        <v>499</v>
      </c>
      <c r="B227" t="s">
        <v>500</v>
      </c>
      <c r="C227" s="55">
        <v>30304856</v>
      </c>
      <c r="D227" s="55">
        <v>2031639</v>
      </c>
      <c r="E227" s="55"/>
      <c r="F227" s="55"/>
    </row>
    <row r="228" spans="1:6">
      <c r="A228" t="s">
        <v>265</v>
      </c>
      <c r="B228" t="s">
        <v>266</v>
      </c>
      <c r="C228" s="55">
        <v>8692541</v>
      </c>
      <c r="D228" s="55">
        <v>746979</v>
      </c>
      <c r="E228" s="55"/>
      <c r="F228" s="55"/>
    </row>
    <row r="229" spans="1:6">
      <c r="A229" t="s">
        <v>533</v>
      </c>
      <c r="B229" t="s">
        <v>534</v>
      </c>
      <c r="C229" s="55">
        <v>7530972</v>
      </c>
      <c r="D229" s="55">
        <v>472926</v>
      </c>
      <c r="E229" s="55"/>
      <c r="F229" s="55"/>
    </row>
    <row r="230" spans="1:6">
      <c r="A230" t="s">
        <v>125</v>
      </c>
      <c r="B230" t="s">
        <v>126</v>
      </c>
      <c r="C230" s="55">
        <v>1254601</v>
      </c>
      <c r="D230" s="55">
        <v>124066</v>
      </c>
      <c r="E230" s="55"/>
      <c r="F230" s="55"/>
    </row>
    <row r="231" spans="1:6">
      <c r="A231" t="s">
        <v>195</v>
      </c>
      <c r="B231" t="s">
        <v>196</v>
      </c>
      <c r="C231" s="55">
        <v>9031576</v>
      </c>
      <c r="D231" s="55">
        <v>500925</v>
      </c>
      <c r="E231" s="55"/>
      <c r="F231" s="55"/>
    </row>
    <row r="232" spans="1:6">
      <c r="A232" t="s">
        <v>519</v>
      </c>
      <c r="B232" t="s">
        <v>520</v>
      </c>
      <c r="C232" s="55">
        <v>17765508</v>
      </c>
      <c r="D232" s="55">
        <v>1042341</v>
      </c>
      <c r="E232" s="55"/>
      <c r="F232" s="55"/>
    </row>
    <row r="233" spans="1:6">
      <c r="A233" t="s">
        <v>513</v>
      </c>
      <c r="B233" t="s">
        <v>514</v>
      </c>
      <c r="C233" s="55">
        <v>79066993</v>
      </c>
      <c r="D233" s="55">
        <v>6962825</v>
      </c>
      <c r="E233" s="55"/>
      <c r="F233" s="55"/>
    </row>
    <row r="234" spans="1:6">
      <c r="A234" t="s">
        <v>385</v>
      </c>
      <c r="B234" t="s">
        <v>386</v>
      </c>
      <c r="C234" s="55">
        <v>129066</v>
      </c>
      <c r="D234" s="55">
        <v>43876</v>
      </c>
      <c r="E234" s="55"/>
      <c r="F234" s="55"/>
    </row>
    <row r="235" spans="1:6">
      <c r="A235" t="s">
        <v>199</v>
      </c>
      <c r="B235" t="s">
        <v>200</v>
      </c>
      <c r="C235" s="55">
        <v>76960</v>
      </c>
      <c r="D235" s="55">
        <v>8334</v>
      </c>
      <c r="E235" s="55"/>
      <c r="F235" s="55"/>
    </row>
    <row r="236" spans="1:6">
      <c r="A236" t="s">
        <v>341</v>
      </c>
      <c r="B236" t="s">
        <v>342</v>
      </c>
      <c r="C236" s="55">
        <v>2593776</v>
      </c>
      <c r="D236" s="55">
        <v>338376</v>
      </c>
      <c r="E236" s="55"/>
      <c r="F236" s="55"/>
    </row>
    <row r="237" spans="1:6">
      <c r="A237" t="s">
        <v>301</v>
      </c>
      <c r="B237" t="s">
        <v>302</v>
      </c>
      <c r="C237" s="55">
        <v>3749298</v>
      </c>
      <c r="D237" s="55">
        <v>406549</v>
      </c>
      <c r="E237" s="55">
        <v>228147</v>
      </c>
      <c r="F237" s="55">
        <v>97584</v>
      </c>
    </row>
    <row r="238" spans="1:6">
      <c r="A238" t="s">
        <v>299</v>
      </c>
      <c r="B238" t="s">
        <v>300</v>
      </c>
      <c r="C238" s="55">
        <v>29853612</v>
      </c>
      <c r="D238" s="55">
        <v>2049109</v>
      </c>
      <c r="E238" s="55"/>
      <c r="F238" s="55"/>
    </row>
    <row r="239" spans="1:6">
      <c r="A239" t="s">
        <v>75</v>
      </c>
      <c r="B239" t="s">
        <v>76</v>
      </c>
      <c r="C239" s="55">
        <v>40957501</v>
      </c>
      <c r="D239" s="55">
        <v>2986325</v>
      </c>
      <c r="E239" s="55"/>
      <c r="F239" s="55"/>
    </row>
    <row r="240" spans="1:6">
      <c r="A240" t="s">
        <v>181</v>
      </c>
      <c r="B240" t="s">
        <v>182</v>
      </c>
      <c r="C240" s="55">
        <v>1576081</v>
      </c>
      <c r="D240" s="55">
        <v>168209</v>
      </c>
      <c r="E240" s="55"/>
      <c r="F240" s="55"/>
    </row>
    <row r="241" spans="1:6">
      <c r="A241" t="s">
        <v>81</v>
      </c>
      <c r="B241" t="s">
        <v>82</v>
      </c>
      <c r="C241" s="55">
        <v>14916985</v>
      </c>
      <c r="D241" s="55">
        <v>1175287</v>
      </c>
      <c r="E241" s="55"/>
      <c r="F241" s="55"/>
    </row>
    <row r="242" spans="1:6">
      <c r="A242" t="s">
        <v>137</v>
      </c>
      <c r="B242" t="s">
        <v>138</v>
      </c>
      <c r="C242" s="55">
        <v>10510459</v>
      </c>
      <c r="D242" s="55">
        <v>845090</v>
      </c>
      <c r="E242" s="55"/>
      <c r="F242" s="55"/>
    </row>
    <row r="243" spans="1:6">
      <c r="A243" t="s">
        <v>269</v>
      </c>
      <c r="B243" t="s">
        <v>270</v>
      </c>
      <c r="C243" s="55">
        <v>1108432</v>
      </c>
      <c r="D243" s="55">
        <v>157756</v>
      </c>
      <c r="E243" s="55"/>
      <c r="F243" s="55"/>
    </row>
    <row r="244" spans="1:6">
      <c r="A244" t="s">
        <v>613</v>
      </c>
      <c r="B244" t="s">
        <v>614</v>
      </c>
      <c r="C244" s="55">
        <v>7459656</v>
      </c>
      <c r="D244" s="55">
        <v>819404</v>
      </c>
      <c r="E244" s="55"/>
      <c r="F244" s="55"/>
    </row>
    <row r="245" spans="1:6">
      <c r="A245" t="s">
        <v>131</v>
      </c>
      <c r="B245" t="s">
        <v>132</v>
      </c>
      <c r="C245" s="55">
        <v>5429583</v>
      </c>
      <c r="D245" s="55">
        <v>484245</v>
      </c>
      <c r="E245" s="55"/>
      <c r="F245" s="55"/>
    </row>
    <row r="246" spans="1:6">
      <c r="A246" t="s">
        <v>461</v>
      </c>
      <c r="B246" t="s">
        <v>462</v>
      </c>
      <c r="C246" s="55">
        <v>2565165</v>
      </c>
      <c r="D246" s="55">
        <v>420055</v>
      </c>
      <c r="E246" s="55"/>
      <c r="F246" s="55"/>
    </row>
    <row r="247" spans="1:6">
      <c r="A247" t="s">
        <v>515</v>
      </c>
      <c r="B247" t="s">
        <v>516</v>
      </c>
      <c r="C247" s="55">
        <v>1466682</v>
      </c>
      <c r="D247" s="55">
        <v>132921</v>
      </c>
      <c r="E247" s="55"/>
      <c r="F247" s="55"/>
    </row>
    <row r="248" spans="1:6">
      <c r="A248" t="s">
        <v>279</v>
      </c>
      <c r="B248" t="s">
        <v>280</v>
      </c>
      <c r="C248" s="55">
        <v>86417</v>
      </c>
      <c r="D248" s="55">
        <v>7491</v>
      </c>
      <c r="E248" s="55"/>
      <c r="F248" s="55"/>
    </row>
    <row r="249" spans="1:6">
      <c r="A249" t="s">
        <v>423</v>
      </c>
      <c r="B249" t="s">
        <v>424</v>
      </c>
      <c r="C249" s="55">
        <v>421180</v>
      </c>
      <c r="D249" s="55">
        <v>51337</v>
      </c>
      <c r="E249" s="55"/>
      <c r="F249" s="55"/>
    </row>
    <row r="250" spans="1:6">
      <c r="A250" t="s">
        <v>381</v>
      </c>
      <c r="B250" t="s">
        <v>382</v>
      </c>
      <c r="C250" s="55">
        <v>129684</v>
      </c>
      <c r="D250" s="55">
        <v>13025</v>
      </c>
      <c r="E250" s="55"/>
      <c r="F250" s="55"/>
    </row>
    <row r="251" spans="1:6">
      <c r="A251" t="s">
        <v>83</v>
      </c>
      <c r="B251" t="s">
        <v>84</v>
      </c>
      <c r="C251" s="55">
        <v>1814100</v>
      </c>
      <c r="D251" s="55">
        <v>203764</v>
      </c>
      <c r="E251" s="55"/>
      <c r="F251" s="55"/>
    </row>
    <row r="252" spans="1:6">
      <c r="A252" t="s">
        <v>607</v>
      </c>
      <c r="B252" t="s">
        <v>608</v>
      </c>
      <c r="C252" s="55">
        <v>1063451</v>
      </c>
      <c r="D252" s="55">
        <v>99342</v>
      </c>
      <c r="E252" s="55"/>
      <c r="F252" s="55">
        <v>131771</v>
      </c>
    </row>
    <row r="253" spans="1:6">
      <c r="A253" t="s">
        <v>581</v>
      </c>
      <c r="B253" t="s">
        <v>582</v>
      </c>
      <c r="C253" s="55">
        <v>1709277</v>
      </c>
      <c r="D253" s="55">
        <v>221742</v>
      </c>
      <c r="E253" s="55"/>
      <c r="F253" s="55"/>
    </row>
    <row r="254" spans="1:6">
      <c r="A254" t="s">
        <v>103</v>
      </c>
      <c r="B254" t="s">
        <v>104</v>
      </c>
      <c r="C254" s="55">
        <v>3984217</v>
      </c>
      <c r="D254" s="55">
        <v>454504</v>
      </c>
      <c r="E254" s="55"/>
      <c r="F254" s="55"/>
    </row>
    <row r="255" spans="1:6">
      <c r="A255" t="s">
        <v>275</v>
      </c>
      <c r="B255" t="s">
        <v>276</v>
      </c>
      <c r="C255" s="55">
        <v>307072</v>
      </c>
      <c r="D255" s="55">
        <v>59319</v>
      </c>
      <c r="E255" s="55"/>
      <c r="F255" s="55"/>
    </row>
    <row r="256" spans="1:6">
      <c r="A256" t="s">
        <v>541</v>
      </c>
      <c r="B256" t="s">
        <v>542</v>
      </c>
      <c r="C256" s="55">
        <v>185077</v>
      </c>
      <c r="D256" s="55">
        <v>21350</v>
      </c>
      <c r="E256" s="55"/>
      <c r="F256" s="55"/>
    </row>
    <row r="257" spans="1:6">
      <c r="A257" t="s">
        <v>169</v>
      </c>
      <c r="B257" t="s">
        <v>170</v>
      </c>
      <c r="C257" s="55">
        <v>92310</v>
      </c>
      <c r="D257" s="55">
        <v>9438</v>
      </c>
      <c r="E257" s="55"/>
      <c r="F257" s="55"/>
    </row>
    <row r="258" spans="1:6">
      <c r="A258" t="s">
        <v>99</v>
      </c>
      <c r="B258" t="s">
        <v>100</v>
      </c>
      <c r="C258" s="55">
        <v>227912</v>
      </c>
      <c r="D258" s="55">
        <v>33083</v>
      </c>
      <c r="E258" s="55"/>
      <c r="F258" s="55">
        <v>11000</v>
      </c>
    </row>
    <row r="259" spans="1:6">
      <c r="A259" t="s">
        <v>293</v>
      </c>
      <c r="B259" t="s">
        <v>294</v>
      </c>
      <c r="C259" s="55">
        <v>1439467</v>
      </c>
      <c r="D259" s="55">
        <v>149120</v>
      </c>
      <c r="E259" s="55"/>
      <c r="F259" s="55"/>
    </row>
    <row r="260" spans="1:6">
      <c r="A260" t="s">
        <v>357</v>
      </c>
      <c r="B260" t="s">
        <v>358</v>
      </c>
      <c r="C260" s="55">
        <v>614644</v>
      </c>
      <c r="D260" s="55">
        <v>54744</v>
      </c>
      <c r="E260" s="55"/>
      <c r="F260" s="55"/>
    </row>
    <row r="261" spans="1:6">
      <c r="A261" t="s">
        <v>243</v>
      </c>
      <c r="B261" t="s">
        <v>244</v>
      </c>
      <c r="C261" s="55">
        <v>2168339</v>
      </c>
      <c r="D261" s="55">
        <v>315920</v>
      </c>
      <c r="E261" s="55"/>
      <c r="F261" s="55"/>
    </row>
    <row r="262" spans="1:6">
      <c r="A262" t="s">
        <v>641</v>
      </c>
      <c r="B262" t="s">
        <v>642</v>
      </c>
      <c r="C262" s="55">
        <v>18707816</v>
      </c>
      <c r="D262" s="55">
        <v>1116142</v>
      </c>
      <c r="E262" s="55"/>
      <c r="F262" s="55"/>
    </row>
    <row r="263" spans="1:6">
      <c r="A263" t="s">
        <v>355</v>
      </c>
      <c r="B263" t="s">
        <v>356</v>
      </c>
      <c r="C263" s="55">
        <v>56270482</v>
      </c>
      <c r="D263" s="55">
        <v>3234242</v>
      </c>
      <c r="E263" s="55"/>
      <c r="F263" s="55">
        <v>100000</v>
      </c>
    </row>
    <row r="264" spans="1:6">
      <c r="A264" t="s">
        <v>575</v>
      </c>
      <c r="B264" t="s">
        <v>576</v>
      </c>
      <c r="C264" s="55">
        <v>16596861</v>
      </c>
      <c r="D264" s="55">
        <v>1626000</v>
      </c>
      <c r="E264" s="55"/>
      <c r="F264" s="55"/>
    </row>
    <row r="265" spans="1:6">
      <c r="A265" t="s">
        <v>375</v>
      </c>
      <c r="B265" t="s">
        <v>376</v>
      </c>
      <c r="C265" s="55">
        <v>33382594</v>
      </c>
      <c r="D265" s="55">
        <v>2121258</v>
      </c>
      <c r="E265" s="55"/>
      <c r="F265" s="55"/>
    </row>
    <row r="266" spans="1:6">
      <c r="A266" t="s">
        <v>441</v>
      </c>
      <c r="B266" t="s">
        <v>442</v>
      </c>
      <c r="C266" s="55">
        <v>2130914</v>
      </c>
      <c r="D266" s="55">
        <v>210312</v>
      </c>
      <c r="E266" s="55"/>
      <c r="F266" s="55"/>
    </row>
    <row r="267" spans="1:6">
      <c r="A267" t="s">
        <v>203</v>
      </c>
      <c r="B267" t="s">
        <v>204</v>
      </c>
      <c r="C267" s="55">
        <v>1469093</v>
      </c>
      <c r="D267" s="55">
        <v>103343</v>
      </c>
      <c r="E267" s="55"/>
      <c r="F267" s="55"/>
    </row>
    <row r="268" spans="1:6">
      <c r="A268" t="s">
        <v>465</v>
      </c>
      <c r="B268" t="s">
        <v>466</v>
      </c>
      <c r="C268" s="55">
        <v>7185386</v>
      </c>
      <c r="D268" s="55">
        <v>549503</v>
      </c>
      <c r="E268" s="55"/>
      <c r="F268" s="55"/>
    </row>
    <row r="269" spans="1:6">
      <c r="A269" t="s">
        <v>557</v>
      </c>
      <c r="B269" t="s">
        <v>558</v>
      </c>
      <c r="C269" s="55">
        <v>2928332</v>
      </c>
      <c r="D269" s="55">
        <v>315389</v>
      </c>
      <c r="E269" s="55"/>
      <c r="F269" s="55"/>
    </row>
    <row r="270" spans="1:6">
      <c r="A270" t="s">
        <v>589</v>
      </c>
      <c r="B270" t="s">
        <v>590</v>
      </c>
      <c r="C270" s="55">
        <v>1009116</v>
      </c>
      <c r="D270" s="55"/>
      <c r="E270" s="55"/>
      <c r="F270" s="55"/>
    </row>
    <row r="271" spans="1:6">
      <c r="A271" t="s">
        <v>135</v>
      </c>
      <c r="B271" t="s">
        <v>136</v>
      </c>
      <c r="C271" s="55">
        <v>20000</v>
      </c>
      <c r="D271" s="55"/>
      <c r="E271" s="55"/>
      <c r="F271" s="55"/>
    </row>
    <row r="272" spans="1:6">
      <c r="A272" t="s">
        <v>595</v>
      </c>
      <c r="B272" t="s">
        <v>596</v>
      </c>
      <c r="C272" s="55">
        <v>13243730</v>
      </c>
      <c r="D272" s="55">
        <v>1371521</v>
      </c>
      <c r="E272" s="55"/>
      <c r="F272" s="55"/>
    </row>
    <row r="273" spans="1:6">
      <c r="A273" t="s">
        <v>95</v>
      </c>
      <c r="B273" t="s">
        <v>96</v>
      </c>
      <c r="C273" s="55">
        <v>3570036</v>
      </c>
      <c r="D273" s="55">
        <v>459652</v>
      </c>
      <c r="E273" s="55"/>
      <c r="F273" s="55"/>
    </row>
    <row r="274" spans="1:6">
      <c r="A274" t="s">
        <v>567</v>
      </c>
      <c r="B274" t="s">
        <v>568</v>
      </c>
      <c r="C274" s="55">
        <v>243895</v>
      </c>
      <c r="D274" s="55">
        <v>51200</v>
      </c>
      <c r="E274" s="55"/>
      <c r="F274" s="55"/>
    </row>
    <row r="275" spans="1:6">
      <c r="A275" t="s">
        <v>101</v>
      </c>
      <c r="B275" t="s">
        <v>102</v>
      </c>
      <c r="C275" s="55">
        <v>1572952</v>
      </c>
      <c r="D275" s="55">
        <v>171000</v>
      </c>
      <c r="E275" s="55"/>
      <c r="F275" s="55"/>
    </row>
    <row r="276" spans="1:6">
      <c r="A276" t="s">
        <v>593</v>
      </c>
      <c r="B276" t="s">
        <v>594</v>
      </c>
      <c r="C276" s="55">
        <v>491887</v>
      </c>
      <c r="D276" s="55"/>
      <c r="E276" s="55"/>
      <c r="F276" s="55"/>
    </row>
    <row r="277" spans="1:6">
      <c r="A277" t="s">
        <v>421</v>
      </c>
      <c r="B277" t="s">
        <v>422</v>
      </c>
      <c r="C277" s="55">
        <v>494932</v>
      </c>
      <c r="D277" s="55">
        <v>55000</v>
      </c>
      <c r="E277" s="55"/>
      <c r="F277" s="55"/>
    </row>
    <row r="278" spans="1:6">
      <c r="A278" t="s">
        <v>32</v>
      </c>
      <c r="B278" t="s">
        <v>33</v>
      </c>
      <c r="C278" s="55">
        <v>36513195</v>
      </c>
      <c r="D278" s="55">
        <v>2504044</v>
      </c>
      <c r="E278" s="55"/>
      <c r="F278" s="55"/>
    </row>
    <row r="279" spans="1:6">
      <c r="A279" t="s">
        <v>173</v>
      </c>
      <c r="B279" t="s">
        <v>174</v>
      </c>
      <c r="C279" s="55">
        <v>15453880</v>
      </c>
      <c r="D279" s="55">
        <v>1030000</v>
      </c>
      <c r="E279" s="55"/>
      <c r="F279" s="55">
        <v>105256</v>
      </c>
    </row>
    <row r="280" spans="1:6">
      <c r="A280" t="s">
        <v>41</v>
      </c>
      <c r="B280" t="s">
        <v>42</v>
      </c>
      <c r="C280" s="55">
        <v>6714499</v>
      </c>
      <c r="D280" s="55">
        <v>473506</v>
      </c>
      <c r="E280" s="55"/>
      <c r="F280" s="55"/>
    </row>
    <row r="281" spans="1:6">
      <c r="A281" t="s">
        <v>283</v>
      </c>
      <c r="B281" t="s">
        <v>284</v>
      </c>
      <c r="C281" s="55">
        <v>9639952</v>
      </c>
      <c r="D281" s="55">
        <v>949874</v>
      </c>
      <c r="E281" s="55"/>
      <c r="F281" s="55"/>
    </row>
    <row r="282" spans="1:6">
      <c r="A282" t="s">
        <v>305</v>
      </c>
      <c r="B282" t="s">
        <v>306</v>
      </c>
      <c r="C282" s="55">
        <v>4926813</v>
      </c>
      <c r="D282" s="55">
        <v>360532</v>
      </c>
      <c r="E282" s="55"/>
      <c r="F282" s="55"/>
    </row>
    <row r="283" spans="1:6">
      <c r="A283" t="s">
        <v>343</v>
      </c>
      <c r="B283" t="s">
        <v>344</v>
      </c>
      <c r="C283" s="55">
        <v>5565100</v>
      </c>
      <c r="D283" s="55">
        <v>417101</v>
      </c>
      <c r="E283" s="55"/>
      <c r="F283" s="55"/>
    </row>
    <row r="284" spans="1:6">
      <c r="A284" t="s">
        <v>323</v>
      </c>
      <c r="B284" t="s">
        <v>324</v>
      </c>
      <c r="C284" s="55">
        <v>5716557</v>
      </c>
      <c r="D284" s="55">
        <v>270024</v>
      </c>
      <c r="E284" s="55"/>
      <c r="F284" s="55">
        <v>17803</v>
      </c>
    </row>
    <row r="285" spans="1:6">
      <c r="A285" t="s">
        <v>615</v>
      </c>
      <c r="B285" t="s">
        <v>616</v>
      </c>
      <c r="C285" s="55">
        <v>283076</v>
      </c>
      <c r="D285" s="55">
        <v>22629</v>
      </c>
      <c r="E285" s="55"/>
      <c r="F285" s="55"/>
    </row>
    <row r="286" spans="1:6">
      <c r="A286" t="s">
        <v>255</v>
      </c>
      <c r="B286" t="s">
        <v>256</v>
      </c>
      <c r="C286" s="55">
        <v>219738</v>
      </c>
      <c r="D286" s="55">
        <v>19332</v>
      </c>
      <c r="E286" s="55"/>
      <c r="F286" s="55"/>
    </row>
    <row r="287" spans="1:6">
      <c r="A287" t="s">
        <v>267</v>
      </c>
      <c r="B287" t="s">
        <v>268</v>
      </c>
      <c r="C287" s="55">
        <v>114999</v>
      </c>
      <c r="D287" s="55">
        <v>5300</v>
      </c>
      <c r="E287" s="55"/>
      <c r="F287" s="55"/>
    </row>
    <row r="288" spans="1:6">
      <c r="A288" t="s">
        <v>555</v>
      </c>
      <c r="B288" t="s">
        <v>556</v>
      </c>
      <c r="C288" s="55">
        <v>559284</v>
      </c>
      <c r="D288" s="55">
        <v>40473</v>
      </c>
      <c r="E288" s="55"/>
      <c r="F288" s="55"/>
    </row>
    <row r="289" spans="1:6">
      <c r="A289" t="s">
        <v>427</v>
      </c>
      <c r="B289" t="s">
        <v>428</v>
      </c>
      <c r="C289" s="55">
        <v>5252898</v>
      </c>
      <c r="D289" s="55">
        <v>524809</v>
      </c>
      <c r="E289" s="55"/>
      <c r="F289" s="55"/>
    </row>
    <row r="290" spans="1:6">
      <c r="A290" t="s">
        <v>93</v>
      </c>
      <c r="B290" t="s">
        <v>94</v>
      </c>
      <c r="C290" s="55">
        <v>946684</v>
      </c>
      <c r="D290" s="55">
        <v>114137</v>
      </c>
      <c r="E290" s="55"/>
      <c r="F290" s="55"/>
    </row>
    <row r="291" spans="1:6">
      <c r="A291" t="s">
        <v>399</v>
      </c>
      <c r="B291" t="s">
        <v>400</v>
      </c>
      <c r="C291" s="55">
        <v>356844</v>
      </c>
      <c r="D291" s="55">
        <v>47926</v>
      </c>
      <c r="E291" s="55"/>
      <c r="F291" s="55"/>
    </row>
    <row r="292" spans="1:6">
      <c r="A292" t="s">
        <v>183</v>
      </c>
      <c r="B292" t="s">
        <v>184</v>
      </c>
      <c r="C292" s="55">
        <v>294838</v>
      </c>
      <c r="D292" s="55">
        <v>34000</v>
      </c>
      <c r="E292" s="55"/>
      <c r="F292" s="55"/>
    </row>
    <row r="293" spans="1:6">
      <c r="A293" t="s">
        <v>529</v>
      </c>
      <c r="B293" t="s">
        <v>530</v>
      </c>
      <c r="C293" s="55">
        <v>182261</v>
      </c>
      <c r="D293" s="55">
        <v>10000</v>
      </c>
      <c r="E293" s="55"/>
      <c r="F293" s="55"/>
    </row>
    <row r="294" spans="1:6">
      <c r="A294" t="s">
        <v>97</v>
      </c>
      <c r="B294" t="s">
        <v>98</v>
      </c>
      <c r="C294" s="55">
        <v>423095</v>
      </c>
      <c r="D294" s="55">
        <v>40000</v>
      </c>
      <c r="E294" s="55"/>
      <c r="F294" s="55"/>
    </row>
    <row r="295" spans="1:6">
      <c r="A295" t="s">
        <v>153</v>
      </c>
      <c r="B295" t="s">
        <v>154</v>
      </c>
      <c r="C295" s="55">
        <v>236841</v>
      </c>
      <c r="D295" s="55">
        <v>20000</v>
      </c>
      <c r="E295" s="55"/>
      <c r="F295" s="55"/>
    </row>
    <row r="296" spans="1:6">
      <c r="A296" t="s">
        <v>469</v>
      </c>
      <c r="B296" t="s">
        <v>470</v>
      </c>
      <c r="C296" s="55">
        <v>353712</v>
      </c>
      <c r="D296" s="55">
        <v>30000</v>
      </c>
      <c r="E296" s="55"/>
      <c r="F296" s="55"/>
    </row>
    <row r="297" spans="1:6">
      <c r="A297" t="s">
        <v>473</v>
      </c>
      <c r="B297" t="s">
        <v>474</v>
      </c>
      <c r="C297" s="55">
        <v>313532</v>
      </c>
      <c r="D297" s="55">
        <v>35200</v>
      </c>
      <c r="E297" s="55"/>
      <c r="F297" s="55"/>
    </row>
    <row r="298" spans="1:6">
      <c r="A298" t="s">
        <v>363</v>
      </c>
      <c r="B298" t="s">
        <v>364</v>
      </c>
      <c r="C298" s="55">
        <v>283845</v>
      </c>
      <c r="D298" s="55">
        <v>30000</v>
      </c>
      <c r="E298" s="55"/>
      <c r="F298" s="55"/>
    </row>
    <row r="299" spans="1:6">
      <c r="A299" t="s">
        <v>577</v>
      </c>
      <c r="B299" t="s">
        <v>578</v>
      </c>
      <c r="C299" s="55">
        <v>903436</v>
      </c>
      <c r="D299" s="55">
        <v>121578</v>
      </c>
      <c r="E299" s="55"/>
      <c r="F299" s="55"/>
    </row>
    <row r="300" spans="1:6">
      <c r="A300" t="s">
        <v>331</v>
      </c>
      <c r="B300" t="s">
        <v>332</v>
      </c>
      <c r="C300" s="55">
        <v>2241815</v>
      </c>
      <c r="D300" s="55">
        <v>337879</v>
      </c>
      <c r="E300" s="55"/>
      <c r="F300" s="55"/>
    </row>
    <row r="301" spans="1:6">
      <c r="A301" t="s">
        <v>639</v>
      </c>
      <c r="B301" t="s">
        <v>640</v>
      </c>
      <c r="C301" s="55">
        <v>42016455</v>
      </c>
      <c r="D301" s="55">
        <v>5157634</v>
      </c>
      <c r="E301" s="55"/>
      <c r="F301" s="55"/>
    </row>
    <row r="302" spans="1:6">
      <c r="A302" t="s">
        <v>139</v>
      </c>
      <c r="B302" t="s">
        <v>140</v>
      </c>
      <c r="C302" s="55">
        <v>6013676</v>
      </c>
      <c r="D302" s="55">
        <v>718339</v>
      </c>
      <c r="E302" s="55"/>
      <c r="F302" s="55"/>
    </row>
    <row r="303" spans="1:6">
      <c r="A303" t="s">
        <v>483</v>
      </c>
      <c r="B303" t="s">
        <v>484</v>
      </c>
      <c r="C303" s="55">
        <v>7135546</v>
      </c>
      <c r="D303" s="55">
        <v>821934</v>
      </c>
      <c r="E303" s="55">
        <v>190967</v>
      </c>
      <c r="F303" s="55"/>
    </row>
    <row r="304" spans="1:6">
      <c r="A304" t="s">
        <v>285</v>
      </c>
      <c r="B304" t="s">
        <v>286</v>
      </c>
      <c r="C304" s="55">
        <v>1023595</v>
      </c>
      <c r="D304" s="55"/>
      <c r="E304" s="55"/>
      <c r="F304" s="55"/>
    </row>
    <row r="305" spans="1:6">
      <c r="A305" t="s">
        <v>191</v>
      </c>
      <c r="B305" t="s">
        <v>192</v>
      </c>
      <c r="C305" s="55">
        <v>7701679</v>
      </c>
      <c r="D305" s="55">
        <v>775409</v>
      </c>
      <c r="E305" s="55"/>
      <c r="F305" s="55"/>
    </row>
    <row r="306" spans="1:6">
      <c r="A306" t="s">
        <v>545</v>
      </c>
      <c r="B306" t="s">
        <v>546</v>
      </c>
      <c r="C306" s="55">
        <v>11900639</v>
      </c>
      <c r="D306" s="55">
        <v>1451839</v>
      </c>
      <c r="E306" s="55"/>
      <c r="F306" s="55"/>
    </row>
    <row r="307" spans="1:6">
      <c r="A307" t="s">
        <v>565</v>
      </c>
      <c r="B307" t="s">
        <v>566</v>
      </c>
      <c r="C307" s="55">
        <v>6262473</v>
      </c>
      <c r="D307" s="55">
        <v>835161</v>
      </c>
      <c r="E307" s="55"/>
      <c r="F307" s="55">
        <v>85000</v>
      </c>
    </row>
    <row r="308" spans="1:6">
      <c r="A308" t="s">
        <v>207</v>
      </c>
      <c r="B308" t="s">
        <v>208</v>
      </c>
      <c r="C308" s="55">
        <v>1722699</v>
      </c>
      <c r="D308" s="55">
        <v>231849</v>
      </c>
      <c r="E308" s="55"/>
      <c r="F308" s="55"/>
    </row>
    <row r="309" spans="1:6">
      <c r="A309" t="s">
        <v>193</v>
      </c>
      <c r="B309" t="s">
        <v>194</v>
      </c>
      <c r="C309" s="55">
        <v>2771611</v>
      </c>
      <c r="D309" s="55">
        <v>322187</v>
      </c>
      <c r="E309" s="55"/>
      <c r="F309" s="55">
        <v>18000</v>
      </c>
    </row>
    <row r="310" spans="1:6">
      <c r="A310" t="s">
        <v>643</v>
      </c>
      <c r="B310" t="s">
        <v>644</v>
      </c>
      <c r="C310" s="55">
        <v>1925932</v>
      </c>
      <c r="D310" s="55">
        <v>239381</v>
      </c>
      <c r="E310" s="55"/>
      <c r="F310" s="55"/>
    </row>
    <row r="311" spans="1:6">
      <c r="A311" t="s">
        <v>597</v>
      </c>
      <c r="B311" t="s">
        <v>598</v>
      </c>
      <c r="C311" s="55">
        <v>5787686</v>
      </c>
      <c r="D311" s="55">
        <v>819495</v>
      </c>
      <c r="E311" s="55"/>
      <c r="F311" s="55">
        <v>140080</v>
      </c>
    </row>
    <row r="312" spans="1:6">
      <c r="A312" t="s">
        <v>611</v>
      </c>
      <c r="B312" t="s">
        <v>612</v>
      </c>
      <c r="C312" s="55">
        <v>9617013</v>
      </c>
      <c r="D312" s="55">
        <v>1145696</v>
      </c>
      <c r="E312" s="55"/>
      <c r="F312" s="55"/>
    </row>
    <row r="313" spans="1:6">
      <c r="A313" t="s">
        <v>321</v>
      </c>
      <c r="B313" t="s">
        <v>322</v>
      </c>
      <c r="C313" s="55">
        <v>1755854</v>
      </c>
      <c r="D313" s="55">
        <v>255954</v>
      </c>
      <c r="E313" s="55"/>
      <c r="F313" s="55">
        <v>67600</v>
      </c>
    </row>
  </sheetData>
  <autoFilter ref="A4:F4" xr:uid="{D0D300D0-DE7C-4824-AA4F-B6C5DA84C20F}"/>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AD5FD-1F25-47AA-9FD7-19EEC0EC31A6}">
  <sheetPr>
    <tabColor rgb="FF92D050"/>
  </sheetPr>
  <dimension ref="A1:N312"/>
  <sheetViews>
    <sheetView workbookViewId="0">
      <selection activeCell="I16" sqref="I16"/>
    </sheetView>
  </sheetViews>
  <sheetFormatPr defaultRowHeight="12.75"/>
  <cols>
    <col min="2" max="2" width="46.5703125" customWidth="1"/>
    <col min="3" max="3" width="13.85546875" bestFit="1" customWidth="1"/>
    <col min="4" max="4" width="14.85546875" bestFit="1" customWidth="1"/>
    <col min="5" max="6" width="12.7109375" bestFit="1" customWidth="1"/>
    <col min="7" max="7" width="12.7109375" customWidth="1"/>
    <col min="8" max="8" width="12.7109375" bestFit="1" customWidth="1"/>
    <col min="9" max="9" width="11.140625" bestFit="1" customWidth="1"/>
    <col min="10" max="10" width="18.7109375" customWidth="1"/>
    <col min="11" max="11" width="11.140625" customWidth="1"/>
    <col min="12" max="12" width="11.140625" bestFit="1" customWidth="1"/>
    <col min="13" max="13" width="10.140625" bestFit="1" customWidth="1"/>
    <col min="14" max="14" width="12.7109375" bestFit="1" customWidth="1"/>
  </cols>
  <sheetData>
    <row r="1" spans="1:14" ht="15">
      <c r="B1" s="113" t="s">
        <v>1432</v>
      </c>
      <c r="C1" s="114" t="s">
        <v>1434</v>
      </c>
    </row>
    <row r="2" spans="1:14" ht="63.75">
      <c r="J2" s="56" t="s">
        <v>1435</v>
      </c>
    </row>
    <row r="3" spans="1:14">
      <c r="A3">
        <v>1</v>
      </c>
      <c r="B3">
        <v>2</v>
      </c>
      <c r="C3">
        <v>3</v>
      </c>
      <c r="D3">
        <v>4</v>
      </c>
      <c r="E3">
        <v>5</v>
      </c>
      <c r="F3">
        <v>6</v>
      </c>
      <c r="G3">
        <v>7</v>
      </c>
      <c r="H3">
        <v>8</v>
      </c>
      <c r="I3">
        <v>9</v>
      </c>
      <c r="J3">
        <v>10</v>
      </c>
      <c r="K3">
        <v>11</v>
      </c>
      <c r="L3">
        <v>12</v>
      </c>
      <c r="M3">
        <v>13</v>
      </c>
      <c r="N3">
        <v>14</v>
      </c>
    </row>
    <row r="4" spans="1:14">
      <c r="A4" t="s">
        <v>680</v>
      </c>
      <c r="B4" t="s">
        <v>1367</v>
      </c>
      <c r="C4">
        <v>3121</v>
      </c>
      <c r="D4">
        <v>4121</v>
      </c>
      <c r="E4">
        <v>4126</v>
      </c>
      <c r="F4">
        <v>4321</v>
      </c>
      <c r="G4">
        <v>4326</v>
      </c>
      <c r="H4">
        <v>5329</v>
      </c>
      <c r="I4">
        <v>6121</v>
      </c>
      <c r="J4">
        <v>6124</v>
      </c>
      <c r="K4">
        <v>6257</v>
      </c>
      <c r="L4">
        <v>6321</v>
      </c>
      <c r="M4">
        <v>6324</v>
      </c>
      <c r="N4">
        <v>7121</v>
      </c>
    </row>
    <row r="5" spans="1:14">
      <c r="A5" t="s">
        <v>603</v>
      </c>
      <c r="B5" t="s">
        <v>604</v>
      </c>
      <c r="C5" s="55">
        <v>28009</v>
      </c>
      <c r="D5" s="55">
        <v>180675</v>
      </c>
      <c r="E5" s="55"/>
      <c r="F5" s="55"/>
      <c r="G5" s="55"/>
      <c r="H5" s="55"/>
      <c r="I5" s="55"/>
      <c r="J5" s="55"/>
      <c r="K5" s="55"/>
      <c r="L5" s="55"/>
      <c r="M5" s="55"/>
      <c r="N5" s="55"/>
    </row>
    <row r="6" spans="1:14">
      <c r="A6" t="s">
        <v>395</v>
      </c>
      <c r="B6" t="s">
        <v>396</v>
      </c>
      <c r="C6" s="55">
        <v>1158257</v>
      </c>
      <c r="D6" s="55">
        <v>6323333</v>
      </c>
      <c r="E6" s="55"/>
      <c r="F6" s="55">
        <v>25000</v>
      </c>
      <c r="G6" s="55"/>
      <c r="H6" s="55"/>
      <c r="I6" s="55"/>
      <c r="J6" s="55"/>
      <c r="K6" s="55"/>
      <c r="L6" s="55">
        <v>25000</v>
      </c>
      <c r="M6" s="55"/>
      <c r="N6" s="55">
        <v>60000</v>
      </c>
    </row>
    <row r="7" spans="1:14">
      <c r="A7" t="s">
        <v>271</v>
      </c>
      <c r="B7" t="s">
        <v>272</v>
      </c>
      <c r="C7" s="55">
        <v>34155</v>
      </c>
      <c r="D7" s="55">
        <v>198814</v>
      </c>
      <c r="E7" s="55"/>
      <c r="F7" s="55"/>
      <c r="G7" s="55"/>
      <c r="H7" s="55"/>
      <c r="I7" s="55"/>
      <c r="J7" s="55"/>
      <c r="K7" s="55"/>
      <c r="L7" s="55"/>
      <c r="M7" s="55"/>
      <c r="N7" s="55"/>
    </row>
    <row r="8" spans="1:14">
      <c r="A8" t="s">
        <v>459</v>
      </c>
      <c r="B8" t="s">
        <v>460</v>
      </c>
      <c r="C8" s="55">
        <v>89536</v>
      </c>
      <c r="D8" s="55">
        <v>556685</v>
      </c>
      <c r="E8" s="55"/>
      <c r="F8" s="55"/>
      <c r="G8" s="55"/>
      <c r="H8" s="55"/>
      <c r="I8" s="55"/>
      <c r="J8" s="55"/>
      <c r="K8" s="55"/>
      <c r="L8" s="55"/>
      <c r="M8" s="55"/>
      <c r="N8" s="55"/>
    </row>
    <row r="9" spans="1:14">
      <c r="A9" t="s">
        <v>87</v>
      </c>
      <c r="B9" t="s">
        <v>88</v>
      </c>
      <c r="C9" s="55">
        <v>1004064</v>
      </c>
      <c r="D9" s="55">
        <v>6059770</v>
      </c>
      <c r="E9" s="55"/>
      <c r="F9" s="55"/>
      <c r="G9" s="55"/>
      <c r="H9" s="55"/>
      <c r="I9" s="55"/>
      <c r="J9" s="55"/>
      <c r="K9" s="55"/>
      <c r="L9" s="55">
        <v>65000</v>
      </c>
      <c r="M9" s="55"/>
      <c r="N9" s="55"/>
    </row>
    <row r="10" spans="1:14">
      <c r="A10" t="s">
        <v>19</v>
      </c>
      <c r="B10" t="s">
        <v>21</v>
      </c>
      <c r="C10" s="55">
        <v>203808</v>
      </c>
      <c r="D10" s="55">
        <v>1184157</v>
      </c>
      <c r="E10" s="55"/>
      <c r="F10" s="55"/>
      <c r="G10" s="55"/>
      <c r="H10" s="55"/>
      <c r="I10" s="55"/>
      <c r="J10" s="55"/>
      <c r="K10" s="55"/>
      <c r="L10" s="55"/>
      <c r="M10" s="55"/>
      <c r="N10" s="55"/>
    </row>
    <row r="11" spans="1:14">
      <c r="A11" t="s">
        <v>239</v>
      </c>
      <c r="B11" t="s">
        <v>240</v>
      </c>
      <c r="C11" s="55">
        <v>5511949</v>
      </c>
      <c r="D11" s="55">
        <v>30948868</v>
      </c>
      <c r="E11" s="55"/>
      <c r="F11" s="55">
        <v>150000</v>
      </c>
      <c r="G11" s="55"/>
      <c r="H11" s="55"/>
      <c r="I11" s="55"/>
      <c r="J11" s="55"/>
      <c r="K11" s="55"/>
      <c r="L11" s="55">
        <v>150000</v>
      </c>
      <c r="M11" s="55"/>
      <c r="N11" s="55">
        <v>30000</v>
      </c>
    </row>
    <row r="12" spans="1:14">
      <c r="A12" t="s">
        <v>405</v>
      </c>
      <c r="B12" t="s">
        <v>406</v>
      </c>
      <c r="C12" s="55">
        <v>67969</v>
      </c>
      <c r="D12" s="55">
        <v>389639</v>
      </c>
      <c r="E12" s="55"/>
      <c r="F12" s="55"/>
      <c r="G12" s="55"/>
      <c r="H12" s="55"/>
      <c r="I12" s="55"/>
      <c r="J12" s="55"/>
      <c r="K12" s="55"/>
      <c r="L12" s="55"/>
      <c r="M12" s="55"/>
      <c r="N12" s="55"/>
    </row>
    <row r="13" spans="1:14">
      <c r="A13" t="s">
        <v>245</v>
      </c>
      <c r="B13" t="s">
        <v>246</v>
      </c>
      <c r="C13" s="55">
        <v>400277</v>
      </c>
      <c r="D13" s="55">
        <v>2288711</v>
      </c>
      <c r="E13" s="55"/>
      <c r="F13" s="55"/>
      <c r="G13" s="55"/>
      <c r="H13" s="55"/>
      <c r="I13" s="55"/>
      <c r="J13" s="55"/>
      <c r="K13" s="55"/>
      <c r="L13" s="55">
        <v>6000</v>
      </c>
      <c r="M13" s="55"/>
      <c r="N13" s="55"/>
    </row>
    <row r="14" spans="1:14">
      <c r="A14" t="s">
        <v>177</v>
      </c>
      <c r="B14" t="s">
        <v>178</v>
      </c>
      <c r="C14" s="55">
        <v>236050</v>
      </c>
      <c r="D14" s="55">
        <v>1395623</v>
      </c>
      <c r="E14" s="55"/>
      <c r="F14" s="55"/>
      <c r="G14" s="55"/>
      <c r="H14" s="55"/>
      <c r="I14" s="55"/>
      <c r="J14" s="55"/>
      <c r="K14" s="55"/>
      <c r="L14" s="55">
        <v>28000</v>
      </c>
      <c r="M14" s="55"/>
      <c r="N14" s="55"/>
    </row>
    <row r="15" spans="1:14">
      <c r="A15" t="s">
        <v>425</v>
      </c>
      <c r="B15" t="s">
        <v>426</v>
      </c>
      <c r="C15" s="55">
        <v>735476</v>
      </c>
      <c r="D15" s="55">
        <v>4096143</v>
      </c>
      <c r="E15" s="55"/>
      <c r="F15" s="55"/>
      <c r="G15" s="55"/>
      <c r="H15" s="55"/>
      <c r="I15" s="55"/>
      <c r="J15" s="55"/>
      <c r="K15" s="55"/>
      <c r="L15" s="55">
        <v>50000</v>
      </c>
      <c r="M15" s="55"/>
      <c r="N15" s="55"/>
    </row>
    <row r="16" spans="1:14">
      <c r="A16" t="s">
        <v>455</v>
      </c>
      <c r="B16" t="s">
        <v>456</v>
      </c>
      <c r="C16" s="55">
        <v>4633018</v>
      </c>
      <c r="D16" s="55">
        <v>26580493</v>
      </c>
      <c r="E16" s="55"/>
      <c r="F16" s="55">
        <v>245500</v>
      </c>
      <c r="G16" s="55"/>
      <c r="H16" s="55"/>
      <c r="I16" s="55"/>
      <c r="J16" s="55"/>
      <c r="K16" s="55"/>
      <c r="L16" s="55"/>
      <c r="M16" s="55"/>
      <c r="N16" s="55"/>
    </row>
    <row r="17" spans="1:14">
      <c r="A17" t="s">
        <v>289</v>
      </c>
      <c r="B17" t="s">
        <v>290</v>
      </c>
      <c r="C17" s="55">
        <v>161239</v>
      </c>
      <c r="D17" s="55">
        <v>960902</v>
      </c>
      <c r="E17" s="55"/>
      <c r="F17" s="55"/>
      <c r="G17" s="55"/>
      <c r="H17" s="55"/>
      <c r="I17" s="55"/>
      <c r="J17" s="55"/>
      <c r="K17" s="55"/>
      <c r="L17" s="55"/>
      <c r="M17" s="55"/>
      <c r="N17" s="55"/>
    </row>
    <row r="18" spans="1:14">
      <c r="A18" t="s">
        <v>155</v>
      </c>
      <c r="B18" t="s">
        <v>156</v>
      </c>
      <c r="C18" s="55">
        <v>94216</v>
      </c>
      <c r="D18" s="55">
        <v>594737</v>
      </c>
      <c r="E18" s="55"/>
      <c r="F18" s="55"/>
      <c r="G18" s="55"/>
      <c r="H18" s="55"/>
      <c r="I18" s="55"/>
      <c r="J18" s="55"/>
      <c r="K18" s="55"/>
      <c r="L18" s="55"/>
      <c r="M18" s="55"/>
      <c r="N18" s="55"/>
    </row>
    <row r="19" spans="1:14">
      <c r="A19" t="s">
        <v>257</v>
      </c>
      <c r="B19" t="s">
        <v>258</v>
      </c>
      <c r="C19" s="55">
        <v>285835</v>
      </c>
      <c r="D19" s="55">
        <v>1644635</v>
      </c>
      <c r="E19" s="55"/>
      <c r="F19" s="55"/>
      <c r="G19" s="55"/>
      <c r="H19" s="55"/>
      <c r="I19" s="55"/>
      <c r="J19" s="55"/>
      <c r="K19" s="55"/>
      <c r="L19" s="55"/>
      <c r="M19" s="55"/>
      <c r="N19" s="55"/>
    </row>
    <row r="20" spans="1:14">
      <c r="A20" t="s">
        <v>65</v>
      </c>
      <c r="B20" t="s">
        <v>66</v>
      </c>
      <c r="C20" s="55">
        <v>338795</v>
      </c>
      <c r="D20" s="55">
        <v>2153841</v>
      </c>
      <c r="E20" s="55"/>
      <c r="F20" s="55"/>
      <c r="G20" s="55"/>
      <c r="H20" s="55"/>
      <c r="I20" s="55"/>
      <c r="J20" s="55"/>
      <c r="K20" s="55"/>
      <c r="L20" s="55">
        <v>60000</v>
      </c>
      <c r="M20" s="55"/>
      <c r="N20" s="55"/>
    </row>
    <row r="21" spans="1:14">
      <c r="A21" t="s">
        <v>63</v>
      </c>
      <c r="B21" t="s">
        <v>64</v>
      </c>
      <c r="C21" s="55">
        <v>273247</v>
      </c>
      <c r="D21" s="55">
        <v>1616459</v>
      </c>
      <c r="E21" s="55"/>
      <c r="F21" s="55"/>
      <c r="G21" s="55"/>
      <c r="H21" s="55"/>
      <c r="I21" s="55"/>
      <c r="J21" s="55"/>
      <c r="K21" s="55"/>
      <c r="L21" s="55"/>
      <c r="M21" s="55"/>
      <c r="N21" s="55"/>
    </row>
    <row r="22" spans="1:14">
      <c r="A22" t="s">
        <v>609</v>
      </c>
      <c r="B22" t="s">
        <v>610</v>
      </c>
      <c r="C22" s="55">
        <v>2290186</v>
      </c>
      <c r="D22" s="55">
        <v>14037049</v>
      </c>
      <c r="E22" s="55"/>
      <c r="F22" s="55">
        <v>100000</v>
      </c>
      <c r="G22" s="55"/>
      <c r="H22" s="55"/>
      <c r="I22" s="55"/>
      <c r="J22" s="55"/>
      <c r="K22" s="55"/>
      <c r="L22" s="55">
        <v>90000</v>
      </c>
      <c r="M22" s="55"/>
      <c r="N22" s="55"/>
    </row>
    <row r="23" spans="1:14">
      <c r="A23" t="s">
        <v>411</v>
      </c>
      <c r="B23" t="s">
        <v>412</v>
      </c>
      <c r="C23" s="55">
        <v>107943</v>
      </c>
      <c r="D23" s="55">
        <v>574270</v>
      </c>
      <c r="E23" s="55"/>
      <c r="F23" s="55"/>
      <c r="G23" s="55"/>
      <c r="H23" s="55"/>
      <c r="I23" s="55"/>
      <c r="J23" s="55"/>
      <c r="K23" s="55"/>
      <c r="L23" s="55"/>
      <c r="M23" s="55"/>
      <c r="N23" s="55"/>
    </row>
    <row r="24" spans="1:14">
      <c r="A24" t="s">
        <v>417</v>
      </c>
      <c r="B24" t="s">
        <v>418</v>
      </c>
      <c r="C24" s="55">
        <v>1360373</v>
      </c>
      <c r="D24" s="55">
        <v>7900826</v>
      </c>
      <c r="E24" s="55"/>
      <c r="F24" s="55"/>
      <c r="G24" s="55"/>
      <c r="H24" s="55">
        <v>32000</v>
      </c>
      <c r="I24" s="55"/>
      <c r="J24" s="55"/>
      <c r="K24" s="55"/>
      <c r="L24" s="55">
        <v>75000</v>
      </c>
      <c r="M24" s="55"/>
      <c r="N24" s="55"/>
    </row>
    <row r="25" spans="1:14">
      <c r="A25" t="s">
        <v>115</v>
      </c>
      <c r="B25" t="s">
        <v>116</v>
      </c>
      <c r="C25" s="55">
        <v>91949</v>
      </c>
      <c r="D25" s="55">
        <v>506869</v>
      </c>
      <c r="E25" s="55"/>
      <c r="F25" s="55"/>
      <c r="G25" s="55"/>
      <c r="H25" s="55">
        <v>2000</v>
      </c>
      <c r="I25" s="55"/>
      <c r="J25" s="55"/>
      <c r="K25" s="55"/>
      <c r="L25" s="55"/>
      <c r="M25" s="55"/>
      <c r="N25" s="55"/>
    </row>
    <row r="26" spans="1:14">
      <c r="A26" t="s">
        <v>487</v>
      </c>
      <c r="B26" t="s">
        <v>488</v>
      </c>
      <c r="C26" s="55">
        <v>995851</v>
      </c>
      <c r="D26" s="55">
        <v>5824333</v>
      </c>
      <c r="E26" s="55"/>
      <c r="F26" s="55"/>
      <c r="G26" s="55"/>
      <c r="H26" s="55"/>
      <c r="I26" s="55"/>
      <c r="J26" s="55"/>
      <c r="K26" s="55"/>
      <c r="L26" s="55">
        <v>110000</v>
      </c>
      <c r="M26" s="55"/>
      <c r="N26" s="55">
        <v>300000</v>
      </c>
    </row>
    <row r="27" spans="1:14">
      <c r="A27" t="s">
        <v>59</v>
      </c>
      <c r="B27" t="s">
        <v>60</v>
      </c>
      <c r="C27" s="55">
        <v>167098</v>
      </c>
      <c r="D27" s="55">
        <v>1051319</v>
      </c>
      <c r="E27" s="55"/>
      <c r="F27" s="55"/>
      <c r="G27" s="55"/>
      <c r="H27" s="55">
        <v>52500</v>
      </c>
      <c r="I27" s="55"/>
      <c r="J27" s="55"/>
      <c r="K27" s="55"/>
      <c r="L27" s="55"/>
      <c r="M27" s="55"/>
      <c r="N27" s="55"/>
    </row>
    <row r="28" spans="1:14">
      <c r="A28" t="s">
        <v>437</v>
      </c>
      <c r="B28" t="s">
        <v>438</v>
      </c>
      <c r="C28" s="55">
        <v>1976678</v>
      </c>
      <c r="D28" s="55">
        <v>10146762</v>
      </c>
      <c r="E28" s="55"/>
      <c r="F28" s="55"/>
      <c r="G28" s="55"/>
      <c r="H28" s="55"/>
      <c r="I28" s="55"/>
      <c r="J28" s="55"/>
      <c r="K28" s="55"/>
      <c r="L28" s="55"/>
      <c r="M28" s="55"/>
      <c r="N28" s="55"/>
    </row>
    <row r="29" spans="1:14">
      <c r="A29" t="s">
        <v>583</v>
      </c>
      <c r="B29" t="s">
        <v>584</v>
      </c>
      <c r="C29" s="55">
        <v>8240703</v>
      </c>
      <c r="D29" s="55">
        <v>47478328</v>
      </c>
      <c r="E29" s="55"/>
      <c r="F29" s="55"/>
      <c r="G29" s="55"/>
      <c r="H29" s="55"/>
      <c r="I29" s="55"/>
      <c r="J29" s="55"/>
      <c r="K29" s="55"/>
      <c r="L29" s="55">
        <v>450000</v>
      </c>
      <c r="M29" s="55"/>
      <c r="N29" s="55">
        <v>1605000</v>
      </c>
    </row>
    <row r="30" spans="1:14">
      <c r="A30" t="s">
        <v>211</v>
      </c>
      <c r="B30" t="s">
        <v>212</v>
      </c>
      <c r="C30" s="55">
        <v>504426</v>
      </c>
      <c r="D30" s="55">
        <v>3175471</v>
      </c>
      <c r="E30" s="55"/>
      <c r="F30" s="55">
        <v>4000</v>
      </c>
      <c r="G30" s="55"/>
      <c r="H30" s="55"/>
      <c r="I30" s="55"/>
      <c r="J30" s="55"/>
      <c r="K30" s="55"/>
      <c r="L30" s="55">
        <v>15000</v>
      </c>
      <c r="M30" s="55"/>
      <c r="N30" s="55"/>
    </row>
    <row r="31" spans="1:14">
      <c r="A31" t="s">
        <v>251</v>
      </c>
      <c r="B31" t="s">
        <v>252</v>
      </c>
      <c r="C31" s="55">
        <v>608595</v>
      </c>
      <c r="D31" s="55">
        <v>3202883</v>
      </c>
      <c r="E31" s="55"/>
      <c r="F31" s="55"/>
      <c r="G31" s="55"/>
      <c r="H31" s="55"/>
      <c r="I31" s="55"/>
      <c r="J31" s="55"/>
      <c r="K31" s="55"/>
      <c r="L31" s="55"/>
      <c r="M31" s="55"/>
      <c r="N31" s="55"/>
    </row>
    <row r="32" spans="1:14">
      <c r="A32" t="s">
        <v>201</v>
      </c>
      <c r="B32" t="s">
        <v>202</v>
      </c>
      <c r="C32" s="55">
        <v>37059</v>
      </c>
      <c r="D32" s="55">
        <v>213196</v>
      </c>
      <c r="E32" s="55"/>
      <c r="F32" s="55"/>
      <c r="G32" s="55"/>
      <c r="H32" s="55"/>
      <c r="I32" s="55"/>
      <c r="J32" s="55"/>
      <c r="K32" s="55"/>
      <c r="L32" s="55"/>
      <c r="M32" s="55"/>
      <c r="N32" s="55"/>
    </row>
    <row r="33" spans="1:14">
      <c r="A33" t="s">
        <v>601</v>
      </c>
      <c r="B33" t="s">
        <v>602</v>
      </c>
      <c r="C33" s="55">
        <v>1064075</v>
      </c>
      <c r="D33" s="55">
        <v>6978313</v>
      </c>
      <c r="E33" s="55"/>
      <c r="F33" s="55"/>
      <c r="G33" s="55"/>
      <c r="H33" s="55"/>
      <c r="I33" s="55"/>
      <c r="J33" s="55"/>
      <c r="K33" s="55"/>
      <c r="L33" s="55">
        <v>20000</v>
      </c>
      <c r="M33" s="55"/>
      <c r="N33" s="55"/>
    </row>
    <row r="34" spans="1:14">
      <c r="A34" t="s">
        <v>167</v>
      </c>
      <c r="B34" t="s">
        <v>168</v>
      </c>
      <c r="C34" s="55">
        <v>8255296</v>
      </c>
      <c r="D34" s="55">
        <v>49262908</v>
      </c>
      <c r="E34" s="55"/>
      <c r="F34" s="55">
        <v>90000</v>
      </c>
      <c r="G34" s="55"/>
      <c r="H34" s="55"/>
      <c r="I34" s="55"/>
      <c r="J34" s="55"/>
      <c r="K34" s="55"/>
      <c r="L34" s="55">
        <v>95000</v>
      </c>
      <c r="M34" s="55"/>
      <c r="N34" s="55">
        <v>588760</v>
      </c>
    </row>
    <row r="35" spans="1:14">
      <c r="A35" t="s">
        <v>57</v>
      </c>
      <c r="B35" t="s">
        <v>58</v>
      </c>
      <c r="C35" s="55">
        <v>2171016</v>
      </c>
      <c r="D35" s="55">
        <v>14330934</v>
      </c>
      <c r="E35" s="55"/>
      <c r="F35" s="55"/>
      <c r="G35" s="55"/>
      <c r="H35" s="55"/>
      <c r="I35" s="55"/>
      <c r="J35" s="55"/>
      <c r="K35" s="55"/>
      <c r="L35" s="55"/>
      <c r="M35" s="55"/>
      <c r="N35" s="55"/>
    </row>
    <row r="36" spans="1:14">
      <c r="A36" t="s">
        <v>27</v>
      </c>
      <c r="B36" t="s">
        <v>29</v>
      </c>
      <c r="C36" s="55">
        <v>4254850</v>
      </c>
      <c r="D36" s="55">
        <v>26229752</v>
      </c>
      <c r="E36" s="55"/>
      <c r="F36" s="55">
        <v>100000</v>
      </c>
      <c r="G36" s="55"/>
      <c r="H36" s="55"/>
      <c r="I36" s="55"/>
      <c r="J36" s="55"/>
      <c r="K36" s="55"/>
      <c r="L36" s="55">
        <v>100000</v>
      </c>
      <c r="M36" s="55"/>
      <c r="N36" s="55"/>
    </row>
    <row r="37" spans="1:14">
      <c r="A37" t="s">
        <v>457</v>
      </c>
      <c r="B37" t="s">
        <v>458</v>
      </c>
      <c r="C37" s="55">
        <v>1137287</v>
      </c>
      <c r="D37" s="55">
        <v>7053330</v>
      </c>
      <c r="E37" s="55"/>
      <c r="F37" s="55"/>
      <c r="G37" s="55"/>
      <c r="H37" s="55"/>
      <c r="I37" s="55"/>
      <c r="J37" s="55"/>
      <c r="K37" s="55"/>
      <c r="L37" s="55"/>
      <c r="M37" s="55">
        <v>10000</v>
      </c>
      <c r="N37" s="55">
        <v>132132</v>
      </c>
    </row>
    <row r="38" spans="1:14">
      <c r="A38" t="s">
        <v>699</v>
      </c>
      <c r="B38" t="s">
        <v>1430</v>
      </c>
      <c r="C38" s="55">
        <v>58969</v>
      </c>
      <c r="D38" s="55">
        <v>313130</v>
      </c>
      <c r="E38" s="55"/>
      <c r="F38" s="55"/>
      <c r="G38" s="55"/>
      <c r="H38" s="55"/>
      <c r="I38" s="55"/>
      <c r="J38" s="55"/>
      <c r="K38" s="55"/>
      <c r="L38" s="55"/>
      <c r="M38" s="55"/>
      <c r="N38" s="55"/>
    </row>
    <row r="39" spans="1:14">
      <c r="A39" t="s">
        <v>129</v>
      </c>
      <c r="B39" t="s">
        <v>130</v>
      </c>
      <c r="C39" s="55">
        <v>98374</v>
      </c>
      <c r="D39" s="55">
        <v>593997</v>
      </c>
      <c r="E39" s="55"/>
      <c r="F39" s="55"/>
      <c r="G39" s="55"/>
      <c r="H39" s="55"/>
      <c r="I39" s="55"/>
      <c r="J39" s="55"/>
      <c r="K39" s="55"/>
      <c r="L39" s="55"/>
      <c r="M39" s="55"/>
      <c r="N39" s="55"/>
    </row>
    <row r="40" spans="1:14">
      <c r="A40" t="s">
        <v>523</v>
      </c>
      <c r="B40" t="s">
        <v>524</v>
      </c>
      <c r="C40" s="55">
        <v>321410</v>
      </c>
      <c r="D40" s="55">
        <v>1565248</v>
      </c>
      <c r="E40" s="55"/>
      <c r="F40" s="55"/>
      <c r="G40" s="55"/>
      <c r="H40" s="55"/>
      <c r="I40" s="55"/>
      <c r="J40" s="55"/>
      <c r="K40" s="55"/>
      <c r="L40" s="55"/>
      <c r="M40" s="55"/>
      <c r="N40" s="55"/>
    </row>
    <row r="41" spans="1:14">
      <c r="A41" t="s">
        <v>273</v>
      </c>
      <c r="B41" t="s">
        <v>274</v>
      </c>
      <c r="C41" s="55">
        <v>2700020</v>
      </c>
      <c r="D41" s="55">
        <v>16500869</v>
      </c>
      <c r="E41" s="55"/>
      <c r="F41" s="55">
        <v>75000</v>
      </c>
      <c r="G41" s="55"/>
      <c r="H41" s="55"/>
      <c r="I41" s="55"/>
      <c r="J41" s="55"/>
      <c r="K41" s="55"/>
      <c r="L41" s="55">
        <v>150000</v>
      </c>
      <c r="M41" s="55"/>
      <c r="N41" s="55"/>
    </row>
    <row r="42" spans="1:14">
      <c r="A42" t="s">
        <v>569</v>
      </c>
      <c r="B42" t="s">
        <v>570</v>
      </c>
      <c r="C42" s="55">
        <v>177220</v>
      </c>
      <c r="D42" s="55">
        <v>1082300</v>
      </c>
      <c r="E42" s="55"/>
      <c r="F42" s="55"/>
      <c r="G42" s="55"/>
      <c r="H42" s="55"/>
      <c r="I42" s="55"/>
      <c r="J42" s="55"/>
      <c r="K42" s="55"/>
      <c r="L42" s="55"/>
      <c r="M42" s="55"/>
      <c r="N42" s="55"/>
    </row>
    <row r="43" spans="1:14">
      <c r="A43" t="s">
        <v>67</v>
      </c>
      <c r="B43" t="s">
        <v>68</v>
      </c>
      <c r="C43" s="55">
        <v>513478</v>
      </c>
      <c r="D43" s="55">
        <v>3095643</v>
      </c>
      <c r="E43" s="55"/>
      <c r="F43" s="55">
        <v>38000</v>
      </c>
      <c r="G43" s="55"/>
      <c r="H43" s="55"/>
      <c r="I43" s="55"/>
      <c r="J43" s="55"/>
      <c r="K43" s="55"/>
      <c r="L43" s="55">
        <v>38000</v>
      </c>
      <c r="M43" s="55"/>
      <c r="N43" s="55"/>
    </row>
    <row r="44" spans="1:14">
      <c r="A44" t="s">
        <v>233</v>
      </c>
      <c r="B44" t="s">
        <v>234</v>
      </c>
      <c r="C44" s="55">
        <v>393995</v>
      </c>
      <c r="D44" s="55">
        <v>2326477</v>
      </c>
      <c r="E44" s="55"/>
      <c r="F44" s="55"/>
      <c r="G44" s="55"/>
      <c r="H44" s="55"/>
      <c r="I44" s="55"/>
      <c r="J44" s="55"/>
      <c r="K44" s="55"/>
      <c r="L44" s="55"/>
      <c r="M44" s="55"/>
      <c r="N44" s="55"/>
    </row>
    <row r="45" spans="1:14">
      <c r="A45" t="s">
        <v>637</v>
      </c>
      <c r="B45" t="s">
        <v>638</v>
      </c>
      <c r="C45" s="55">
        <v>901459</v>
      </c>
      <c r="D45" s="55">
        <v>6047527</v>
      </c>
      <c r="E45" s="55"/>
      <c r="F45" s="55">
        <v>10000</v>
      </c>
      <c r="G45" s="55"/>
      <c r="H45" s="55"/>
      <c r="I45" s="55"/>
      <c r="J45" s="55"/>
      <c r="K45" s="55"/>
      <c r="L45" s="55">
        <v>15000</v>
      </c>
      <c r="M45" s="55"/>
      <c r="N45" s="55"/>
    </row>
    <row r="46" spans="1:14">
      <c r="A46" t="s">
        <v>237</v>
      </c>
      <c r="B46" t="s">
        <v>238</v>
      </c>
      <c r="C46" s="55">
        <v>1881448</v>
      </c>
      <c r="D46" s="55">
        <v>11799301</v>
      </c>
      <c r="E46" s="55"/>
      <c r="F46" s="55">
        <v>55000</v>
      </c>
      <c r="G46" s="55"/>
      <c r="H46" s="55"/>
      <c r="I46" s="55"/>
      <c r="J46" s="55"/>
      <c r="K46" s="55"/>
      <c r="L46" s="55">
        <v>55000</v>
      </c>
      <c r="M46" s="55"/>
      <c r="N46" s="55"/>
    </row>
    <row r="47" spans="1:14">
      <c r="A47" t="s">
        <v>389</v>
      </c>
      <c r="B47" t="s">
        <v>390</v>
      </c>
      <c r="C47" s="55">
        <v>32262</v>
      </c>
      <c r="D47" s="55">
        <v>208942</v>
      </c>
      <c r="E47" s="55"/>
      <c r="F47" s="55"/>
      <c r="G47" s="55"/>
      <c r="H47" s="55"/>
      <c r="I47" s="55"/>
      <c r="J47" s="55"/>
      <c r="K47" s="55"/>
      <c r="L47" s="55"/>
      <c r="M47" s="55"/>
      <c r="N47" s="55"/>
    </row>
    <row r="48" spans="1:14">
      <c r="A48" t="s">
        <v>51</v>
      </c>
      <c r="B48" t="s">
        <v>52</v>
      </c>
      <c r="C48" s="55">
        <v>119333</v>
      </c>
      <c r="D48" s="55">
        <v>1150293</v>
      </c>
      <c r="E48" s="55"/>
      <c r="F48" s="55"/>
      <c r="G48" s="55"/>
      <c r="H48" s="55"/>
      <c r="I48" s="55"/>
      <c r="J48" s="55"/>
      <c r="K48" s="55"/>
      <c r="L48" s="55">
        <v>30000</v>
      </c>
      <c r="M48" s="55"/>
      <c r="N48" s="55"/>
    </row>
    <row r="49" spans="1:14">
      <c r="A49" t="s">
        <v>397</v>
      </c>
      <c r="B49" t="s">
        <v>398</v>
      </c>
      <c r="C49" s="55">
        <v>5311</v>
      </c>
      <c r="D49" s="55">
        <v>37903</v>
      </c>
      <c r="E49" s="55"/>
      <c r="F49" s="55"/>
      <c r="G49" s="55"/>
      <c r="H49" s="55"/>
      <c r="I49" s="55"/>
      <c r="J49" s="55"/>
      <c r="K49" s="55"/>
      <c r="L49" s="55"/>
      <c r="M49" s="55"/>
      <c r="N49" s="55"/>
    </row>
    <row r="50" spans="1:14">
      <c r="A50" t="s">
        <v>141</v>
      </c>
      <c r="B50" t="s">
        <v>142</v>
      </c>
      <c r="C50" s="55">
        <v>1674000</v>
      </c>
      <c r="D50" s="55">
        <v>9658129</v>
      </c>
      <c r="E50" s="55"/>
      <c r="F50" s="55">
        <v>45000</v>
      </c>
      <c r="G50" s="55"/>
      <c r="H50" s="55"/>
      <c r="I50" s="55"/>
      <c r="J50" s="55"/>
      <c r="K50" s="55"/>
      <c r="L50" s="55">
        <v>65000</v>
      </c>
      <c r="M50" s="55"/>
      <c r="N50" s="55"/>
    </row>
    <row r="51" spans="1:14">
      <c r="A51" t="s">
        <v>287</v>
      </c>
      <c r="B51" t="s">
        <v>288</v>
      </c>
      <c r="C51" s="55">
        <v>22144</v>
      </c>
      <c r="D51" s="55">
        <v>141134</v>
      </c>
      <c r="E51" s="55"/>
      <c r="F51" s="55"/>
      <c r="G51" s="55"/>
      <c r="H51" s="55"/>
      <c r="I51" s="55"/>
      <c r="J51" s="55"/>
      <c r="K51" s="55"/>
      <c r="L51" s="55"/>
      <c r="M51" s="55"/>
      <c r="N51" s="55"/>
    </row>
    <row r="52" spans="1:14">
      <c r="A52" t="s">
        <v>605</v>
      </c>
      <c r="B52" t="s">
        <v>606</v>
      </c>
      <c r="C52" s="55">
        <v>79843</v>
      </c>
      <c r="D52" s="55">
        <v>509904</v>
      </c>
      <c r="E52" s="55"/>
      <c r="F52" s="55"/>
      <c r="G52" s="55"/>
      <c r="H52" s="55"/>
      <c r="I52" s="55"/>
      <c r="J52" s="55"/>
      <c r="K52" s="55"/>
      <c r="L52" s="55"/>
      <c r="M52" s="55"/>
      <c r="N52" s="55"/>
    </row>
    <row r="53" spans="1:14">
      <c r="A53" t="s">
        <v>235</v>
      </c>
      <c r="B53" t="s">
        <v>236</v>
      </c>
      <c r="C53" s="55">
        <v>7773</v>
      </c>
      <c r="D53" s="55">
        <v>51035</v>
      </c>
      <c r="E53" s="55"/>
      <c r="F53" s="55"/>
      <c r="G53" s="55"/>
      <c r="H53" s="55">
        <v>7871</v>
      </c>
      <c r="I53" s="55"/>
      <c r="J53" s="55"/>
      <c r="K53" s="55"/>
      <c r="L53" s="55"/>
      <c r="M53" s="55"/>
      <c r="N53" s="55"/>
    </row>
    <row r="54" spans="1:14">
      <c r="A54" t="s">
        <v>119</v>
      </c>
      <c r="B54" t="s">
        <v>120</v>
      </c>
      <c r="C54" s="55">
        <v>108242</v>
      </c>
      <c r="D54" s="55">
        <v>691643</v>
      </c>
      <c r="E54" s="55"/>
      <c r="F54" s="55"/>
      <c r="G54" s="55"/>
      <c r="H54" s="55"/>
      <c r="I54" s="55"/>
      <c r="J54" s="55"/>
      <c r="K54" s="55"/>
      <c r="L54" s="55"/>
      <c r="M54" s="55"/>
      <c r="N54" s="55"/>
    </row>
    <row r="55" spans="1:14">
      <c r="A55" t="s">
        <v>387</v>
      </c>
      <c r="B55" t="s">
        <v>388</v>
      </c>
      <c r="C55" s="55">
        <v>14200</v>
      </c>
      <c r="D55" s="55">
        <v>82136</v>
      </c>
      <c r="E55" s="55"/>
      <c r="F55" s="55"/>
      <c r="G55" s="55"/>
      <c r="H55" s="55"/>
      <c r="I55" s="55"/>
      <c r="J55" s="55"/>
      <c r="K55" s="55"/>
      <c r="L55" s="55"/>
      <c r="M55" s="55"/>
      <c r="N55" s="55"/>
    </row>
    <row r="56" spans="1:14">
      <c r="A56" t="s">
        <v>223</v>
      </c>
      <c r="B56" t="s">
        <v>224</v>
      </c>
      <c r="C56" s="55">
        <v>42362</v>
      </c>
      <c r="D56" s="55">
        <v>282756</v>
      </c>
      <c r="E56" s="55"/>
      <c r="F56" s="55"/>
      <c r="G56" s="55"/>
      <c r="H56" s="55">
        <v>20000</v>
      </c>
      <c r="I56" s="55"/>
      <c r="J56" s="55"/>
      <c r="K56" s="55"/>
      <c r="L56" s="55"/>
      <c r="M56" s="55"/>
      <c r="N56" s="55"/>
    </row>
    <row r="57" spans="1:14">
      <c r="A57" t="s">
        <v>453</v>
      </c>
      <c r="B57" t="s">
        <v>454</v>
      </c>
      <c r="C57" s="55">
        <v>198412</v>
      </c>
      <c r="D57" s="55">
        <v>1128010</v>
      </c>
      <c r="E57" s="55"/>
      <c r="F57" s="55"/>
      <c r="G57" s="55"/>
      <c r="H57" s="55"/>
      <c r="I57" s="55"/>
      <c r="J57" s="55"/>
      <c r="K57" s="55"/>
      <c r="L57" s="55"/>
      <c r="M57" s="55"/>
      <c r="N57" s="55"/>
    </row>
    <row r="58" spans="1:14">
      <c r="A58" t="s">
        <v>401</v>
      </c>
      <c r="B58" t="s">
        <v>402</v>
      </c>
      <c r="C58" s="55">
        <v>5838650</v>
      </c>
      <c r="D58" s="55">
        <v>32098369</v>
      </c>
      <c r="E58" s="55"/>
      <c r="F58" s="55"/>
      <c r="G58" s="55"/>
      <c r="H58" s="55"/>
      <c r="I58" s="55"/>
      <c r="J58" s="55"/>
      <c r="K58" s="55"/>
      <c r="L58" s="55">
        <v>215000</v>
      </c>
      <c r="M58" s="55"/>
      <c r="N58" s="55">
        <v>1250000</v>
      </c>
    </row>
    <row r="59" spans="1:14">
      <c r="A59" t="s">
        <v>347</v>
      </c>
      <c r="B59" t="s">
        <v>348</v>
      </c>
      <c r="C59" s="55">
        <v>630854</v>
      </c>
      <c r="D59" s="55">
        <v>3615476</v>
      </c>
      <c r="E59" s="55"/>
      <c r="F59" s="55">
        <v>40000</v>
      </c>
      <c r="G59" s="55"/>
      <c r="H59" s="55"/>
      <c r="I59" s="55"/>
      <c r="J59" s="55"/>
      <c r="K59" s="55"/>
      <c r="L59" s="55">
        <v>40000</v>
      </c>
      <c r="M59" s="55"/>
      <c r="N59" s="55"/>
    </row>
    <row r="60" spans="1:14">
      <c r="A60" t="s">
        <v>231</v>
      </c>
      <c r="B60" t="s">
        <v>232</v>
      </c>
      <c r="C60" s="55">
        <v>16279</v>
      </c>
      <c r="D60" s="55">
        <v>105080</v>
      </c>
      <c r="E60" s="55"/>
      <c r="F60" s="55"/>
      <c r="G60" s="55"/>
      <c r="H60" s="55"/>
      <c r="I60" s="55"/>
      <c r="J60" s="55"/>
      <c r="K60" s="55"/>
      <c r="L60" s="55"/>
      <c r="M60" s="55"/>
      <c r="N60" s="55"/>
    </row>
    <row r="61" spans="1:14">
      <c r="A61" t="s">
        <v>415</v>
      </c>
      <c r="B61" t="s">
        <v>416</v>
      </c>
      <c r="C61" s="55">
        <v>104506</v>
      </c>
      <c r="D61" s="55">
        <v>684420</v>
      </c>
      <c r="E61" s="55"/>
      <c r="F61" s="55"/>
      <c r="G61" s="55"/>
      <c r="H61" s="55"/>
      <c r="I61" s="55"/>
      <c r="J61" s="55"/>
      <c r="K61" s="55"/>
      <c r="L61" s="55"/>
      <c r="M61" s="55"/>
      <c r="N61" s="55"/>
    </row>
    <row r="62" spans="1:14">
      <c r="A62" t="s">
        <v>591</v>
      </c>
      <c r="B62" t="s">
        <v>592</v>
      </c>
      <c r="C62" s="55">
        <v>634389</v>
      </c>
      <c r="D62" s="55">
        <v>4060571</v>
      </c>
      <c r="E62" s="55"/>
      <c r="F62" s="55">
        <v>163511</v>
      </c>
      <c r="G62" s="55"/>
      <c r="H62" s="55"/>
      <c r="I62" s="55"/>
      <c r="J62" s="55"/>
      <c r="K62" s="55"/>
      <c r="L62" s="55"/>
      <c r="M62" s="55"/>
      <c r="N62" s="55">
        <v>24173</v>
      </c>
    </row>
    <row r="63" spans="1:14">
      <c r="A63" t="s">
        <v>439</v>
      </c>
      <c r="B63" t="s">
        <v>440</v>
      </c>
      <c r="C63" s="55">
        <v>902877</v>
      </c>
      <c r="D63" s="55">
        <v>5111945</v>
      </c>
      <c r="E63" s="55"/>
      <c r="F63" s="55"/>
      <c r="G63" s="55"/>
      <c r="H63" s="55"/>
      <c r="I63" s="55">
        <v>30000</v>
      </c>
      <c r="J63" s="55"/>
      <c r="K63" s="55"/>
      <c r="L63" s="55"/>
      <c r="M63" s="55"/>
      <c r="N63" s="55"/>
    </row>
    <row r="64" spans="1:14">
      <c r="A64" t="s">
        <v>599</v>
      </c>
      <c r="B64" t="s">
        <v>600</v>
      </c>
      <c r="C64" s="55">
        <v>313804</v>
      </c>
      <c r="D64" s="55">
        <v>1708820</v>
      </c>
      <c r="E64" s="55"/>
      <c r="F64" s="55"/>
      <c r="G64" s="55"/>
      <c r="H64" s="55"/>
      <c r="I64" s="55"/>
      <c r="J64" s="55"/>
      <c r="K64" s="55"/>
      <c r="L64" s="55">
        <v>20000</v>
      </c>
      <c r="M64" s="55"/>
      <c r="N64" s="55"/>
    </row>
    <row r="65" spans="1:14">
      <c r="A65" t="s">
        <v>111</v>
      </c>
      <c r="B65" t="s">
        <v>112</v>
      </c>
      <c r="C65" s="55">
        <v>47064</v>
      </c>
      <c r="D65" s="55">
        <v>277290</v>
      </c>
      <c r="E65" s="55"/>
      <c r="F65" s="55"/>
      <c r="G65" s="55"/>
      <c r="H65" s="55"/>
      <c r="I65" s="55"/>
      <c r="J65" s="55"/>
      <c r="K65" s="55"/>
      <c r="L65" s="55"/>
      <c r="M65" s="55"/>
      <c r="N65" s="55">
        <v>1000</v>
      </c>
    </row>
    <row r="66" spans="1:14">
      <c r="A66" t="s">
        <v>503</v>
      </c>
      <c r="B66" t="s">
        <v>504</v>
      </c>
      <c r="C66" s="55">
        <v>240509</v>
      </c>
      <c r="D66" s="55">
        <v>1477018</v>
      </c>
      <c r="E66" s="55"/>
      <c r="F66" s="55"/>
      <c r="G66" s="55"/>
      <c r="H66" s="55"/>
      <c r="I66" s="55"/>
      <c r="J66" s="55"/>
      <c r="K66" s="55"/>
      <c r="L66" s="55"/>
      <c r="M66" s="55"/>
      <c r="N66" s="55"/>
    </row>
    <row r="67" spans="1:14">
      <c r="A67" t="s">
        <v>471</v>
      </c>
      <c r="B67" t="s">
        <v>472</v>
      </c>
      <c r="C67" s="55">
        <v>415119</v>
      </c>
      <c r="D67" s="55">
        <v>2390211</v>
      </c>
      <c r="E67" s="55"/>
      <c r="F67" s="55"/>
      <c r="G67" s="55"/>
      <c r="H67" s="55"/>
      <c r="I67" s="55"/>
      <c r="J67" s="55"/>
      <c r="K67" s="55"/>
      <c r="L67" s="55"/>
      <c r="M67" s="55"/>
      <c r="N67" s="55"/>
    </row>
    <row r="68" spans="1:14">
      <c r="A68" t="s">
        <v>317</v>
      </c>
      <c r="B68" t="s">
        <v>318</v>
      </c>
      <c r="C68" s="55">
        <v>2966968</v>
      </c>
      <c r="D68" s="55">
        <v>17328245</v>
      </c>
      <c r="E68" s="55"/>
      <c r="F68" s="55">
        <v>145000</v>
      </c>
      <c r="G68" s="55"/>
      <c r="H68" s="55"/>
      <c r="I68" s="55"/>
      <c r="J68" s="55"/>
      <c r="K68" s="55"/>
      <c r="L68" s="55"/>
      <c r="M68" s="55"/>
      <c r="N68" s="55"/>
    </row>
    <row r="69" spans="1:14">
      <c r="A69" t="s">
        <v>159</v>
      </c>
      <c r="B69" t="s">
        <v>160</v>
      </c>
      <c r="C69" s="55">
        <v>771453</v>
      </c>
      <c r="D69" s="55">
        <v>4582495</v>
      </c>
      <c r="E69" s="55"/>
      <c r="F69" s="55"/>
      <c r="G69" s="55"/>
      <c r="H69" s="55"/>
      <c r="I69" s="55"/>
      <c r="J69" s="55"/>
      <c r="K69" s="55"/>
      <c r="L69" s="55"/>
      <c r="M69" s="55"/>
      <c r="N69" s="55"/>
    </row>
    <row r="70" spans="1:14">
      <c r="A70" t="s">
        <v>629</v>
      </c>
      <c r="B70" t="s">
        <v>630</v>
      </c>
      <c r="C70" s="55">
        <v>39587</v>
      </c>
      <c r="D70" s="55">
        <v>236785</v>
      </c>
      <c r="E70" s="55"/>
      <c r="F70" s="55"/>
      <c r="G70" s="55"/>
      <c r="H70" s="55"/>
      <c r="I70" s="55"/>
      <c r="J70" s="55"/>
      <c r="K70" s="55"/>
      <c r="L70" s="55"/>
      <c r="M70" s="55"/>
      <c r="N70" s="55"/>
    </row>
    <row r="71" spans="1:14">
      <c r="A71" t="s">
        <v>189</v>
      </c>
      <c r="B71" t="s">
        <v>190</v>
      </c>
      <c r="C71" s="55">
        <v>169616</v>
      </c>
      <c r="D71" s="55">
        <v>1005390</v>
      </c>
      <c r="E71" s="55"/>
      <c r="F71" s="55">
        <v>70000</v>
      </c>
      <c r="G71" s="55"/>
      <c r="H71" s="55">
        <v>5000</v>
      </c>
      <c r="I71" s="55"/>
      <c r="J71" s="55"/>
      <c r="K71" s="55"/>
      <c r="L71" s="55"/>
      <c r="M71" s="55"/>
      <c r="N71" s="55"/>
    </row>
    <row r="72" spans="1:14">
      <c r="A72" t="s">
        <v>6</v>
      </c>
      <c r="B72" t="s">
        <v>8</v>
      </c>
      <c r="C72" s="55">
        <v>1250230</v>
      </c>
      <c r="D72" s="55">
        <v>7311902</v>
      </c>
      <c r="E72" s="55"/>
      <c r="F72" s="55">
        <v>145000</v>
      </c>
      <c r="G72" s="55"/>
      <c r="H72" s="55"/>
      <c r="I72" s="55"/>
      <c r="J72" s="55"/>
      <c r="K72" s="55"/>
      <c r="L72" s="55">
        <v>145000</v>
      </c>
      <c r="M72" s="55"/>
      <c r="N72" s="55"/>
    </row>
    <row r="73" spans="1:14">
      <c r="A73" t="s">
        <v>215</v>
      </c>
      <c r="B73" t="s">
        <v>216</v>
      </c>
      <c r="C73" s="55">
        <v>572941</v>
      </c>
      <c r="D73" s="55">
        <v>3343797</v>
      </c>
      <c r="E73" s="55"/>
      <c r="F73" s="55"/>
      <c r="G73" s="55"/>
      <c r="H73" s="55"/>
      <c r="I73" s="55"/>
      <c r="J73" s="55"/>
      <c r="K73" s="55"/>
      <c r="L73" s="55"/>
      <c r="M73" s="55"/>
      <c r="N73" s="55"/>
    </row>
    <row r="74" spans="1:14">
      <c r="A74" t="s">
        <v>345</v>
      </c>
      <c r="B74" t="s">
        <v>346</v>
      </c>
      <c r="C74" s="55">
        <v>197361</v>
      </c>
      <c r="D74" s="55">
        <v>1200180</v>
      </c>
      <c r="E74" s="55"/>
      <c r="F74" s="55"/>
      <c r="G74" s="55"/>
      <c r="H74" s="55">
        <v>2000</v>
      </c>
      <c r="I74" s="55"/>
      <c r="J74" s="55"/>
      <c r="K74" s="55"/>
      <c r="L74" s="55"/>
      <c r="M74" s="55"/>
      <c r="N74" s="55"/>
    </row>
    <row r="75" spans="1:14">
      <c r="A75" t="s">
        <v>297</v>
      </c>
      <c r="B75" t="s">
        <v>298</v>
      </c>
      <c r="C75" s="55">
        <v>146548</v>
      </c>
      <c r="D75" s="55">
        <v>886213</v>
      </c>
      <c r="E75" s="55"/>
      <c r="F75" s="55"/>
      <c r="G75" s="55"/>
      <c r="H75" s="55"/>
      <c r="I75" s="55"/>
      <c r="J75" s="55"/>
      <c r="K75" s="55"/>
      <c r="L75" s="55"/>
      <c r="M75" s="55"/>
      <c r="N75" s="55"/>
    </row>
    <row r="76" spans="1:14">
      <c r="A76" t="s">
        <v>313</v>
      </c>
      <c r="B76" t="s">
        <v>314</v>
      </c>
      <c r="C76" s="55">
        <v>499423</v>
      </c>
      <c r="D76" s="55">
        <v>2800085</v>
      </c>
      <c r="E76" s="55"/>
      <c r="F76" s="55">
        <v>15000</v>
      </c>
      <c r="G76" s="55"/>
      <c r="H76" s="55"/>
      <c r="I76" s="55"/>
      <c r="J76" s="55"/>
      <c r="K76" s="55"/>
      <c r="L76" s="55">
        <v>15000</v>
      </c>
      <c r="M76" s="55"/>
      <c r="N76" s="55">
        <v>121000</v>
      </c>
    </row>
    <row r="77" spans="1:14">
      <c r="A77" t="s">
        <v>151</v>
      </c>
      <c r="B77" t="s">
        <v>152</v>
      </c>
      <c r="C77" s="55">
        <v>587478</v>
      </c>
      <c r="D77" s="55">
        <v>3446743</v>
      </c>
      <c r="E77" s="55"/>
      <c r="F77" s="55"/>
      <c r="G77" s="55"/>
      <c r="H77" s="55"/>
      <c r="I77" s="55"/>
      <c r="J77" s="55"/>
      <c r="K77" s="55"/>
      <c r="L77" s="55"/>
      <c r="M77" s="55"/>
      <c r="N77" s="55"/>
    </row>
    <row r="78" spans="1:14">
      <c r="A78" t="s">
        <v>551</v>
      </c>
      <c r="B78" t="s">
        <v>552</v>
      </c>
      <c r="C78" s="55">
        <v>65782</v>
      </c>
      <c r="D78" s="55">
        <v>443769</v>
      </c>
      <c r="E78" s="55"/>
      <c r="F78" s="55"/>
      <c r="G78" s="55"/>
      <c r="H78" s="55">
        <v>38470</v>
      </c>
      <c r="I78" s="55"/>
      <c r="J78" s="55"/>
      <c r="K78" s="55"/>
      <c r="L78" s="55"/>
      <c r="M78" s="55"/>
      <c r="N78" s="55"/>
    </row>
    <row r="79" spans="1:14">
      <c r="A79" t="s">
        <v>259</v>
      </c>
      <c r="B79" t="s">
        <v>260</v>
      </c>
      <c r="C79" s="55">
        <v>110976</v>
      </c>
      <c r="D79" s="55">
        <v>639944</v>
      </c>
      <c r="E79" s="55"/>
      <c r="F79" s="55"/>
      <c r="G79" s="55"/>
      <c r="H79" s="55">
        <v>9000</v>
      </c>
      <c r="I79" s="55"/>
      <c r="J79" s="55"/>
      <c r="K79" s="55"/>
      <c r="L79" s="55"/>
      <c r="M79" s="55"/>
      <c r="N79" s="55"/>
    </row>
    <row r="80" spans="1:14">
      <c r="A80" t="s">
        <v>109</v>
      </c>
      <c r="B80" t="s">
        <v>110</v>
      </c>
      <c r="C80" s="55">
        <v>63005</v>
      </c>
      <c r="D80" s="55">
        <v>368449</v>
      </c>
      <c r="E80" s="55"/>
      <c r="F80" s="55"/>
      <c r="G80" s="55"/>
      <c r="H80" s="55"/>
      <c r="I80" s="55"/>
      <c r="J80" s="55"/>
      <c r="K80" s="55"/>
      <c r="L80" s="55"/>
      <c r="M80" s="55"/>
      <c r="N80" s="55"/>
    </row>
    <row r="81" spans="1:14">
      <c r="A81" t="s">
        <v>477</v>
      </c>
      <c r="B81" t="s">
        <v>478</v>
      </c>
      <c r="C81" s="55">
        <v>23478</v>
      </c>
      <c r="D81" s="55">
        <v>186358</v>
      </c>
      <c r="E81" s="55"/>
      <c r="F81" s="55"/>
      <c r="G81" s="55"/>
      <c r="H81" s="55"/>
      <c r="I81" s="55"/>
      <c r="J81" s="55"/>
      <c r="K81" s="55"/>
      <c r="L81" s="55"/>
      <c r="M81" s="55"/>
      <c r="N81" s="55"/>
    </row>
    <row r="82" spans="1:14">
      <c r="A82" t="s">
        <v>633</v>
      </c>
      <c r="B82" t="s">
        <v>634</v>
      </c>
      <c r="C82" s="55">
        <v>59016</v>
      </c>
      <c r="D82" s="55">
        <v>344643</v>
      </c>
      <c r="E82" s="55"/>
      <c r="F82" s="55"/>
      <c r="G82" s="55"/>
      <c r="H82" s="55"/>
      <c r="I82" s="55"/>
      <c r="J82" s="55"/>
      <c r="K82" s="55"/>
      <c r="L82" s="55"/>
      <c r="M82" s="55"/>
      <c r="N82" s="55"/>
    </row>
    <row r="83" spans="1:14">
      <c r="A83" t="s">
        <v>369</v>
      </c>
      <c r="B83" t="s">
        <v>370</v>
      </c>
      <c r="C83" s="55">
        <v>116227</v>
      </c>
      <c r="D83" s="55">
        <v>692421</v>
      </c>
      <c r="E83" s="55"/>
      <c r="F83" s="55"/>
      <c r="G83" s="55"/>
      <c r="H83" s="55"/>
      <c r="I83" s="55"/>
      <c r="J83" s="55"/>
      <c r="K83" s="55"/>
      <c r="L83" s="55">
        <v>2000</v>
      </c>
      <c r="M83" s="55"/>
      <c r="N83" s="55"/>
    </row>
    <row r="84" spans="1:14">
      <c r="A84" t="s">
        <v>365</v>
      </c>
      <c r="B84" t="s">
        <v>366</v>
      </c>
      <c r="C84" s="55">
        <v>141513</v>
      </c>
      <c r="D84" s="55">
        <v>950724</v>
      </c>
      <c r="E84" s="55"/>
      <c r="F84" s="55"/>
      <c r="G84" s="55"/>
      <c r="H84" s="55">
        <v>16866</v>
      </c>
      <c r="I84" s="55"/>
      <c r="J84" s="55"/>
      <c r="K84" s="55"/>
      <c r="L84" s="55"/>
      <c r="M84" s="55"/>
      <c r="N84" s="55"/>
    </row>
    <row r="85" spans="1:14">
      <c r="A85" t="s">
        <v>361</v>
      </c>
      <c r="B85" t="s">
        <v>362</v>
      </c>
      <c r="C85" s="55">
        <v>2629621</v>
      </c>
      <c r="D85" s="55">
        <v>15630640</v>
      </c>
      <c r="E85" s="55"/>
      <c r="F85" s="55">
        <v>30000</v>
      </c>
      <c r="G85" s="55"/>
      <c r="H85" s="55">
        <v>237389</v>
      </c>
      <c r="I85" s="55"/>
      <c r="J85" s="55"/>
      <c r="K85" s="55"/>
      <c r="L85" s="55">
        <v>30000</v>
      </c>
      <c r="M85" s="55"/>
      <c r="N85" s="55"/>
    </row>
    <row r="86" spans="1:14">
      <c r="A86" t="s">
        <v>113</v>
      </c>
      <c r="B86" t="s">
        <v>114</v>
      </c>
      <c r="C86" s="55">
        <v>413141</v>
      </c>
      <c r="D86" s="55">
        <v>2431345</v>
      </c>
      <c r="E86" s="55"/>
      <c r="F86" s="55"/>
      <c r="G86" s="55"/>
      <c r="H86" s="55"/>
      <c r="I86" s="55"/>
      <c r="J86" s="55"/>
      <c r="K86" s="55"/>
      <c r="L86" s="55"/>
      <c r="M86" s="55"/>
      <c r="N86" s="55"/>
    </row>
    <row r="87" spans="1:14">
      <c r="A87" t="s">
        <v>509</v>
      </c>
      <c r="B87" t="s">
        <v>510</v>
      </c>
      <c r="C87" s="55">
        <v>452575</v>
      </c>
      <c r="D87" s="55">
        <v>2778098</v>
      </c>
      <c r="E87" s="55"/>
      <c r="F87" s="55"/>
      <c r="G87" s="55"/>
      <c r="H87" s="55"/>
      <c r="I87" s="55"/>
      <c r="J87" s="55"/>
      <c r="K87" s="55"/>
      <c r="L87" s="55"/>
      <c r="M87" s="55"/>
      <c r="N87" s="55"/>
    </row>
    <row r="88" spans="1:14">
      <c r="A88" t="s">
        <v>433</v>
      </c>
      <c r="B88" t="s">
        <v>434</v>
      </c>
      <c r="C88" s="55">
        <v>8185</v>
      </c>
      <c r="D88" s="55">
        <v>60557</v>
      </c>
      <c r="E88" s="55"/>
      <c r="F88" s="55"/>
      <c r="G88" s="55"/>
      <c r="H88" s="55">
        <v>4000</v>
      </c>
      <c r="I88" s="55"/>
      <c r="J88" s="55"/>
      <c r="K88" s="55"/>
      <c r="L88" s="55"/>
      <c r="M88" s="55"/>
      <c r="N88" s="55"/>
    </row>
    <row r="89" spans="1:14">
      <c r="A89" t="s">
        <v>53</v>
      </c>
      <c r="B89" t="s">
        <v>54</v>
      </c>
      <c r="C89" s="55">
        <v>20838</v>
      </c>
      <c r="D89" s="55">
        <v>133601</v>
      </c>
      <c r="E89" s="55"/>
      <c r="F89" s="55"/>
      <c r="G89" s="55"/>
      <c r="H89" s="55"/>
      <c r="I89" s="55"/>
      <c r="J89" s="55"/>
      <c r="K89" s="55"/>
      <c r="L89" s="55"/>
      <c r="M89" s="55"/>
      <c r="N89" s="55"/>
    </row>
    <row r="90" spans="1:14">
      <c r="A90" t="s">
        <v>435</v>
      </c>
      <c r="B90" t="s">
        <v>436</v>
      </c>
      <c r="C90" s="55">
        <v>200090</v>
      </c>
      <c r="D90" s="55">
        <v>1155911</v>
      </c>
      <c r="E90" s="55"/>
      <c r="F90" s="55"/>
      <c r="G90" s="55"/>
      <c r="H90" s="55"/>
      <c r="I90" s="55"/>
      <c r="J90" s="55"/>
      <c r="K90" s="55"/>
      <c r="L90" s="55"/>
      <c r="M90" s="55"/>
      <c r="N90" s="55"/>
    </row>
    <row r="91" spans="1:14">
      <c r="A91" t="s">
        <v>85</v>
      </c>
      <c r="B91" t="s">
        <v>86</v>
      </c>
      <c r="C91" s="55">
        <v>237353</v>
      </c>
      <c r="D91" s="55">
        <v>2061985</v>
      </c>
      <c r="E91" s="55"/>
      <c r="F91" s="55"/>
      <c r="G91" s="55"/>
      <c r="H91" s="55"/>
      <c r="I91" s="55"/>
      <c r="J91" s="55"/>
      <c r="K91" s="55"/>
      <c r="L91" s="55">
        <v>55000</v>
      </c>
      <c r="M91" s="55"/>
      <c r="N91" s="55"/>
    </row>
    <row r="92" spans="1:14">
      <c r="A92" t="s">
        <v>419</v>
      </c>
      <c r="B92" t="s">
        <v>420</v>
      </c>
      <c r="C92" s="55">
        <v>383528</v>
      </c>
      <c r="D92" s="55">
        <v>2305185</v>
      </c>
      <c r="E92" s="55"/>
      <c r="F92" s="55"/>
      <c r="G92" s="55"/>
      <c r="H92" s="55"/>
      <c r="I92" s="55"/>
      <c r="J92" s="55"/>
      <c r="K92" s="55"/>
      <c r="L92" s="55">
        <v>30000</v>
      </c>
      <c r="M92" s="55"/>
      <c r="N92" s="55"/>
    </row>
    <row r="93" spans="1:14">
      <c r="A93" t="s">
        <v>479</v>
      </c>
      <c r="B93" t="s">
        <v>480</v>
      </c>
      <c r="C93" s="55">
        <v>20068442</v>
      </c>
      <c r="D93" s="55">
        <v>147316691</v>
      </c>
      <c r="E93" s="55"/>
      <c r="F93" s="55">
        <v>130152</v>
      </c>
      <c r="G93" s="55"/>
      <c r="H93" s="55"/>
      <c r="I93" s="55"/>
      <c r="J93" s="55"/>
      <c r="K93" s="55"/>
      <c r="L93" s="55">
        <v>325380</v>
      </c>
      <c r="M93" s="55"/>
      <c r="N93" s="55"/>
    </row>
    <row r="94" spans="1:14">
      <c r="A94" t="s">
        <v>171</v>
      </c>
      <c r="B94" t="s">
        <v>172</v>
      </c>
      <c r="C94" s="55">
        <v>7311600</v>
      </c>
      <c r="D94" s="55">
        <v>48492000</v>
      </c>
      <c r="E94" s="55"/>
      <c r="F94" s="55">
        <v>60000</v>
      </c>
      <c r="G94" s="55"/>
      <c r="H94" s="55"/>
      <c r="I94" s="55"/>
      <c r="J94" s="55"/>
      <c r="K94" s="55"/>
      <c r="L94" s="55">
        <v>60000</v>
      </c>
      <c r="M94" s="55"/>
      <c r="N94" s="55">
        <v>875000</v>
      </c>
    </row>
    <row r="95" spans="1:14">
      <c r="A95" t="s">
        <v>157</v>
      </c>
      <c r="B95" t="s">
        <v>158</v>
      </c>
      <c r="C95" s="55">
        <v>1666898</v>
      </c>
      <c r="D95" s="55">
        <v>10677087</v>
      </c>
      <c r="E95" s="55"/>
      <c r="F95" s="55">
        <v>25000</v>
      </c>
      <c r="G95" s="55"/>
      <c r="H95" s="55"/>
      <c r="I95" s="55"/>
      <c r="J95" s="55"/>
      <c r="K95" s="55"/>
      <c r="L95" s="55">
        <v>30000</v>
      </c>
      <c r="M95" s="55"/>
      <c r="N95" s="55"/>
    </row>
    <row r="96" spans="1:14">
      <c r="A96" t="s">
        <v>303</v>
      </c>
      <c r="B96" t="s">
        <v>304</v>
      </c>
      <c r="C96" s="55">
        <v>1054281</v>
      </c>
      <c r="D96" s="55">
        <v>7191779</v>
      </c>
      <c r="E96" s="55"/>
      <c r="F96" s="55"/>
      <c r="G96" s="55"/>
      <c r="H96" s="55"/>
      <c r="I96" s="55"/>
      <c r="J96" s="55"/>
      <c r="K96" s="55"/>
      <c r="L96" s="55"/>
      <c r="M96" s="55"/>
      <c r="N96" s="55"/>
    </row>
    <row r="97" spans="1:14">
      <c r="A97" t="s">
        <v>209</v>
      </c>
      <c r="B97" t="s">
        <v>210</v>
      </c>
      <c r="C97" s="55">
        <v>6782303</v>
      </c>
      <c r="D97" s="55">
        <v>43510071</v>
      </c>
      <c r="E97" s="55"/>
      <c r="F97" s="55"/>
      <c r="G97" s="55"/>
      <c r="H97" s="55"/>
      <c r="I97" s="55"/>
      <c r="J97" s="55"/>
      <c r="K97" s="55"/>
      <c r="L97" s="55"/>
      <c r="M97" s="55"/>
      <c r="N97" s="55">
        <v>800000</v>
      </c>
    </row>
    <row r="98" spans="1:14">
      <c r="A98" t="s">
        <v>585</v>
      </c>
      <c r="B98" t="s">
        <v>586</v>
      </c>
      <c r="C98" s="55">
        <v>357861</v>
      </c>
      <c r="D98" s="55">
        <v>2546920</v>
      </c>
      <c r="E98" s="55"/>
      <c r="F98" s="55"/>
      <c r="G98" s="55"/>
      <c r="H98" s="55"/>
      <c r="I98" s="55"/>
      <c r="J98" s="55"/>
      <c r="K98" s="55"/>
      <c r="L98" s="55"/>
      <c r="M98" s="55"/>
      <c r="N98" s="55"/>
    </row>
    <row r="99" spans="1:14">
      <c r="A99" t="s">
        <v>451</v>
      </c>
      <c r="B99" t="s">
        <v>452</v>
      </c>
      <c r="C99" s="55">
        <v>5383348</v>
      </c>
      <c r="D99" s="55">
        <v>36813141</v>
      </c>
      <c r="E99" s="55"/>
      <c r="F99" s="55"/>
      <c r="G99" s="55"/>
      <c r="H99" s="55"/>
      <c r="I99" s="55">
        <v>257496</v>
      </c>
      <c r="J99" s="55"/>
      <c r="K99" s="55"/>
      <c r="L99" s="55"/>
      <c r="M99" s="55"/>
      <c r="N99" s="55">
        <v>735757</v>
      </c>
    </row>
    <row r="100" spans="1:14">
      <c r="A100" t="s">
        <v>497</v>
      </c>
      <c r="B100" t="s">
        <v>498</v>
      </c>
      <c r="C100" s="55">
        <v>34364</v>
      </c>
      <c r="D100" s="55">
        <v>204941</v>
      </c>
      <c r="E100" s="55"/>
      <c r="F100" s="55"/>
      <c r="G100" s="55"/>
      <c r="H100" s="55"/>
      <c r="I100" s="55"/>
      <c r="J100" s="55"/>
      <c r="K100" s="55"/>
      <c r="L100" s="55"/>
      <c r="M100" s="55"/>
      <c r="N100" s="55"/>
    </row>
    <row r="101" spans="1:14">
      <c r="A101" t="s">
        <v>30</v>
      </c>
      <c r="B101" t="s">
        <v>31</v>
      </c>
      <c r="C101" s="55">
        <v>5470484</v>
      </c>
      <c r="D101" s="55">
        <v>30976215</v>
      </c>
      <c r="E101" s="55"/>
      <c r="F101" s="55"/>
      <c r="G101" s="55"/>
      <c r="H101" s="55"/>
      <c r="I101" s="55"/>
      <c r="J101" s="55"/>
      <c r="K101" s="55"/>
      <c r="L101" s="55"/>
      <c r="M101" s="55"/>
      <c r="N101" s="55">
        <v>30000</v>
      </c>
    </row>
    <row r="102" spans="1:14">
      <c r="A102" t="s">
        <v>573</v>
      </c>
      <c r="B102" t="s">
        <v>574</v>
      </c>
      <c r="C102" s="55">
        <v>863853</v>
      </c>
      <c r="D102" s="55">
        <v>5828835</v>
      </c>
      <c r="E102" s="55"/>
      <c r="F102" s="55"/>
      <c r="G102" s="55"/>
      <c r="H102" s="55"/>
      <c r="I102" s="55"/>
      <c r="J102" s="55"/>
      <c r="K102" s="55"/>
      <c r="L102" s="55"/>
      <c r="M102" s="55"/>
      <c r="N102" s="55"/>
    </row>
    <row r="103" spans="1:14">
      <c r="A103" t="s">
        <v>463</v>
      </c>
      <c r="B103" t="s">
        <v>464</v>
      </c>
      <c r="C103" s="55">
        <v>819161</v>
      </c>
      <c r="D103" s="55">
        <v>4979525</v>
      </c>
      <c r="E103" s="55"/>
      <c r="F103" s="55"/>
      <c r="G103" s="55"/>
      <c r="H103" s="55"/>
      <c r="I103" s="55"/>
      <c r="J103" s="55"/>
      <c r="K103" s="55"/>
      <c r="L103" s="55"/>
      <c r="M103" s="55"/>
      <c r="N103" s="55"/>
    </row>
    <row r="104" spans="1:14">
      <c r="A104" t="s">
        <v>22</v>
      </c>
      <c r="B104" t="s">
        <v>24</v>
      </c>
      <c r="C104" s="55">
        <v>5425019</v>
      </c>
      <c r="D104" s="55">
        <v>33984163</v>
      </c>
      <c r="E104" s="55"/>
      <c r="F104" s="55"/>
      <c r="G104" s="55"/>
      <c r="H104" s="55">
        <v>101905</v>
      </c>
      <c r="I104" s="55"/>
      <c r="J104" s="55"/>
      <c r="K104" s="55"/>
      <c r="L104" s="55">
        <v>330588</v>
      </c>
      <c r="M104" s="55"/>
      <c r="N104" s="55"/>
    </row>
    <row r="105" spans="1:14">
      <c r="A105" t="s">
        <v>553</v>
      </c>
      <c r="B105" t="s">
        <v>554</v>
      </c>
      <c r="C105" s="55">
        <v>2463338</v>
      </c>
      <c r="D105" s="55">
        <v>19701887</v>
      </c>
      <c r="E105" s="55"/>
      <c r="F105" s="55"/>
      <c r="G105" s="55"/>
      <c r="H105" s="55"/>
      <c r="I105" s="55"/>
      <c r="J105" s="55"/>
      <c r="K105" s="55"/>
      <c r="L105" s="55">
        <v>3000</v>
      </c>
      <c r="M105" s="55"/>
      <c r="N105" s="55"/>
    </row>
    <row r="106" spans="1:14">
      <c r="A106" t="s">
        <v>501</v>
      </c>
      <c r="B106" t="s">
        <v>502</v>
      </c>
      <c r="C106" s="55">
        <v>1946574</v>
      </c>
      <c r="D106" s="55">
        <v>15095036</v>
      </c>
      <c r="E106" s="55"/>
      <c r="F106" s="55"/>
      <c r="G106" s="55"/>
      <c r="H106" s="55"/>
      <c r="I106" s="55"/>
      <c r="J106" s="55"/>
      <c r="K106" s="55"/>
      <c r="L106" s="55"/>
      <c r="M106" s="55"/>
      <c r="N106" s="55"/>
    </row>
    <row r="107" spans="1:14">
      <c r="A107" t="s">
        <v>229</v>
      </c>
      <c r="B107" t="s">
        <v>230</v>
      </c>
      <c r="C107" s="55">
        <v>4773481</v>
      </c>
      <c r="D107" s="55">
        <v>32711367</v>
      </c>
      <c r="E107" s="55"/>
      <c r="F107" s="55">
        <v>2</v>
      </c>
      <c r="G107" s="55"/>
      <c r="H107" s="55"/>
      <c r="I107" s="55"/>
      <c r="J107" s="55"/>
      <c r="K107" s="55"/>
      <c r="L107" s="55">
        <v>20000</v>
      </c>
      <c r="M107" s="55"/>
      <c r="N107" s="55">
        <v>45000</v>
      </c>
    </row>
    <row r="108" spans="1:14">
      <c r="A108" t="s">
        <v>493</v>
      </c>
      <c r="B108" t="s">
        <v>494</v>
      </c>
      <c r="C108" s="55">
        <v>3068537</v>
      </c>
      <c r="D108" s="55">
        <v>21523906</v>
      </c>
      <c r="E108" s="55">
        <v>150000</v>
      </c>
      <c r="F108" s="55"/>
      <c r="G108" s="55"/>
      <c r="H108" s="55"/>
      <c r="I108" s="55"/>
      <c r="J108" s="55"/>
      <c r="K108" s="55"/>
      <c r="L108" s="55"/>
      <c r="M108" s="55"/>
      <c r="N108" s="55"/>
    </row>
    <row r="109" spans="1:14">
      <c r="A109" t="s">
        <v>263</v>
      </c>
      <c r="B109" t="s">
        <v>264</v>
      </c>
      <c r="C109" s="55">
        <v>6921375</v>
      </c>
      <c r="D109" s="55">
        <v>53208232</v>
      </c>
      <c r="E109" s="55"/>
      <c r="F109" s="55"/>
      <c r="G109" s="55"/>
      <c r="H109" s="55"/>
      <c r="I109" s="55"/>
      <c r="J109" s="55"/>
      <c r="K109" s="55"/>
      <c r="L109" s="55">
        <v>50000</v>
      </c>
      <c r="M109" s="55"/>
      <c r="N109" s="55"/>
    </row>
    <row r="110" spans="1:14">
      <c r="A110" t="s">
        <v>241</v>
      </c>
      <c r="B110" t="s">
        <v>242</v>
      </c>
      <c r="C110" s="55">
        <v>9394469</v>
      </c>
      <c r="D110" s="55">
        <v>63280387</v>
      </c>
      <c r="E110" s="55"/>
      <c r="F110" s="55"/>
      <c r="G110" s="55"/>
      <c r="H110" s="55"/>
      <c r="I110" s="55"/>
      <c r="J110" s="55"/>
      <c r="K110" s="55"/>
      <c r="L110" s="55">
        <v>15000</v>
      </c>
      <c r="M110" s="55"/>
      <c r="N110" s="55"/>
    </row>
    <row r="111" spans="1:14">
      <c r="A111" t="s">
        <v>359</v>
      </c>
      <c r="B111" t="s">
        <v>360</v>
      </c>
      <c r="C111" s="55">
        <v>7642947</v>
      </c>
      <c r="D111" s="55">
        <v>55558906</v>
      </c>
      <c r="E111" s="55"/>
      <c r="F111" s="55">
        <v>25000</v>
      </c>
      <c r="G111" s="55"/>
      <c r="H111" s="55"/>
      <c r="I111" s="55"/>
      <c r="J111" s="55"/>
      <c r="K111" s="55"/>
      <c r="L111" s="55">
        <v>40000</v>
      </c>
      <c r="M111" s="55"/>
      <c r="N111" s="55"/>
    </row>
    <row r="112" spans="1:14">
      <c r="A112" t="s">
        <v>539</v>
      </c>
      <c r="B112" t="s">
        <v>540</v>
      </c>
      <c r="C112" s="55">
        <v>58639</v>
      </c>
      <c r="D112" s="55">
        <v>518826</v>
      </c>
      <c r="E112" s="55"/>
      <c r="F112" s="55"/>
      <c r="G112" s="55"/>
      <c r="H112" s="55"/>
      <c r="I112" s="55"/>
      <c r="J112" s="55"/>
      <c r="K112" s="55"/>
      <c r="L112" s="55"/>
      <c r="M112" s="55"/>
      <c r="N112" s="55"/>
    </row>
    <row r="113" spans="1:14">
      <c r="A113" t="s">
        <v>535</v>
      </c>
      <c r="B113" t="s">
        <v>536</v>
      </c>
      <c r="C113" s="55">
        <v>125886</v>
      </c>
      <c r="D113" s="55">
        <v>1503110</v>
      </c>
      <c r="E113" s="55"/>
      <c r="F113" s="55"/>
      <c r="G113" s="55"/>
      <c r="H113" s="55"/>
      <c r="I113" s="55"/>
      <c r="J113" s="55"/>
      <c r="K113" s="55"/>
      <c r="L113" s="55"/>
      <c r="M113" s="55"/>
      <c r="N113" s="55"/>
    </row>
    <row r="114" spans="1:14">
      <c r="A114" t="s">
        <v>443</v>
      </c>
      <c r="B114" t="s">
        <v>444</v>
      </c>
      <c r="C114" s="55">
        <v>60012</v>
      </c>
      <c r="D114" s="55">
        <v>328398</v>
      </c>
      <c r="E114" s="55"/>
      <c r="F114" s="55"/>
      <c r="G114" s="55"/>
      <c r="H114" s="55"/>
      <c r="I114" s="55"/>
      <c r="J114" s="55"/>
      <c r="K114" s="55"/>
      <c r="L114" s="55"/>
      <c r="M114" s="55"/>
      <c r="N114" s="55"/>
    </row>
    <row r="115" spans="1:14">
      <c r="A115" t="s">
        <v>445</v>
      </c>
      <c r="B115" t="s">
        <v>446</v>
      </c>
      <c r="C115" s="55">
        <v>35205</v>
      </c>
      <c r="D115" s="55">
        <v>269571</v>
      </c>
      <c r="E115" s="55"/>
      <c r="F115" s="55"/>
      <c r="G115" s="55"/>
      <c r="H115" s="55"/>
      <c r="I115" s="55"/>
      <c r="J115" s="55"/>
      <c r="K115" s="55"/>
      <c r="L115" s="55"/>
      <c r="M115" s="55"/>
      <c r="N115" s="55"/>
    </row>
    <row r="116" spans="1:14">
      <c r="A116" t="s">
        <v>219</v>
      </c>
      <c r="B116" t="s">
        <v>220</v>
      </c>
      <c r="C116" s="55">
        <v>205703</v>
      </c>
      <c r="D116" s="55">
        <v>1248701</v>
      </c>
      <c r="E116" s="55"/>
      <c r="F116" s="55"/>
      <c r="G116" s="55"/>
      <c r="H116" s="55"/>
      <c r="I116" s="55"/>
      <c r="J116" s="55"/>
      <c r="K116" s="55"/>
      <c r="L116" s="55"/>
      <c r="M116" s="55"/>
      <c r="N116" s="55"/>
    </row>
    <row r="117" spans="1:14">
      <c r="A117" t="s">
        <v>221</v>
      </c>
      <c r="B117" t="s">
        <v>222</v>
      </c>
      <c r="C117" s="55">
        <v>135317</v>
      </c>
      <c r="D117" s="55">
        <v>719905</v>
      </c>
      <c r="E117" s="55"/>
      <c r="F117" s="55"/>
      <c r="G117" s="55"/>
      <c r="H117" s="55"/>
      <c r="I117" s="55"/>
      <c r="J117" s="55"/>
      <c r="K117" s="55"/>
      <c r="L117" s="55"/>
      <c r="M117" s="55"/>
      <c r="N117" s="55"/>
    </row>
    <row r="118" spans="1:14">
      <c r="A118" t="s">
        <v>623</v>
      </c>
      <c r="B118" t="s">
        <v>624</v>
      </c>
      <c r="C118" s="55">
        <v>26486</v>
      </c>
      <c r="D118" s="55">
        <v>140911</v>
      </c>
      <c r="E118" s="55"/>
      <c r="F118" s="55"/>
      <c r="G118" s="55"/>
      <c r="H118" s="55"/>
      <c r="I118" s="55"/>
      <c r="J118" s="55"/>
      <c r="K118" s="55"/>
      <c r="L118" s="55"/>
      <c r="M118" s="55"/>
      <c r="N118" s="55"/>
    </row>
    <row r="119" spans="1:14">
      <c r="A119" t="s">
        <v>829</v>
      </c>
      <c r="B119" t="s">
        <v>1431</v>
      </c>
      <c r="C119" s="55">
        <v>116081</v>
      </c>
      <c r="D119" s="55">
        <v>616661</v>
      </c>
      <c r="E119" s="55"/>
      <c r="F119" s="55"/>
      <c r="G119" s="55"/>
      <c r="H119" s="55"/>
      <c r="I119" s="55"/>
      <c r="J119" s="55"/>
      <c r="K119" s="55"/>
      <c r="L119" s="55"/>
      <c r="M119" s="55"/>
      <c r="N119" s="55"/>
    </row>
    <row r="120" spans="1:14">
      <c r="A120" t="s">
        <v>45</v>
      </c>
      <c r="B120" t="s">
        <v>47</v>
      </c>
      <c r="C120" s="55">
        <v>1971716</v>
      </c>
      <c r="D120" s="55">
        <v>13401023</v>
      </c>
      <c r="E120" s="55"/>
      <c r="F120" s="55"/>
      <c r="G120" s="55"/>
      <c r="H120" s="55">
        <v>20000</v>
      </c>
      <c r="I120" s="55"/>
      <c r="J120" s="55"/>
      <c r="K120" s="55"/>
      <c r="L120" s="55"/>
      <c r="M120" s="55"/>
      <c r="N120" s="55"/>
    </row>
    <row r="121" spans="1:14">
      <c r="A121" t="s">
        <v>25</v>
      </c>
      <c r="B121" t="s">
        <v>26</v>
      </c>
      <c r="C121" s="55">
        <v>1029646</v>
      </c>
      <c r="D121" s="55">
        <v>7819903</v>
      </c>
      <c r="E121" s="55"/>
      <c r="F121" s="55">
        <v>500</v>
      </c>
      <c r="G121" s="55"/>
      <c r="H121" s="55"/>
      <c r="I121" s="55"/>
      <c r="J121" s="55"/>
      <c r="K121" s="55"/>
      <c r="L121" s="55"/>
      <c r="M121" s="55"/>
      <c r="N121" s="55"/>
    </row>
    <row r="122" spans="1:14">
      <c r="A122" t="s">
        <v>349</v>
      </c>
      <c r="B122" t="s">
        <v>350</v>
      </c>
      <c r="C122" s="55">
        <v>1724904</v>
      </c>
      <c r="D122" s="55">
        <v>12591711</v>
      </c>
      <c r="E122" s="55"/>
      <c r="F122" s="55"/>
      <c r="G122" s="55"/>
      <c r="H122" s="55">
        <v>70000</v>
      </c>
      <c r="I122" s="55"/>
      <c r="J122" s="55"/>
      <c r="K122" s="55"/>
      <c r="L122" s="55"/>
      <c r="M122" s="55"/>
      <c r="N122" s="55"/>
    </row>
    <row r="123" spans="1:14">
      <c r="A123" t="s">
        <v>73</v>
      </c>
      <c r="B123" t="s">
        <v>74</v>
      </c>
      <c r="C123" s="55">
        <v>4280001</v>
      </c>
      <c r="D123" s="55">
        <v>26220495</v>
      </c>
      <c r="E123" s="55"/>
      <c r="F123" s="55"/>
      <c r="G123" s="55"/>
      <c r="H123" s="55">
        <v>896641</v>
      </c>
      <c r="I123" s="55"/>
      <c r="J123" s="55"/>
      <c r="K123" s="55"/>
      <c r="L123" s="55">
        <v>26846</v>
      </c>
      <c r="M123" s="55"/>
      <c r="N123" s="55">
        <v>20000</v>
      </c>
    </row>
    <row r="124" spans="1:14">
      <c r="A124" t="s">
        <v>507</v>
      </c>
      <c r="B124" t="s">
        <v>508</v>
      </c>
      <c r="C124" s="55">
        <v>3660972</v>
      </c>
      <c r="D124" s="55">
        <v>24358082</v>
      </c>
      <c r="E124" s="55"/>
      <c r="F124" s="55"/>
      <c r="G124" s="55"/>
      <c r="H124" s="55">
        <v>600000</v>
      </c>
      <c r="I124" s="55"/>
      <c r="J124" s="55"/>
      <c r="K124" s="55"/>
      <c r="L124" s="55"/>
      <c r="M124" s="55"/>
      <c r="N124" s="55"/>
    </row>
    <row r="125" spans="1:14">
      <c r="A125" t="s">
        <v>69</v>
      </c>
      <c r="B125" t="s">
        <v>70</v>
      </c>
      <c r="C125" s="55">
        <v>257574</v>
      </c>
      <c r="D125" s="55">
        <v>1370321</v>
      </c>
      <c r="E125" s="55"/>
      <c r="F125" s="55"/>
      <c r="G125" s="55"/>
      <c r="H125" s="55"/>
      <c r="I125" s="55"/>
      <c r="J125" s="55"/>
      <c r="K125" s="55"/>
      <c r="L125" s="55"/>
      <c r="M125" s="55"/>
      <c r="N125" s="55"/>
    </row>
    <row r="126" spans="1:14">
      <c r="A126" t="s">
        <v>123</v>
      </c>
      <c r="B126" t="s">
        <v>124</v>
      </c>
      <c r="C126" s="55">
        <v>17122</v>
      </c>
      <c r="D126" s="55">
        <v>145265</v>
      </c>
      <c r="E126" s="55"/>
      <c r="F126" s="55"/>
      <c r="G126" s="55"/>
      <c r="H126" s="55"/>
      <c r="I126" s="55"/>
      <c r="J126" s="55"/>
      <c r="K126" s="55"/>
      <c r="L126" s="55"/>
      <c r="M126" s="55"/>
      <c r="N126" s="55"/>
    </row>
    <row r="127" spans="1:14">
      <c r="A127" t="s">
        <v>143</v>
      </c>
      <c r="B127" t="s">
        <v>144</v>
      </c>
      <c r="C127" s="55">
        <v>24782</v>
      </c>
      <c r="D127" s="55">
        <v>183942</v>
      </c>
      <c r="E127" s="55"/>
      <c r="F127" s="55"/>
      <c r="G127" s="55"/>
      <c r="H127" s="55"/>
      <c r="I127" s="55"/>
      <c r="J127" s="55"/>
      <c r="K127" s="55"/>
      <c r="L127" s="55"/>
      <c r="M127" s="55"/>
      <c r="N127" s="55"/>
    </row>
    <row r="128" spans="1:14">
      <c r="A128" t="s">
        <v>559</v>
      </c>
      <c r="B128" t="s">
        <v>560</v>
      </c>
      <c r="C128" s="55">
        <v>80164</v>
      </c>
      <c r="D128" s="55">
        <v>478025</v>
      </c>
      <c r="E128" s="55"/>
      <c r="F128" s="55"/>
      <c r="G128" s="55"/>
      <c r="H128" s="55"/>
      <c r="I128" s="55"/>
      <c r="J128" s="55"/>
      <c r="K128" s="55"/>
      <c r="L128" s="55"/>
      <c r="M128" s="55"/>
      <c r="N128" s="55"/>
    </row>
    <row r="129" spans="1:14">
      <c r="A129" t="s">
        <v>149</v>
      </c>
      <c r="B129" t="s">
        <v>150</v>
      </c>
      <c r="C129" s="55">
        <v>1029562</v>
      </c>
      <c r="D129" s="55">
        <v>5827415</v>
      </c>
      <c r="E129" s="55"/>
      <c r="F129" s="55"/>
      <c r="G129" s="55"/>
      <c r="H129" s="55"/>
      <c r="I129" s="55"/>
      <c r="J129" s="55"/>
      <c r="K129" s="55"/>
      <c r="L129" s="55">
        <v>8000</v>
      </c>
      <c r="M129" s="55"/>
      <c r="N129" s="55"/>
    </row>
    <row r="130" spans="1:14">
      <c r="A130" t="s">
        <v>247</v>
      </c>
      <c r="B130" t="s">
        <v>248</v>
      </c>
      <c r="C130" s="55">
        <v>135650</v>
      </c>
      <c r="D130" s="55">
        <v>887326</v>
      </c>
      <c r="E130" s="55"/>
      <c r="F130" s="55"/>
      <c r="G130" s="55"/>
      <c r="H130" s="55"/>
      <c r="I130" s="55"/>
      <c r="J130" s="55"/>
      <c r="K130" s="55"/>
      <c r="L130" s="55"/>
      <c r="M130" s="55"/>
      <c r="N130" s="55"/>
    </row>
    <row r="131" spans="1:14">
      <c r="A131" t="s">
        <v>89</v>
      </c>
      <c r="B131" t="s">
        <v>90</v>
      </c>
      <c r="C131" s="55">
        <v>315010</v>
      </c>
      <c r="D131" s="55">
        <v>1963972</v>
      </c>
      <c r="E131" s="55"/>
      <c r="F131" s="55"/>
      <c r="G131" s="55"/>
      <c r="H131" s="55"/>
      <c r="I131" s="55"/>
      <c r="J131" s="55"/>
      <c r="K131" s="55"/>
      <c r="L131" s="55"/>
      <c r="M131" s="55"/>
      <c r="N131" s="55"/>
    </row>
    <row r="132" spans="1:14">
      <c r="A132" t="s">
        <v>635</v>
      </c>
      <c r="B132" t="s">
        <v>636</v>
      </c>
      <c r="C132" s="55">
        <v>35904</v>
      </c>
      <c r="D132" s="55">
        <v>225483</v>
      </c>
      <c r="E132" s="55"/>
      <c r="F132" s="55"/>
      <c r="G132" s="55"/>
      <c r="H132" s="55"/>
      <c r="I132" s="55"/>
      <c r="J132" s="55"/>
      <c r="K132" s="55"/>
      <c r="L132" s="55"/>
      <c r="M132" s="55"/>
      <c r="N132" s="55"/>
    </row>
    <row r="133" spans="1:14">
      <c r="A133" t="s">
        <v>38</v>
      </c>
      <c r="B133" t="s">
        <v>40</v>
      </c>
      <c r="C133" s="55">
        <v>30000</v>
      </c>
      <c r="D133" s="55">
        <v>195000</v>
      </c>
      <c r="E133" s="55"/>
      <c r="F133" s="55"/>
      <c r="G133" s="55"/>
      <c r="H133" s="55"/>
      <c r="I133" s="55"/>
      <c r="J133" s="55"/>
      <c r="K133" s="55"/>
      <c r="L133" s="55"/>
      <c r="M133" s="55"/>
      <c r="N133" s="55"/>
    </row>
    <row r="134" spans="1:14">
      <c r="A134" t="s">
        <v>71</v>
      </c>
      <c r="B134" t="s">
        <v>72</v>
      </c>
      <c r="C134" s="55">
        <v>22309</v>
      </c>
      <c r="D134" s="55">
        <v>130315</v>
      </c>
      <c r="E134" s="55"/>
      <c r="F134" s="55"/>
      <c r="G134" s="55"/>
      <c r="H134" s="55"/>
      <c r="I134" s="55"/>
      <c r="J134" s="55"/>
      <c r="K134" s="55"/>
      <c r="L134" s="55"/>
      <c r="M134" s="55"/>
      <c r="N134" s="55"/>
    </row>
    <row r="135" spans="1:14">
      <c r="A135" t="s">
        <v>571</v>
      </c>
      <c r="B135" t="s">
        <v>572</v>
      </c>
      <c r="C135" s="55">
        <v>22909</v>
      </c>
      <c r="D135" s="55">
        <v>144352</v>
      </c>
      <c r="E135" s="55"/>
      <c r="F135" s="55"/>
      <c r="G135" s="55"/>
      <c r="H135" s="55"/>
      <c r="I135" s="55"/>
      <c r="J135" s="55"/>
      <c r="K135" s="55"/>
      <c r="L135" s="55"/>
      <c r="M135" s="55"/>
      <c r="N135" s="55"/>
    </row>
    <row r="136" spans="1:14">
      <c r="A136" t="s">
        <v>185</v>
      </c>
      <c r="B136" t="s">
        <v>186</v>
      </c>
      <c r="C136" s="55">
        <v>20178</v>
      </c>
      <c r="D136" s="55">
        <v>118437</v>
      </c>
      <c r="E136" s="55"/>
      <c r="F136" s="55"/>
      <c r="G136" s="55"/>
      <c r="H136" s="55"/>
      <c r="I136" s="55"/>
      <c r="J136" s="55"/>
      <c r="K136" s="55"/>
      <c r="L136" s="55"/>
      <c r="M136" s="55"/>
      <c r="N136" s="55"/>
    </row>
    <row r="137" spans="1:14">
      <c r="A137" t="s">
        <v>249</v>
      </c>
      <c r="B137" t="s">
        <v>250</v>
      </c>
      <c r="C137" s="55">
        <v>13116</v>
      </c>
      <c r="D137" s="55">
        <v>107463</v>
      </c>
      <c r="E137" s="55"/>
      <c r="F137" s="55"/>
      <c r="G137" s="55"/>
      <c r="H137" s="55"/>
      <c r="I137" s="55"/>
      <c r="J137" s="55"/>
      <c r="K137" s="55"/>
      <c r="L137" s="55"/>
      <c r="M137" s="55"/>
      <c r="N137" s="55"/>
    </row>
    <row r="138" spans="1:14">
      <c r="A138" t="s">
        <v>467</v>
      </c>
      <c r="B138" t="s">
        <v>468</v>
      </c>
      <c r="C138" s="55">
        <v>5311</v>
      </c>
      <c r="D138" s="55">
        <v>35537</v>
      </c>
      <c r="E138" s="55"/>
      <c r="F138" s="55"/>
      <c r="G138" s="55"/>
      <c r="H138" s="55"/>
      <c r="I138" s="55"/>
      <c r="J138" s="55"/>
      <c r="K138" s="55"/>
      <c r="L138" s="55"/>
      <c r="M138" s="55"/>
      <c r="N138" s="55"/>
    </row>
    <row r="139" spans="1:14">
      <c r="A139" t="s">
        <v>187</v>
      </c>
      <c r="B139" t="s">
        <v>188</v>
      </c>
      <c r="C139" s="55">
        <v>1070895</v>
      </c>
      <c r="D139" s="55">
        <v>5432753</v>
      </c>
      <c r="E139" s="55"/>
      <c r="F139" s="55"/>
      <c r="G139" s="55"/>
      <c r="H139" s="55"/>
      <c r="I139" s="55"/>
      <c r="J139" s="55"/>
      <c r="K139" s="55"/>
      <c r="L139" s="55"/>
      <c r="M139" s="55"/>
      <c r="N139" s="55"/>
    </row>
    <row r="140" spans="1:14">
      <c r="A140" t="s">
        <v>621</v>
      </c>
      <c r="B140" t="s">
        <v>622</v>
      </c>
      <c r="C140" s="55">
        <v>358828</v>
      </c>
      <c r="D140" s="55">
        <v>2113712</v>
      </c>
      <c r="E140" s="55"/>
      <c r="F140" s="55"/>
      <c r="G140" s="55"/>
      <c r="H140" s="55"/>
      <c r="I140" s="55"/>
      <c r="J140" s="55"/>
      <c r="K140" s="55"/>
      <c r="L140" s="55"/>
      <c r="M140" s="55"/>
      <c r="N140" s="55"/>
    </row>
    <row r="141" spans="1:14">
      <c r="A141" t="s">
        <v>281</v>
      </c>
      <c r="B141" t="s">
        <v>282</v>
      </c>
      <c r="C141" s="55">
        <v>54847</v>
      </c>
      <c r="D141" s="55">
        <v>320648</v>
      </c>
      <c r="E141" s="55"/>
      <c r="F141" s="55"/>
      <c r="G141" s="55"/>
      <c r="H141" s="55"/>
      <c r="I141" s="55"/>
      <c r="J141" s="55"/>
      <c r="K141" s="55"/>
      <c r="L141" s="55"/>
      <c r="M141" s="55"/>
      <c r="N141" s="55"/>
    </row>
    <row r="142" spans="1:14">
      <c r="A142" t="s">
        <v>333</v>
      </c>
      <c r="B142" t="s">
        <v>334</v>
      </c>
      <c r="C142" s="55">
        <v>193528</v>
      </c>
      <c r="D142" s="55">
        <v>1291667</v>
      </c>
      <c r="E142" s="55"/>
      <c r="F142" s="55"/>
      <c r="G142" s="55"/>
      <c r="H142" s="55"/>
      <c r="I142" s="55"/>
      <c r="J142" s="55"/>
      <c r="K142" s="55"/>
      <c r="L142" s="55"/>
      <c r="M142" s="55"/>
      <c r="N142" s="55">
        <v>1300000</v>
      </c>
    </row>
    <row r="143" spans="1:14">
      <c r="A143" t="s">
        <v>163</v>
      </c>
      <c r="B143" t="s">
        <v>164</v>
      </c>
      <c r="C143" s="55">
        <v>9666</v>
      </c>
      <c r="D143" s="55">
        <v>64032</v>
      </c>
      <c r="E143" s="55"/>
      <c r="F143" s="55"/>
      <c r="G143" s="55"/>
      <c r="H143" s="55"/>
      <c r="I143" s="55"/>
      <c r="J143" s="55"/>
      <c r="K143" s="55"/>
      <c r="L143" s="55"/>
      <c r="M143" s="55"/>
      <c r="N143" s="55"/>
    </row>
    <row r="144" spans="1:14">
      <c r="A144" t="s">
        <v>319</v>
      </c>
      <c r="B144" t="s">
        <v>320</v>
      </c>
      <c r="C144" s="55">
        <v>226010</v>
      </c>
      <c r="D144" s="55">
        <v>1236351</v>
      </c>
      <c r="E144" s="55"/>
      <c r="F144" s="55"/>
      <c r="G144" s="55"/>
      <c r="H144" s="55"/>
      <c r="I144" s="55"/>
      <c r="J144" s="55"/>
      <c r="K144" s="55"/>
      <c r="L144" s="55"/>
      <c r="M144" s="55"/>
      <c r="N144" s="55"/>
    </row>
    <row r="145" spans="1:14">
      <c r="A145" t="s">
        <v>315</v>
      </c>
      <c r="B145" t="s">
        <v>316</v>
      </c>
      <c r="C145" s="55">
        <v>117814</v>
      </c>
      <c r="D145" s="55">
        <v>726417</v>
      </c>
      <c r="E145" s="55"/>
      <c r="F145" s="55"/>
      <c r="G145" s="55"/>
      <c r="H145" s="55"/>
      <c r="I145" s="55"/>
      <c r="J145" s="55"/>
      <c r="K145" s="55"/>
      <c r="L145" s="55"/>
      <c r="M145" s="55"/>
      <c r="N145" s="55">
        <v>60000</v>
      </c>
    </row>
    <row r="146" spans="1:14">
      <c r="A146" t="s">
        <v>9</v>
      </c>
      <c r="B146" t="s">
        <v>10</v>
      </c>
      <c r="C146" s="55">
        <v>134403</v>
      </c>
      <c r="D146" s="55">
        <v>870597</v>
      </c>
      <c r="E146" s="55"/>
      <c r="F146" s="55"/>
      <c r="G146" s="55"/>
      <c r="H146" s="55"/>
      <c r="I146" s="55"/>
      <c r="J146" s="55"/>
      <c r="K146" s="55"/>
      <c r="L146" s="55"/>
      <c r="M146" s="55"/>
      <c r="N146" s="55">
        <v>1680000</v>
      </c>
    </row>
    <row r="147" spans="1:14">
      <c r="A147" t="s">
        <v>631</v>
      </c>
      <c r="B147" t="s">
        <v>632</v>
      </c>
      <c r="C147" s="55">
        <v>260475</v>
      </c>
      <c r="D147" s="55">
        <v>1619576</v>
      </c>
      <c r="E147" s="55"/>
      <c r="F147" s="55"/>
      <c r="G147" s="55"/>
      <c r="H147" s="55"/>
      <c r="I147" s="55"/>
      <c r="J147" s="55"/>
      <c r="K147" s="55"/>
      <c r="L147" s="55"/>
      <c r="M147" s="55"/>
      <c r="N147" s="55"/>
    </row>
    <row r="148" spans="1:14">
      <c r="A148" t="s">
        <v>43</v>
      </c>
      <c r="B148" t="s">
        <v>44</v>
      </c>
      <c r="C148" s="55">
        <v>78281</v>
      </c>
      <c r="D148" s="55">
        <v>647524</v>
      </c>
      <c r="E148" s="55"/>
      <c r="F148" s="55"/>
      <c r="G148" s="55"/>
      <c r="H148" s="55"/>
      <c r="I148" s="55"/>
      <c r="J148" s="55"/>
      <c r="K148" s="55"/>
      <c r="L148" s="55"/>
      <c r="M148" s="55"/>
      <c r="N148" s="55"/>
    </row>
    <row r="149" spans="1:14">
      <c r="A149" t="s">
        <v>561</v>
      </c>
      <c r="B149" t="s">
        <v>562</v>
      </c>
      <c r="C149" s="55">
        <v>332436</v>
      </c>
      <c r="D149" s="55">
        <v>1900658</v>
      </c>
      <c r="E149" s="55"/>
      <c r="F149" s="55">
        <v>2500</v>
      </c>
      <c r="G149" s="55"/>
      <c r="H149" s="55"/>
      <c r="I149" s="55"/>
      <c r="J149" s="55"/>
      <c r="K149" s="55"/>
      <c r="L149" s="55">
        <v>2500</v>
      </c>
      <c r="M149" s="55"/>
      <c r="N149" s="55">
        <v>275000</v>
      </c>
    </row>
    <row r="150" spans="1:14">
      <c r="A150" t="s">
        <v>379</v>
      </c>
      <c r="B150" t="s">
        <v>380</v>
      </c>
      <c r="C150" s="55">
        <v>340607</v>
      </c>
      <c r="D150" s="55">
        <v>1936304</v>
      </c>
      <c r="E150" s="55"/>
      <c r="F150" s="55"/>
      <c r="G150" s="55"/>
      <c r="H150" s="55"/>
      <c r="I150" s="55"/>
      <c r="J150" s="55"/>
      <c r="K150" s="55"/>
      <c r="L150" s="55"/>
      <c r="M150" s="55"/>
      <c r="N150" s="55"/>
    </row>
    <row r="151" spans="1:14">
      <c r="A151" t="s">
        <v>407</v>
      </c>
      <c r="B151" t="s">
        <v>408</v>
      </c>
      <c r="C151" s="55">
        <v>121138</v>
      </c>
      <c r="D151" s="55">
        <v>768884</v>
      </c>
      <c r="E151" s="55"/>
      <c r="F151" s="55"/>
      <c r="G151" s="55"/>
      <c r="H151" s="55"/>
      <c r="I151" s="55"/>
      <c r="J151" s="55"/>
      <c r="K151" s="55"/>
      <c r="L151" s="55"/>
      <c r="M151" s="55"/>
      <c r="N151" s="55"/>
    </row>
    <row r="152" spans="1:14">
      <c r="A152" t="s">
        <v>79</v>
      </c>
      <c r="B152" t="s">
        <v>80</v>
      </c>
      <c r="C152" s="55">
        <v>910793</v>
      </c>
      <c r="D152" s="55">
        <v>5672041</v>
      </c>
      <c r="E152" s="55"/>
      <c r="F152" s="55">
        <v>32000</v>
      </c>
      <c r="G152" s="55"/>
      <c r="H152" s="55"/>
      <c r="I152" s="55"/>
      <c r="J152" s="55"/>
      <c r="K152" s="55"/>
      <c r="L152" s="55">
        <v>33000</v>
      </c>
      <c r="M152" s="55"/>
      <c r="N152" s="55">
        <v>665000</v>
      </c>
    </row>
    <row r="153" spans="1:14">
      <c r="A153" t="s">
        <v>617</v>
      </c>
      <c r="B153" t="s">
        <v>618</v>
      </c>
      <c r="C153" s="55">
        <v>110416</v>
      </c>
      <c r="D153" s="55">
        <v>674814</v>
      </c>
      <c r="E153" s="55"/>
      <c r="F153" s="55"/>
      <c r="G153" s="55"/>
      <c r="H153" s="55"/>
      <c r="I153" s="55"/>
      <c r="J153" s="55"/>
      <c r="K153" s="55"/>
      <c r="L153" s="55">
        <v>500</v>
      </c>
      <c r="M153" s="55"/>
      <c r="N153" s="55"/>
    </row>
    <row r="154" spans="1:14">
      <c r="A154" t="s">
        <v>77</v>
      </c>
      <c r="B154" t="s">
        <v>78</v>
      </c>
      <c r="C154" s="55">
        <v>1305216</v>
      </c>
      <c r="D154" s="55">
        <v>7901518</v>
      </c>
      <c r="E154" s="55"/>
      <c r="F154" s="55">
        <v>25000</v>
      </c>
      <c r="G154" s="55"/>
      <c r="H154" s="55"/>
      <c r="I154" s="55"/>
      <c r="J154" s="55"/>
      <c r="K154" s="55"/>
      <c r="L154" s="55">
        <v>40000</v>
      </c>
      <c r="M154" s="55"/>
      <c r="N154" s="55">
        <v>193621</v>
      </c>
    </row>
    <row r="155" spans="1:14">
      <c r="A155" t="s">
        <v>517</v>
      </c>
      <c r="B155" t="s">
        <v>518</v>
      </c>
      <c r="C155" s="55">
        <v>37406</v>
      </c>
      <c r="D155" s="55">
        <v>247055</v>
      </c>
      <c r="E155" s="55"/>
      <c r="F155" s="55"/>
      <c r="G155" s="55"/>
      <c r="H155" s="55"/>
      <c r="I155" s="55"/>
      <c r="J155" s="55"/>
      <c r="K155" s="55"/>
      <c r="L155" s="55"/>
      <c r="M155" s="55"/>
      <c r="N155" s="55"/>
    </row>
    <row r="156" spans="1:14">
      <c r="A156" t="s">
        <v>449</v>
      </c>
      <c r="B156" t="s">
        <v>450</v>
      </c>
      <c r="C156" s="55">
        <v>161422</v>
      </c>
      <c r="D156" s="55">
        <v>962163</v>
      </c>
      <c r="E156" s="55"/>
      <c r="F156" s="55"/>
      <c r="G156" s="55"/>
      <c r="H156" s="55"/>
      <c r="I156" s="55"/>
      <c r="J156" s="55"/>
      <c r="K156" s="55"/>
      <c r="L156" s="55"/>
      <c r="M156" s="55"/>
      <c r="N156" s="55"/>
    </row>
    <row r="157" spans="1:14">
      <c r="A157" t="s">
        <v>11</v>
      </c>
      <c r="B157" t="s">
        <v>13</v>
      </c>
      <c r="C157" s="55">
        <v>22646</v>
      </c>
      <c r="D157" s="55">
        <v>150890</v>
      </c>
      <c r="E157" s="55"/>
      <c r="F157" s="55"/>
      <c r="G157" s="55"/>
      <c r="H157" s="55"/>
      <c r="I157" s="55"/>
      <c r="J157" s="55"/>
      <c r="K157" s="55"/>
      <c r="L157" s="55"/>
      <c r="M157" s="55"/>
      <c r="N157" s="55">
        <v>14000</v>
      </c>
    </row>
    <row r="158" spans="1:14">
      <c r="A158" t="s">
        <v>117</v>
      </c>
      <c r="B158" t="s">
        <v>118</v>
      </c>
      <c r="C158" s="55">
        <v>33656</v>
      </c>
      <c r="D158" s="55">
        <v>205015</v>
      </c>
      <c r="E158" s="55"/>
      <c r="F158" s="55"/>
      <c r="G158" s="55"/>
      <c r="H158" s="55"/>
      <c r="I158" s="55"/>
      <c r="J158" s="55"/>
      <c r="K158" s="55"/>
      <c r="L158" s="55"/>
      <c r="M158" s="55"/>
      <c r="N158" s="55"/>
    </row>
    <row r="159" spans="1:14">
      <c r="A159" t="s">
        <v>371</v>
      </c>
      <c r="B159" t="s">
        <v>372</v>
      </c>
      <c r="C159" s="55">
        <v>83281</v>
      </c>
      <c r="D159" s="55">
        <v>484812</v>
      </c>
      <c r="E159" s="55"/>
      <c r="F159" s="55"/>
      <c r="G159" s="55"/>
      <c r="H159" s="55"/>
      <c r="I159" s="55"/>
      <c r="J159" s="55"/>
      <c r="K159" s="55"/>
      <c r="L159" s="55"/>
      <c r="M159" s="55"/>
      <c r="N159" s="55"/>
    </row>
    <row r="160" spans="1:14">
      <c r="A160" t="s">
        <v>625</v>
      </c>
      <c r="B160" t="s">
        <v>626</v>
      </c>
      <c r="C160" s="55">
        <v>89099</v>
      </c>
      <c r="D160" s="55">
        <v>537018</v>
      </c>
      <c r="E160" s="55"/>
      <c r="F160" s="55"/>
      <c r="G160" s="55"/>
      <c r="H160" s="55"/>
      <c r="I160" s="55"/>
      <c r="J160" s="55"/>
      <c r="K160" s="55"/>
      <c r="L160" s="55"/>
      <c r="M160" s="55"/>
      <c r="N160" s="55"/>
    </row>
    <row r="161" spans="1:14">
      <c r="A161" t="s">
        <v>205</v>
      </c>
      <c r="B161" t="s">
        <v>206</v>
      </c>
      <c r="C161" s="55">
        <v>55028</v>
      </c>
      <c r="D161" s="55">
        <v>316086</v>
      </c>
      <c r="E161" s="55"/>
      <c r="F161" s="55"/>
      <c r="G161" s="55"/>
      <c r="H161" s="55"/>
      <c r="I161" s="55"/>
      <c r="J161" s="55"/>
      <c r="K161" s="55"/>
      <c r="L161" s="55"/>
      <c r="M161" s="55"/>
      <c r="N161" s="55"/>
    </row>
    <row r="162" spans="1:14">
      <c r="A162" t="s">
        <v>127</v>
      </c>
      <c r="B162" t="s">
        <v>128</v>
      </c>
      <c r="C162" s="55">
        <v>192860</v>
      </c>
      <c r="D162" s="55">
        <v>1114298</v>
      </c>
      <c r="E162" s="55"/>
      <c r="F162" s="55"/>
      <c r="G162" s="55"/>
      <c r="H162" s="55"/>
      <c r="I162" s="55"/>
      <c r="J162" s="55"/>
      <c r="K162" s="55"/>
      <c r="L162" s="55"/>
      <c r="M162" s="55"/>
      <c r="N162" s="55"/>
    </row>
    <row r="163" spans="1:14">
      <c r="A163" t="s">
        <v>511</v>
      </c>
      <c r="B163" t="s">
        <v>512</v>
      </c>
      <c r="C163" s="55">
        <v>64345</v>
      </c>
      <c r="D163" s="55">
        <v>471893</v>
      </c>
      <c r="E163" s="55"/>
      <c r="F163" s="55"/>
      <c r="G163" s="55"/>
      <c r="H163" s="55"/>
      <c r="I163" s="55"/>
      <c r="J163" s="55"/>
      <c r="K163" s="55"/>
      <c r="L163" s="55"/>
      <c r="M163" s="55"/>
      <c r="N163" s="55"/>
    </row>
    <row r="164" spans="1:14">
      <c r="A164" t="s">
        <v>197</v>
      </c>
      <c r="B164" t="s">
        <v>198</v>
      </c>
      <c r="C164" s="55">
        <v>63082</v>
      </c>
      <c r="D164" s="55">
        <v>381111</v>
      </c>
      <c r="E164" s="55"/>
      <c r="F164" s="55"/>
      <c r="G164" s="55"/>
      <c r="H164" s="55"/>
      <c r="I164" s="55"/>
      <c r="J164" s="55"/>
      <c r="K164" s="55"/>
      <c r="L164" s="55"/>
      <c r="M164" s="55"/>
      <c r="N164" s="55"/>
    </row>
    <row r="165" spans="1:14">
      <c r="A165" t="s">
        <v>491</v>
      </c>
      <c r="B165" t="s">
        <v>492</v>
      </c>
      <c r="C165" s="55">
        <v>1464043</v>
      </c>
      <c r="D165" s="55">
        <v>8993547</v>
      </c>
      <c r="E165" s="55"/>
      <c r="F165" s="55"/>
      <c r="G165" s="55"/>
      <c r="H165" s="55"/>
      <c r="I165" s="55"/>
      <c r="J165" s="55"/>
      <c r="K165" s="55"/>
      <c r="L165" s="55"/>
      <c r="M165" s="55"/>
      <c r="N165" s="55">
        <v>280000</v>
      </c>
    </row>
    <row r="166" spans="1:14">
      <c r="A166" t="s">
        <v>291</v>
      </c>
      <c r="B166" t="s">
        <v>292</v>
      </c>
      <c r="C166" s="55">
        <v>286452</v>
      </c>
      <c r="D166" s="55">
        <v>1446971</v>
      </c>
      <c r="E166" s="55"/>
      <c r="F166" s="55"/>
      <c r="G166" s="55"/>
      <c r="H166" s="55"/>
      <c r="I166" s="55"/>
      <c r="J166" s="55"/>
      <c r="K166" s="55"/>
      <c r="L166" s="55"/>
      <c r="M166" s="55"/>
      <c r="N166" s="55"/>
    </row>
    <row r="167" spans="1:14">
      <c r="A167" t="s">
        <v>413</v>
      </c>
      <c r="B167" t="s">
        <v>414</v>
      </c>
      <c r="C167" s="55">
        <v>284708</v>
      </c>
      <c r="D167" s="55">
        <v>1770325</v>
      </c>
      <c r="E167" s="55"/>
      <c r="F167" s="55"/>
      <c r="G167" s="55"/>
      <c r="H167" s="55"/>
      <c r="I167" s="55"/>
      <c r="J167" s="55"/>
      <c r="K167" s="55"/>
      <c r="L167" s="55"/>
      <c r="M167" s="55"/>
      <c r="N167" s="55"/>
    </row>
    <row r="168" spans="1:14">
      <c r="A168" t="s">
        <v>351</v>
      </c>
      <c r="B168" t="s">
        <v>352</v>
      </c>
      <c r="C168" s="55">
        <v>757065</v>
      </c>
      <c r="D168" s="55">
        <v>4541592</v>
      </c>
      <c r="E168" s="55"/>
      <c r="F168" s="55">
        <v>35000</v>
      </c>
      <c r="G168" s="55"/>
      <c r="H168" s="55">
        <v>6000</v>
      </c>
      <c r="I168" s="55"/>
      <c r="J168" s="55"/>
      <c r="K168" s="55"/>
      <c r="L168" s="55">
        <v>35000</v>
      </c>
      <c r="M168" s="55"/>
      <c r="N168" s="55">
        <v>86519</v>
      </c>
    </row>
    <row r="169" spans="1:14">
      <c r="A169" t="s">
        <v>213</v>
      </c>
      <c r="B169" t="s">
        <v>214</v>
      </c>
      <c r="C169" s="55">
        <v>105932</v>
      </c>
      <c r="D169" s="55">
        <v>794973</v>
      </c>
      <c r="E169" s="55"/>
      <c r="F169" s="55"/>
      <c r="G169" s="55"/>
      <c r="H169" s="55">
        <v>25000</v>
      </c>
      <c r="I169" s="55"/>
      <c r="J169" s="55"/>
      <c r="K169" s="55"/>
      <c r="L169" s="55"/>
      <c r="M169" s="55"/>
      <c r="N169" s="55"/>
    </row>
    <row r="170" spans="1:14">
      <c r="A170" t="s">
        <v>337</v>
      </c>
      <c r="B170" t="s">
        <v>338</v>
      </c>
      <c r="C170" s="55">
        <v>99571</v>
      </c>
      <c r="D170" s="55">
        <v>605248</v>
      </c>
      <c r="E170" s="55"/>
      <c r="F170" s="55"/>
      <c r="G170" s="55"/>
      <c r="H170" s="55">
        <v>20614</v>
      </c>
      <c r="I170" s="55"/>
      <c r="J170" s="55"/>
      <c r="K170" s="55"/>
      <c r="L170" s="55"/>
      <c r="M170" s="55"/>
      <c r="N170" s="55"/>
    </row>
    <row r="171" spans="1:14">
      <c r="A171" t="s">
        <v>377</v>
      </c>
      <c r="B171" t="s">
        <v>378</v>
      </c>
      <c r="C171" s="55">
        <v>2137867</v>
      </c>
      <c r="D171" s="55">
        <v>11462912</v>
      </c>
      <c r="E171" s="55"/>
      <c r="F171" s="55">
        <v>20000</v>
      </c>
      <c r="G171" s="55"/>
      <c r="H171" s="55"/>
      <c r="I171" s="55"/>
      <c r="J171" s="55"/>
      <c r="K171" s="55"/>
      <c r="L171" s="55">
        <v>20000</v>
      </c>
      <c r="M171" s="55"/>
      <c r="N171" s="55"/>
    </row>
    <row r="172" spans="1:14">
      <c r="A172" t="s">
        <v>373</v>
      </c>
      <c r="B172" t="s">
        <v>374</v>
      </c>
      <c r="C172" s="55">
        <v>341383</v>
      </c>
      <c r="D172" s="55">
        <v>1977770</v>
      </c>
      <c r="E172" s="55"/>
      <c r="F172" s="55"/>
      <c r="G172" s="55"/>
      <c r="H172" s="55"/>
      <c r="I172" s="55"/>
      <c r="J172" s="55"/>
      <c r="K172" s="55"/>
      <c r="L172" s="55">
        <v>20000</v>
      </c>
      <c r="M172" s="55"/>
      <c r="N172" s="55"/>
    </row>
    <row r="173" spans="1:14">
      <c r="A173" t="s">
        <v>48</v>
      </c>
      <c r="B173" t="s">
        <v>50</v>
      </c>
      <c r="C173" s="55">
        <v>244066</v>
      </c>
      <c r="D173" s="55">
        <v>1438821</v>
      </c>
      <c r="E173" s="55"/>
      <c r="F173" s="55"/>
      <c r="G173" s="55"/>
      <c r="H173" s="55"/>
      <c r="I173" s="55"/>
      <c r="J173" s="55"/>
      <c r="K173" s="55"/>
      <c r="L173" s="55"/>
      <c r="M173" s="55"/>
      <c r="N173" s="55"/>
    </row>
    <row r="174" spans="1:14">
      <c r="A174" t="s">
        <v>403</v>
      </c>
      <c r="B174" t="s">
        <v>404</v>
      </c>
      <c r="C174" s="55">
        <v>74707</v>
      </c>
      <c r="D174" s="55">
        <v>468229</v>
      </c>
      <c r="E174" s="55"/>
      <c r="F174" s="55"/>
      <c r="G174" s="55"/>
      <c r="H174" s="55"/>
      <c r="I174" s="55"/>
      <c r="J174" s="55"/>
      <c r="K174" s="55"/>
      <c r="L174" s="55"/>
      <c r="M174" s="55"/>
      <c r="N174" s="55"/>
    </row>
    <row r="175" spans="1:14">
      <c r="A175" t="s">
        <v>307</v>
      </c>
      <c r="B175" t="s">
        <v>308</v>
      </c>
      <c r="C175" s="55">
        <v>191652</v>
      </c>
      <c r="D175" s="55">
        <v>1140721</v>
      </c>
      <c r="E175" s="55"/>
      <c r="F175" s="55"/>
      <c r="G175" s="55"/>
      <c r="H175" s="55"/>
      <c r="I175" s="55"/>
      <c r="J175" s="55"/>
      <c r="K175" s="55"/>
      <c r="L175" s="55"/>
      <c r="M175" s="55"/>
      <c r="N175" s="55"/>
    </row>
    <row r="176" spans="1:14">
      <c r="A176" t="s">
        <v>563</v>
      </c>
      <c r="B176" t="s">
        <v>564</v>
      </c>
      <c r="C176" s="55">
        <v>274738</v>
      </c>
      <c r="D176" s="55">
        <v>1590490</v>
      </c>
      <c r="E176" s="55"/>
      <c r="F176" s="55"/>
      <c r="G176" s="55"/>
      <c r="H176" s="55"/>
      <c r="I176" s="55"/>
      <c r="J176" s="55"/>
      <c r="K176" s="55"/>
      <c r="L176" s="55"/>
      <c r="M176" s="55"/>
      <c r="N176" s="55"/>
    </row>
    <row r="177" spans="1:14">
      <c r="A177" t="s">
        <v>391</v>
      </c>
      <c r="B177" t="s">
        <v>392</v>
      </c>
      <c r="C177" s="55">
        <v>125005</v>
      </c>
      <c r="D177" s="55">
        <v>896842</v>
      </c>
      <c r="E177" s="55"/>
      <c r="F177" s="55"/>
      <c r="G177" s="55"/>
      <c r="H177" s="55"/>
      <c r="I177" s="55"/>
      <c r="J177" s="55"/>
      <c r="K177" s="55"/>
      <c r="L177" s="55">
        <v>15000</v>
      </c>
      <c r="M177" s="55"/>
      <c r="N177" s="55"/>
    </row>
    <row r="178" spans="1:14">
      <c r="A178" t="s">
        <v>367</v>
      </c>
      <c r="B178" t="s">
        <v>368</v>
      </c>
      <c r="C178" s="55">
        <v>444161</v>
      </c>
      <c r="D178" s="55">
        <v>2767432</v>
      </c>
      <c r="E178" s="55"/>
      <c r="F178" s="55"/>
      <c r="G178" s="55"/>
      <c r="H178" s="55"/>
      <c r="I178" s="55"/>
      <c r="J178" s="55"/>
      <c r="K178" s="55"/>
      <c r="L178" s="55"/>
      <c r="M178" s="55"/>
      <c r="N178" s="55"/>
    </row>
    <row r="179" spans="1:14">
      <c r="A179" t="s">
        <v>447</v>
      </c>
      <c r="B179" t="s">
        <v>448</v>
      </c>
      <c r="C179" s="55">
        <v>160800</v>
      </c>
      <c r="D179" s="55">
        <v>881737</v>
      </c>
      <c r="E179" s="55"/>
      <c r="F179" s="55"/>
      <c r="G179" s="55"/>
      <c r="H179" s="55"/>
      <c r="I179" s="55"/>
      <c r="J179" s="55"/>
      <c r="K179" s="55"/>
      <c r="L179" s="55"/>
      <c r="M179" s="55"/>
      <c r="N179" s="55"/>
    </row>
    <row r="180" spans="1:14">
      <c r="A180" t="s">
        <v>505</v>
      </c>
      <c r="B180" t="s">
        <v>506</v>
      </c>
      <c r="C180" s="55">
        <v>450330</v>
      </c>
      <c r="D180" s="55">
        <v>2448069</v>
      </c>
      <c r="E180" s="55"/>
      <c r="F180" s="55"/>
      <c r="G180" s="55"/>
      <c r="H180" s="55"/>
      <c r="I180" s="55"/>
      <c r="J180" s="55"/>
      <c r="K180" s="55"/>
      <c r="L180" s="55"/>
      <c r="M180" s="55"/>
      <c r="N180" s="55"/>
    </row>
    <row r="181" spans="1:14">
      <c r="A181" t="s">
        <v>335</v>
      </c>
      <c r="B181" t="s">
        <v>336</v>
      </c>
      <c r="C181" s="55">
        <v>95448</v>
      </c>
      <c r="D181" s="55">
        <v>533463</v>
      </c>
      <c r="E181" s="55"/>
      <c r="F181" s="55"/>
      <c r="G181" s="55"/>
      <c r="H181" s="55"/>
      <c r="I181" s="55"/>
      <c r="J181" s="55"/>
      <c r="K181" s="55"/>
      <c r="L181" s="55"/>
      <c r="M181" s="55"/>
      <c r="N181" s="55"/>
    </row>
    <row r="182" spans="1:14">
      <c r="A182" t="s">
        <v>627</v>
      </c>
      <c r="B182" t="s">
        <v>628</v>
      </c>
      <c r="C182" s="55">
        <v>130875</v>
      </c>
      <c r="D182" s="55">
        <v>774406</v>
      </c>
      <c r="E182" s="55"/>
      <c r="F182" s="55"/>
      <c r="G182" s="55"/>
      <c r="H182" s="55"/>
      <c r="I182" s="55"/>
      <c r="J182" s="55"/>
      <c r="K182" s="55"/>
      <c r="L182" s="55"/>
      <c r="M182" s="55"/>
      <c r="N182" s="55"/>
    </row>
    <row r="183" spans="1:14">
      <c r="A183" t="s">
        <v>353</v>
      </c>
      <c r="B183" t="s">
        <v>354</v>
      </c>
      <c r="C183" s="55">
        <v>7120</v>
      </c>
      <c r="D183" s="55">
        <v>46041</v>
      </c>
      <c r="E183" s="55"/>
      <c r="F183" s="55"/>
      <c r="G183" s="55"/>
      <c r="H183" s="55"/>
      <c r="I183" s="55"/>
      <c r="J183" s="55"/>
      <c r="K183" s="55"/>
      <c r="L183" s="55"/>
      <c r="M183" s="55"/>
      <c r="N183" s="55"/>
    </row>
    <row r="184" spans="1:14">
      <c r="A184" t="s">
        <v>339</v>
      </c>
      <c r="B184" t="s">
        <v>340</v>
      </c>
      <c r="C184" s="55">
        <v>373872</v>
      </c>
      <c r="D184" s="55">
        <v>2250568</v>
      </c>
      <c r="E184" s="55"/>
      <c r="F184" s="55"/>
      <c r="G184" s="55"/>
      <c r="H184" s="55"/>
      <c r="I184" s="55"/>
      <c r="J184" s="55"/>
      <c r="K184" s="55"/>
      <c r="L184" s="55">
        <v>25000</v>
      </c>
      <c r="M184" s="55"/>
      <c r="N184" s="55"/>
    </row>
    <row r="185" spans="1:14">
      <c r="A185" t="s">
        <v>121</v>
      </c>
      <c r="B185" t="s">
        <v>122</v>
      </c>
      <c r="C185" s="55">
        <v>94843</v>
      </c>
      <c r="D185" s="55">
        <v>616665</v>
      </c>
      <c r="E185" s="55"/>
      <c r="F185" s="55">
        <v>13300</v>
      </c>
      <c r="G185" s="55"/>
      <c r="H185" s="55">
        <v>7000</v>
      </c>
      <c r="I185" s="55"/>
      <c r="J185" s="55"/>
      <c r="K185" s="55"/>
      <c r="L185" s="55">
        <v>16000</v>
      </c>
      <c r="M185" s="55"/>
      <c r="N185" s="55"/>
    </row>
    <row r="186" spans="1:14">
      <c r="A186" t="s">
        <v>485</v>
      </c>
      <c r="B186" t="s">
        <v>486</v>
      </c>
      <c r="C186" s="55">
        <v>95756</v>
      </c>
      <c r="D186" s="55">
        <v>592686</v>
      </c>
      <c r="E186" s="55"/>
      <c r="F186" s="55"/>
      <c r="G186" s="55"/>
      <c r="H186" s="55"/>
      <c r="I186" s="55"/>
      <c r="J186" s="55"/>
      <c r="K186" s="55"/>
      <c r="L186" s="55"/>
      <c r="M186" s="55"/>
      <c r="N186" s="55"/>
    </row>
    <row r="187" spans="1:14">
      <c r="A187" t="s">
        <v>527</v>
      </c>
      <c r="B187" t="s">
        <v>528</v>
      </c>
      <c r="C187" s="55">
        <v>979800</v>
      </c>
      <c r="D187" s="55">
        <v>6180400</v>
      </c>
      <c r="E187" s="55"/>
      <c r="F187" s="55">
        <v>3000</v>
      </c>
      <c r="G187" s="55"/>
      <c r="H187" s="55">
        <v>23200</v>
      </c>
      <c r="I187" s="55"/>
      <c r="J187" s="55"/>
      <c r="K187" s="55"/>
      <c r="L187" s="55">
        <v>3000</v>
      </c>
      <c r="M187" s="55"/>
      <c r="N187" s="55"/>
    </row>
    <row r="188" spans="1:14">
      <c r="A188" t="s">
        <v>431</v>
      </c>
      <c r="B188" t="s">
        <v>432</v>
      </c>
      <c r="C188" s="55">
        <v>7172429</v>
      </c>
      <c r="D188" s="55">
        <v>48458563</v>
      </c>
      <c r="E188" s="55"/>
      <c r="F188" s="55"/>
      <c r="G188" s="55"/>
      <c r="H188" s="55">
        <v>45000</v>
      </c>
      <c r="I188" s="55"/>
      <c r="J188" s="55"/>
      <c r="K188" s="55"/>
      <c r="L188" s="55">
        <v>400000</v>
      </c>
      <c r="M188" s="55"/>
      <c r="N188" s="55">
        <v>1500000</v>
      </c>
    </row>
    <row r="189" spans="1:14">
      <c r="A189" t="s">
        <v>549</v>
      </c>
      <c r="B189" t="s">
        <v>550</v>
      </c>
      <c r="C189" s="55">
        <v>10414951</v>
      </c>
      <c r="D189" s="55">
        <v>65399994</v>
      </c>
      <c r="E189" s="55"/>
      <c r="F189" s="55">
        <v>150000</v>
      </c>
      <c r="G189" s="55"/>
      <c r="H189" s="55"/>
      <c r="I189" s="55"/>
      <c r="J189" s="55"/>
      <c r="K189" s="55"/>
      <c r="L189" s="55">
        <v>150000</v>
      </c>
      <c r="M189" s="55"/>
      <c r="N189" s="55">
        <v>3300000</v>
      </c>
    </row>
    <row r="190" spans="1:14">
      <c r="A190" t="s">
        <v>61</v>
      </c>
      <c r="B190" t="s">
        <v>62</v>
      </c>
      <c r="C190" s="55">
        <v>21000</v>
      </c>
      <c r="D190" s="55">
        <v>340000</v>
      </c>
      <c r="E190" s="55"/>
      <c r="F190" s="55"/>
      <c r="G190" s="55"/>
      <c r="H190" s="55"/>
      <c r="I190" s="55"/>
      <c r="J190" s="55"/>
      <c r="K190" s="55"/>
      <c r="L190" s="55"/>
      <c r="M190" s="55"/>
      <c r="N190" s="55"/>
    </row>
    <row r="191" spans="1:14">
      <c r="A191" t="s">
        <v>579</v>
      </c>
      <c r="B191" t="s">
        <v>580</v>
      </c>
      <c r="C191" s="55">
        <v>1168591</v>
      </c>
      <c r="D191" s="55">
        <v>7932153</v>
      </c>
      <c r="E191" s="55"/>
      <c r="F191" s="55">
        <v>36550</v>
      </c>
      <c r="G191" s="55"/>
      <c r="H191" s="55">
        <v>14660</v>
      </c>
      <c r="I191" s="55"/>
      <c r="J191" s="55"/>
      <c r="K191" s="55"/>
      <c r="L191" s="55">
        <v>50000</v>
      </c>
      <c r="M191" s="55"/>
      <c r="N191" s="55">
        <v>11560</v>
      </c>
    </row>
    <row r="192" spans="1:14">
      <c r="A192" t="s">
        <v>543</v>
      </c>
      <c r="B192" t="s">
        <v>544</v>
      </c>
      <c r="C192" s="55">
        <v>3260903</v>
      </c>
      <c r="D192" s="55">
        <v>21104801</v>
      </c>
      <c r="E192" s="55"/>
      <c r="F192" s="55">
        <v>25000</v>
      </c>
      <c r="G192" s="55"/>
      <c r="H192" s="55"/>
      <c r="I192" s="55"/>
      <c r="J192" s="55"/>
      <c r="K192" s="55"/>
      <c r="L192" s="55">
        <v>25000</v>
      </c>
      <c r="M192" s="55"/>
      <c r="N192" s="55">
        <v>25000</v>
      </c>
    </row>
    <row r="193" spans="1:14">
      <c r="A193" t="s">
        <v>133</v>
      </c>
      <c r="B193" t="s">
        <v>134</v>
      </c>
      <c r="C193" s="55">
        <v>423442</v>
      </c>
      <c r="D193" s="55">
        <v>2832412</v>
      </c>
      <c r="E193" s="55"/>
      <c r="F193" s="55">
        <v>3000</v>
      </c>
      <c r="G193" s="55"/>
      <c r="H193" s="55"/>
      <c r="I193" s="55"/>
      <c r="J193" s="55"/>
      <c r="K193" s="55"/>
      <c r="L193" s="55">
        <v>15000</v>
      </c>
      <c r="M193" s="55"/>
      <c r="N193" s="55"/>
    </row>
    <row r="194" spans="1:14">
      <c r="A194" t="s">
        <v>393</v>
      </c>
      <c r="B194" t="s">
        <v>394</v>
      </c>
      <c r="C194" s="55">
        <v>968752</v>
      </c>
      <c r="D194" s="55">
        <v>7955585</v>
      </c>
      <c r="E194" s="55"/>
      <c r="F194" s="55">
        <v>1000</v>
      </c>
      <c r="G194" s="55"/>
      <c r="H194" s="55"/>
      <c r="I194" s="55"/>
      <c r="J194" s="55"/>
      <c r="K194" s="55"/>
      <c r="L194" s="55">
        <v>1000</v>
      </c>
      <c r="M194" s="55"/>
      <c r="N194" s="55"/>
    </row>
    <row r="195" spans="1:14">
      <c r="A195" t="s">
        <v>91</v>
      </c>
      <c r="B195" t="s">
        <v>92</v>
      </c>
      <c r="C195" s="55">
        <v>4411533</v>
      </c>
      <c r="D195" s="55">
        <v>31235566</v>
      </c>
      <c r="E195" s="55">
        <v>2753669</v>
      </c>
      <c r="F195" s="55">
        <v>100000</v>
      </c>
      <c r="G195" s="55"/>
      <c r="H195" s="55">
        <v>1041000</v>
      </c>
      <c r="I195" s="55"/>
      <c r="J195" s="55"/>
      <c r="K195" s="55"/>
      <c r="L195" s="55">
        <v>100000</v>
      </c>
      <c r="M195" s="55"/>
      <c r="N195" s="55">
        <v>450000</v>
      </c>
    </row>
    <row r="196" spans="1:14">
      <c r="A196" t="s">
        <v>409</v>
      </c>
      <c r="B196" t="s">
        <v>410</v>
      </c>
      <c r="C196" s="55">
        <v>2970620</v>
      </c>
      <c r="D196" s="55">
        <v>19006825</v>
      </c>
      <c r="E196" s="55"/>
      <c r="F196" s="55"/>
      <c r="G196" s="55"/>
      <c r="H196" s="55"/>
      <c r="I196" s="55"/>
      <c r="J196" s="55"/>
      <c r="K196" s="55"/>
      <c r="L196" s="55"/>
      <c r="M196" s="55"/>
      <c r="N196" s="55"/>
    </row>
    <row r="197" spans="1:14">
      <c r="A197" t="s">
        <v>179</v>
      </c>
      <c r="B197" t="s">
        <v>180</v>
      </c>
      <c r="C197" s="55">
        <v>2444382</v>
      </c>
      <c r="D197" s="55">
        <v>16000000</v>
      </c>
      <c r="E197" s="55"/>
      <c r="F197" s="55"/>
      <c r="G197" s="55"/>
      <c r="H197" s="55"/>
      <c r="I197" s="55"/>
      <c r="J197" s="55"/>
      <c r="K197" s="55"/>
      <c r="L197" s="55">
        <v>185000</v>
      </c>
      <c r="M197" s="55"/>
      <c r="N197" s="55"/>
    </row>
    <row r="198" spans="1:14">
      <c r="A198" t="s">
        <v>36</v>
      </c>
      <c r="B198" t="s">
        <v>37</v>
      </c>
      <c r="C198" s="55">
        <v>6885677</v>
      </c>
      <c r="D198" s="55">
        <v>43006778</v>
      </c>
      <c r="E198" s="55"/>
      <c r="F198" s="55">
        <v>175000</v>
      </c>
      <c r="G198" s="55"/>
      <c r="H198" s="55">
        <v>81000</v>
      </c>
      <c r="I198" s="55"/>
      <c r="J198" s="55"/>
      <c r="K198" s="55"/>
      <c r="L198" s="55">
        <v>200000</v>
      </c>
      <c r="M198" s="55"/>
      <c r="N198" s="55">
        <v>25000</v>
      </c>
    </row>
    <row r="199" spans="1:14">
      <c r="A199" t="s">
        <v>145</v>
      </c>
      <c r="B199" t="s">
        <v>146</v>
      </c>
      <c r="C199" s="55">
        <v>584755</v>
      </c>
      <c r="D199" s="55">
        <v>3291199</v>
      </c>
      <c r="E199" s="55"/>
      <c r="F199" s="55">
        <v>3700</v>
      </c>
      <c r="G199" s="55"/>
      <c r="H199" s="55"/>
      <c r="I199" s="55"/>
      <c r="J199" s="55"/>
      <c r="K199" s="55"/>
      <c r="L199" s="55"/>
      <c r="M199" s="55"/>
      <c r="N199" s="55"/>
    </row>
    <row r="200" spans="1:14">
      <c r="A200" t="s">
        <v>619</v>
      </c>
      <c r="B200" t="s">
        <v>620</v>
      </c>
      <c r="C200" s="55">
        <v>1293347</v>
      </c>
      <c r="D200" s="55">
        <v>7580899</v>
      </c>
      <c r="E200" s="55">
        <v>1</v>
      </c>
      <c r="F200" s="55">
        <v>10000</v>
      </c>
      <c r="G200" s="55"/>
      <c r="H200" s="55"/>
      <c r="I200" s="55"/>
      <c r="J200" s="55"/>
      <c r="K200" s="55"/>
      <c r="L200" s="55">
        <v>15000</v>
      </c>
      <c r="M200" s="55"/>
      <c r="N200" s="55">
        <v>75000</v>
      </c>
    </row>
    <row r="201" spans="1:14">
      <c r="A201" t="s">
        <v>175</v>
      </c>
      <c r="B201" t="s">
        <v>176</v>
      </c>
      <c r="C201" s="55">
        <v>1052533</v>
      </c>
      <c r="D201" s="55">
        <v>7054439</v>
      </c>
      <c r="E201" s="55"/>
      <c r="F201" s="55"/>
      <c r="G201" s="55"/>
      <c r="H201" s="55"/>
      <c r="I201" s="55"/>
      <c r="J201" s="55"/>
      <c r="K201" s="55"/>
      <c r="L201" s="55">
        <v>40000</v>
      </c>
      <c r="M201" s="55"/>
      <c r="N201" s="55"/>
    </row>
    <row r="202" spans="1:14">
      <c r="A202" t="s">
        <v>217</v>
      </c>
      <c r="B202" t="s">
        <v>218</v>
      </c>
      <c r="C202" s="55">
        <v>128814</v>
      </c>
      <c r="D202" s="55">
        <v>685305</v>
      </c>
      <c r="E202" s="55"/>
      <c r="F202" s="55"/>
      <c r="G202" s="55"/>
      <c r="H202" s="55"/>
      <c r="I202" s="55"/>
      <c r="J202" s="55"/>
      <c r="K202" s="55"/>
      <c r="L202" s="55"/>
      <c r="M202" s="55"/>
      <c r="N202" s="55"/>
    </row>
    <row r="203" spans="1:14">
      <c r="A203" t="s">
        <v>489</v>
      </c>
      <c r="B203" t="s">
        <v>490</v>
      </c>
      <c r="C203" s="55">
        <v>12050</v>
      </c>
      <c r="D203" s="55"/>
      <c r="E203" s="55"/>
      <c r="F203" s="55"/>
      <c r="G203" s="55"/>
      <c r="H203" s="55"/>
      <c r="I203" s="55"/>
      <c r="J203" s="55"/>
      <c r="K203" s="55"/>
      <c r="L203" s="55"/>
      <c r="M203" s="55"/>
      <c r="N203" s="55"/>
    </row>
    <row r="204" spans="1:14">
      <c r="A204" t="s">
        <v>383</v>
      </c>
      <c r="B204" t="s">
        <v>384</v>
      </c>
      <c r="C204" s="55">
        <v>277216</v>
      </c>
      <c r="D204" s="55">
        <v>1715786</v>
      </c>
      <c r="E204" s="55"/>
      <c r="F204" s="55"/>
      <c r="G204" s="55"/>
      <c r="H204" s="55"/>
      <c r="I204" s="55"/>
      <c r="J204" s="55"/>
      <c r="K204" s="55"/>
      <c r="L204" s="55">
        <v>5000</v>
      </c>
      <c r="M204" s="55"/>
      <c r="N204" s="55">
        <v>67000</v>
      </c>
    </row>
    <row r="205" spans="1:14">
      <c r="A205" t="s">
        <v>277</v>
      </c>
      <c r="B205" t="s">
        <v>278</v>
      </c>
      <c r="C205" s="55">
        <v>78574</v>
      </c>
      <c r="D205" s="55">
        <v>786030</v>
      </c>
      <c r="E205" s="55"/>
      <c r="F205" s="55"/>
      <c r="G205" s="55"/>
      <c r="H205" s="55"/>
      <c r="I205" s="55"/>
      <c r="J205" s="55"/>
      <c r="K205" s="55"/>
      <c r="L205" s="55">
        <v>10000</v>
      </c>
      <c r="M205" s="55"/>
      <c r="N205" s="55"/>
    </row>
    <row r="206" spans="1:14">
      <c r="A206" t="s">
        <v>475</v>
      </c>
      <c r="B206" t="s">
        <v>476</v>
      </c>
      <c r="C206" s="55">
        <v>316480</v>
      </c>
      <c r="D206" s="55">
        <v>1818463</v>
      </c>
      <c r="E206" s="55"/>
      <c r="F206" s="55">
        <v>7550</v>
      </c>
      <c r="G206" s="55"/>
      <c r="H206" s="55"/>
      <c r="I206" s="55"/>
      <c r="J206" s="55"/>
      <c r="K206" s="55"/>
      <c r="L206" s="55">
        <v>15000</v>
      </c>
      <c r="M206" s="55"/>
      <c r="N206" s="55"/>
    </row>
    <row r="207" spans="1:14">
      <c r="A207" t="s">
        <v>105</v>
      </c>
      <c r="B207" t="s">
        <v>106</v>
      </c>
      <c r="C207" s="55">
        <v>259212</v>
      </c>
      <c r="D207" s="55">
        <v>1473595</v>
      </c>
      <c r="E207" s="55"/>
      <c r="F207" s="55"/>
      <c r="G207" s="55"/>
      <c r="H207" s="55"/>
      <c r="I207" s="55"/>
      <c r="J207" s="55"/>
      <c r="K207" s="55"/>
      <c r="L207" s="55"/>
      <c r="M207" s="55"/>
      <c r="N207" s="55"/>
    </row>
    <row r="208" spans="1:14">
      <c r="A208" t="s">
        <v>55</v>
      </c>
      <c r="B208" t="s">
        <v>56</v>
      </c>
      <c r="C208" s="55">
        <v>1342821</v>
      </c>
      <c r="D208" s="55">
        <v>7812720</v>
      </c>
      <c r="E208" s="55"/>
      <c r="F208" s="55">
        <v>70000</v>
      </c>
      <c r="G208" s="55"/>
      <c r="H208" s="55"/>
      <c r="I208" s="55"/>
      <c r="J208" s="55"/>
      <c r="K208" s="55"/>
      <c r="L208" s="55">
        <v>70000</v>
      </c>
      <c r="M208" s="55"/>
      <c r="N208" s="55"/>
    </row>
    <row r="209" spans="1:14">
      <c r="A209" t="s">
        <v>481</v>
      </c>
      <c r="B209" t="s">
        <v>482</v>
      </c>
      <c r="C209" s="55">
        <v>2080498</v>
      </c>
      <c r="D209" s="55">
        <v>12805112</v>
      </c>
      <c r="E209" s="55"/>
      <c r="F209" s="55">
        <v>70000</v>
      </c>
      <c r="G209" s="55"/>
      <c r="H209" s="55"/>
      <c r="I209" s="55"/>
      <c r="J209" s="55"/>
      <c r="K209" s="55"/>
      <c r="L209" s="55">
        <v>70000</v>
      </c>
      <c r="M209" s="55"/>
      <c r="N209" s="55"/>
    </row>
    <row r="210" spans="1:14">
      <c r="A210" t="s">
        <v>14</v>
      </c>
      <c r="B210" t="s">
        <v>16</v>
      </c>
      <c r="C210" s="55">
        <v>869007</v>
      </c>
      <c r="D210" s="55">
        <v>5630872</v>
      </c>
      <c r="E210" s="55"/>
      <c r="F210" s="55"/>
      <c r="G210" s="55"/>
      <c r="H210" s="55"/>
      <c r="I210" s="55"/>
      <c r="J210" s="55"/>
      <c r="K210" s="55"/>
      <c r="L210" s="55">
        <v>46000</v>
      </c>
      <c r="M210" s="55"/>
      <c r="N210" s="55"/>
    </row>
    <row r="211" spans="1:14">
      <c r="A211" t="s">
        <v>253</v>
      </c>
      <c r="B211" t="s">
        <v>254</v>
      </c>
      <c r="C211" s="55">
        <v>213003</v>
      </c>
      <c r="D211" s="55">
        <v>1510580</v>
      </c>
      <c r="E211" s="55"/>
      <c r="F211" s="55"/>
      <c r="G211" s="55"/>
      <c r="H211" s="55">
        <v>68000</v>
      </c>
      <c r="I211" s="55"/>
      <c r="J211" s="55"/>
      <c r="K211" s="55"/>
      <c r="L211" s="55">
        <v>7500</v>
      </c>
      <c r="M211" s="55"/>
      <c r="N211" s="55"/>
    </row>
    <row r="212" spans="1:14">
      <c r="A212" t="s">
        <v>107</v>
      </c>
      <c r="B212" t="s">
        <v>108</v>
      </c>
      <c r="C212" s="55">
        <v>97190</v>
      </c>
      <c r="D212" s="55">
        <v>619449</v>
      </c>
      <c r="E212" s="55"/>
      <c r="F212" s="55"/>
      <c r="G212" s="55"/>
      <c r="H212" s="55"/>
      <c r="I212" s="55"/>
      <c r="J212" s="55"/>
      <c r="K212" s="55"/>
      <c r="L212" s="55">
        <v>2500</v>
      </c>
      <c r="M212" s="55"/>
      <c r="N212" s="55"/>
    </row>
    <row r="213" spans="1:14">
      <c r="A213" t="s">
        <v>327</v>
      </c>
      <c r="B213" t="s">
        <v>328</v>
      </c>
      <c r="C213" s="55">
        <v>2281939</v>
      </c>
      <c r="D213" s="55">
        <v>15272838</v>
      </c>
      <c r="E213" s="55"/>
      <c r="F213" s="55"/>
      <c r="G213" s="55"/>
      <c r="H213" s="55"/>
      <c r="I213" s="55"/>
      <c r="J213" s="55"/>
      <c r="K213" s="55"/>
      <c r="L213" s="55">
        <v>150000</v>
      </c>
      <c r="M213" s="55"/>
      <c r="N213" s="55"/>
    </row>
    <row r="214" spans="1:14">
      <c r="A214" t="s">
        <v>495</v>
      </c>
      <c r="B214" t="s">
        <v>496</v>
      </c>
      <c r="C214" s="55">
        <v>19201</v>
      </c>
      <c r="D214" s="55">
        <v>130741</v>
      </c>
      <c r="E214" s="55"/>
      <c r="F214" s="55"/>
      <c r="G214" s="55"/>
      <c r="H214" s="55"/>
      <c r="I214" s="55"/>
      <c r="J214" s="55"/>
      <c r="K214" s="55"/>
      <c r="L214" s="55"/>
      <c r="M214" s="55"/>
      <c r="N214" s="55"/>
    </row>
    <row r="215" spans="1:14">
      <c r="A215" t="s">
        <v>325</v>
      </c>
      <c r="B215" t="s">
        <v>326</v>
      </c>
      <c r="C215" s="55">
        <v>21905</v>
      </c>
      <c r="D215" s="55">
        <v>142556</v>
      </c>
      <c r="E215" s="55"/>
      <c r="F215" s="55"/>
      <c r="G215" s="55"/>
      <c r="H215" s="55"/>
      <c r="I215" s="55"/>
      <c r="J215" s="55"/>
      <c r="K215" s="55"/>
      <c r="L215" s="55"/>
      <c r="M215" s="55"/>
      <c r="N215" s="55"/>
    </row>
    <row r="216" spans="1:14">
      <c r="A216" t="s">
        <v>309</v>
      </c>
      <c r="B216" t="s">
        <v>310</v>
      </c>
      <c r="C216" s="55">
        <v>11472</v>
      </c>
      <c r="D216" s="55">
        <v>70379</v>
      </c>
      <c r="E216" s="55"/>
      <c r="F216" s="55"/>
      <c r="G216" s="55"/>
      <c r="H216" s="55"/>
      <c r="I216" s="55"/>
      <c r="J216" s="55"/>
      <c r="K216" s="55"/>
      <c r="L216" s="55"/>
      <c r="M216" s="55"/>
      <c r="N216" s="55"/>
    </row>
    <row r="217" spans="1:14">
      <c r="A217" t="s">
        <v>531</v>
      </c>
      <c r="B217" t="s">
        <v>532</v>
      </c>
      <c r="C217" s="55">
        <v>263333</v>
      </c>
      <c r="D217" s="55">
        <v>1592026</v>
      </c>
      <c r="E217" s="55"/>
      <c r="F217" s="55"/>
      <c r="G217" s="55"/>
      <c r="H217" s="55"/>
      <c r="I217" s="55"/>
      <c r="J217" s="55"/>
      <c r="K217" s="55"/>
      <c r="L217" s="55"/>
      <c r="M217" s="55"/>
      <c r="N217" s="55"/>
    </row>
    <row r="218" spans="1:14">
      <c r="A218" t="s">
        <v>165</v>
      </c>
      <c r="B218" t="s">
        <v>166</v>
      </c>
      <c r="C218" s="55">
        <v>7082387</v>
      </c>
      <c r="D218" s="55">
        <v>48936842</v>
      </c>
      <c r="E218" s="55"/>
      <c r="F218" s="55"/>
      <c r="G218" s="55"/>
      <c r="H218" s="55"/>
      <c r="I218" s="55"/>
      <c r="J218" s="55"/>
      <c r="K218" s="55"/>
      <c r="L218" s="55"/>
      <c r="M218" s="55"/>
      <c r="N218" s="55"/>
    </row>
    <row r="219" spans="1:14">
      <c r="A219" t="s">
        <v>261</v>
      </c>
      <c r="B219" t="s">
        <v>262</v>
      </c>
      <c r="C219" s="55">
        <v>3692084</v>
      </c>
      <c r="D219" s="55">
        <v>24956800</v>
      </c>
      <c r="E219" s="55"/>
      <c r="F219" s="55">
        <v>28500</v>
      </c>
      <c r="G219" s="55"/>
      <c r="H219" s="55"/>
      <c r="I219" s="55"/>
      <c r="J219" s="55"/>
      <c r="K219" s="55"/>
      <c r="L219" s="55">
        <v>28500</v>
      </c>
      <c r="M219" s="55"/>
      <c r="N219" s="55"/>
    </row>
    <row r="220" spans="1:14">
      <c r="A220" t="s">
        <v>329</v>
      </c>
      <c r="B220" t="s">
        <v>330</v>
      </c>
      <c r="C220" s="55">
        <v>5755155</v>
      </c>
      <c r="D220" s="55">
        <v>37665478</v>
      </c>
      <c r="E220" s="55"/>
      <c r="F220" s="55"/>
      <c r="G220" s="55"/>
      <c r="H220" s="55"/>
      <c r="I220" s="55"/>
      <c r="J220" s="55"/>
      <c r="K220" s="55"/>
      <c r="L220" s="55"/>
      <c r="M220" s="55"/>
      <c r="N220" s="55"/>
    </row>
    <row r="221" spans="1:14">
      <c r="A221" t="s">
        <v>147</v>
      </c>
      <c r="B221" t="s">
        <v>148</v>
      </c>
      <c r="C221" s="55">
        <v>8339991</v>
      </c>
      <c r="D221" s="55">
        <v>52558499</v>
      </c>
      <c r="E221" s="55"/>
      <c r="F221" s="55"/>
      <c r="G221" s="55"/>
      <c r="H221" s="55"/>
      <c r="I221" s="55"/>
      <c r="J221" s="55"/>
      <c r="K221" s="55"/>
      <c r="L221" s="55">
        <v>250000</v>
      </c>
      <c r="M221" s="55"/>
      <c r="N221" s="55">
        <v>3850000</v>
      </c>
    </row>
    <row r="222" spans="1:14">
      <c r="A222" t="s">
        <v>17</v>
      </c>
      <c r="B222" t="s">
        <v>18</v>
      </c>
      <c r="C222" s="55">
        <v>2169476</v>
      </c>
      <c r="D222" s="55">
        <v>12812612</v>
      </c>
      <c r="E222" s="55"/>
      <c r="F222" s="55"/>
      <c r="G222" s="55"/>
      <c r="H222" s="55"/>
      <c r="I222" s="55"/>
      <c r="J222" s="55"/>
      <c r="K222" s="55"/>
      <c r="L222" s="55"/>
      <c r="M222" s="55"/>
      <c r="N222" s="55"/>
    </row>
    <row r="223" spans="1:14">
      <c r="A223" t="s">
        <v>295</v>
      </c>
      <c r="B223" t="s">
        <v>296</v>
      </c>
      <c r="C223" s="55">
        <v>4080658</v>
      </c>
      <c r="D223" s="55">
        <v>25175496</v>
      </c>
      <c r="E223" s="55"/>
      <c r="F223" s="55">
        <v>160000</v>
      </c>
      <c r="G223" s="55"/>
      <c r="H223" s="55">
        <v>153468</v>
      </c>
      <c r="I223" s="55"/>
      <c r="J223" s="55"/>
      <c r="K223" s="55"/>
      <c r="L223" s="55">
        <v>160000</v>
      </c>
      <c r="M223" s="55"/>
      <c r="N223" s="55"/>
    </row>
    <row r="224" spans="1:14">
      <c r="A224" t="s">
        <v>225</v>
      </c>
      <c r="B224" t="s">
        <v>226</v>
      </c>
      <c r="C224" s="55">
        <v>10183</v>
      </c>
      <c r="D224" s="55">
        <v>69073</v>
      </c>
      <c r="E224" s="55"/>
      <c r="F224" s="55"/>
      <c r="G224" s="55"/>
      <c r="H224" s="55"/>
      <c r="I224" s="55"/>
      <c r="J224" s="55"/>
      <c r="K224" s="55"/>
      <c r="L224" s="55"/>
      <c r="M224" s="55"/>
      <c r="N224" s="55"/>
    </row>
    <row r="225" spans="1:14">
      <c r="A225" t="s">
        <v>311</v>
      </c>
      <c r="B225" t="s">
        <v>312</v>
      </c>
      <c r="C225" s="55">
        <v>1948086</v>
      </c>
      <c r="D225" s="55">
        <v>12794720</v>
      </c>
      <c r="E225" s="55"/>
      <c r="F225" s="55">
        <v>30000</v>
      </c>
      <c r="G225" s="55"/>
      <c r="H225" s="55"/>
      <c r="I225" s="55"/>
      <c r="J225" s="55"/>
      <c r="K225" s="55"/>
      <c r="L225" s="55">
        <v>30000</v>
      </c>
      <c r="M225" s="55"/>
      <c r="N225" s="55"/>
    </row>
    <row r="226" spans="1:14">
      <c r="A226" t="s">
        <v>499</v>
      </c>
      <c r="B226" t="s">
        <v>500</v>
      </c>
      <c r="C226" s="55">
        <v>3177772</v>
      </c>
      <c r="D226" s="55">
        <v>20893753</v>
      </c>
      <c r="E226" s="55"/>
      <c r="F226" s="55"/>
      <c r="G226" s="55"/>
      <c r="H226" s="55"/>
      <c r="I226" s="55"/>
      <c r="J226" s="55"/>
      <c r="K226" s="55"/>
      <c r="L226" s="55">
        <v>10000</v>
      </c>
      <c r="M226" s="55"/>
      <c r="N226" s="55"/>
    </row>
    <row r="227" spans="1:14">
      <c r="A227" t="s">
        <v>265</v>
      </c>
      <c r="B227" t="s">
        <v>266</v>
      </c>
      <c r="C227" s="55">
        <v>1056667</v>
      </c>
      <c r="D227" s="55">
        <v>6928935</v>
      </c>
      <c r="E227" s="55"/>
      <c r="F227" s="55"/>
      <c r="G227" s="55"/>
      <c r="H227" s="55"/>
      <c r="I227" s="55"/>
      <c r="J227" s="55"/>
      <c r="K227" s="55"/>
      <c r="L227" s="55"/>
      <c r="M227" s="55"/>
      <c r="N227" s="55"/>
    </row>
    <row r="228" spans="1:14">
      <c r="A228" t="s">
        <v>533</v>
      </c>
      <c r="B228" t="s">
        <v>534</v>
      </c>
      <c r="C228" s="55">
        <v>854348</v>
      </c>
      <c r="D228" s="55">
        <v>5747850</v>
      </c>
      <c r="E228" s="55"/>
      <c r="F228" s="55"/>
      <c r="G228" s="55"/>
      <c r="H228" s="55"/>
      <c r="I228" s="55"/>
      <c r="J228" s="55"/>
      <c r="K228" s="55"/>
      <c r="L228" s="55"/>
      <c r="M228" s="55"/>
      <c r="N228" s="55"/>
    </row>
    <row r="229" spans="1:14">
      <c r="A229" t="s">
        <v>125</v>
      </c>
      <c r="B229" t="s">
        <v>126</v>
      </c>
      <c r="C229" s="55">
        <v>211136</v>
      </c>
      <c r="D229" s="55">
        <v>1249814</v>
      </c>
      <c r="E229" s="55"/>
      <c r="F229" s="55"/>
      <c r="G229" s="55"/>
      <c r="H229" s="55"/>
      <c r="I229" s="55"/>
      <c r="J229" s="55"/>
      <c r="K229" s="55"/>
      <c r="L229" s="55">
        <v>10000</v>
      </c>
      <c r="M229" s="55"/>
      <c r="N229" s="55"/>
    </row>
    <row r="230" spans="1:14">
      <c r="A230" t="s">
        <v>195</v>
      </c>
      <c r="B230" t="s">
        <v>196</v>
      </c>
      <c r="C230" s="55">
        <v>1102949</v>
      </c>
      <c r="D230" s="55">
        <v>7690086</v>
      </c>
      <c r="E230" s="55"/>
      <c r="F230" s="55"/>
      <c r="G230" s="55"/>
      <c r="H230" s="55"/>
      <c r="I230" s="55"/>
      <c r="J230" s="55"/>
      <c r="K230" s="55"/>
      <c r="L230" s="55"/>
      <c r="M230" s="55"/>
      <c r="N230" s="55"/>
    </row>
    <row r="231" spans="1:14">
      <c r="A231" t="s">
        <v>519</v>
      </c>
      <c r="B231" t="s">
        <v>520</v>
      </c>
      <c r="C231" s="55">
        <v>1972268</v>
      </c>
      <c r="D231" s="55">
        <v>12182999</v>
      </c>
      <c r="E231" s="55"/>
      <c r="F231" s="55"/>
      <c r="G231" s="55"/>
      <c r="H231" s="55"/>
      <c r="I231" s="55"/>
      <c r="J231" s="55"/>
      <c r="K231" s="55"/>
      <c r="L231" s="55"/>
      <c r="M231" s="55"/>
      <c r="N231" s="55"/>
    </row>
    <row r="232" spans="1:14">
      <c r="A232" t="s">
        <v>513</v>
      </c>
      <c r="B232" t="s">
        <v>514</v>
      </c>
      <c r="C232" s="55">
        <v>11638169</v>
      </c>
      <c r="D232" s="55">
        <v>66663661</v>
      </c>
      <c r="E232" s="55"/>
      <c r="F232" s="55">
        <v>450000</v>
      </c>
      <c r="G232" s="55"/>
      <c r="H232" s="55"/>
      <c r="I232" s="55"/>
      <c r="J232" s="55"/>
      <c r="K232" s="55"/>
      <c r="L232" s="55">
        <v>455136</v>
      </c>
      <c r="M232" s="55"/>
      <c r="N232" s="55">
        <v>192287</v>
      </c>
    </row>
    <row r="233" spans="1:14">
      <c r="A233" t="s">
        <v>385</v>
      </c>
      <c r="B233" t="s">
        <v>386</v>
      </c>
      <c r="C233" s="55">
        <v>8231</v>
      </c>
      <c r="D233" s="55">
        <v>50970</v>
      </c>
      <c r="E233" s="55"/>
      <c r="F233" s="55"/>
      <c r="G233" s="55"/>
      <c r="H233" s="55"/>
      <c r="I233" s="55"/>
      <c r="J233" s="55"/>
      <c r="K233" s="55"/>
      <c r="L233" s="55"/>
      <c r="M233" s="55"/>
      <c r="N233" s="55"/>
    </row>
    <row r="234" spans="1:14">
      <c r="A234" t="s">
        <v>199</v>
      </c>
      <c r="B234" t="s">
        <v>200</v>
      </c>
      <c r="C234" s="55">
        <v>12111</v>
      </c>
      <c r="D234" s="55">
        <v>77539</v>
      </c>
      <c r="E234" s="55"/>
      <c r="F234" s="55"/>
      <c r="G234" s="55"/>
      <c r="H234" s="55"/>
      <c r="I234" s="55"/>
      <c r="J234" s="55"/>
      <c r="K234" s="55"/>
      <c r="L234" s="55"/>
      <c r="M234" s="55"/>
      <c r="N234" s="55"/>
    </row>
    <row r="235" spans="1:14">
      <c r="A235" t="s">
        <v>341</v>
      </c>
      <c r="B235" t="s">
        <v>342</v>
      </c>
      <c r="C235" s="55">
        <v>413646</v>
      </c>
      <c r="D235" s="55">
        <v>2285050</v>
      </c>
      <c r="E235" s="55"/>
      <c r="F235" s="55"/>
      <c r="G235" s="55"/>
      <c r="H235" s="55"/>
      <c r="I235" s="55"/>
      <c r="J235" s="55"/>
      <c r="K235" s="55"/>
      <c r="L235" s="55"/>
      <c r="M235" s="55"/>
      <c r="N235" s="55"/>
    </row>
    <row r="236" spans="1:14">
      <c r="A236" t="s">
        <v>301</v>
      </c>
      <c r="B236" t="s">
        <v>302</v>
      </c>
      <c r="C236" s="55">
        <v>516938</v>
      </c>
      <c r="D236" s="55">
        <v>3190989</v>
      </c>
      <c r="E236" s="55">
        <v>222558</v>
      </c>
      <c r="F236" s="55"/>
      <c r="G236" s="55"/>
      <c r="H236" s="55">
        <v>97584</v>
      </c>
      <c r="I236" s="55"/>
      <c r="J236" s="55"/>
      <c r="K236" s="55"/>
      <c r="L236" s="55">
        <v>22500</v>
      </c>
      <c r="M236" s="55"/>
      <c r="N236" s="55"/>
    </row>
    <row r="237" spans="1:14">
      <c r="A237" t="s">
        <v>299</v>
      </c>
      <c r="B237" t="s">
        <v>300</v>
      </c>
      <c r="C237" s="55">
        <v>3936498</v>
      </c>
      <c r="D237" s="55">
        <v>23305012</v>
      </c>
      <c r="E237" s="55"/>
      <c r="F237" s="55"/>
      <c r="G237" s="55"/>
      <c r="H237" s="55"/>
      <c r="I237" s="55"/>
      <c r="J237" s="55"/>
      <c r="K237" s="55"/>
      <c r="L237" s="55"/>
      <c r="M237" s="55"/>
      <c r="N237" s="55"/>
    </row>
    <row r="238" spans="1:14">
      <c r="A238" t="s">
        <v>75</v>
      </c>
      <c r="B238" t="s">
        <v>76</v>
      </c>
      <c r="C238" s="55">
        <v>5627670</v>
      </c>
      <c r="D238" s="55">
        <v>29712330</v>
      </c>
      <c r="E238" s="55"/>
      <c r="F238" s="55"/>
      <c r="G238" s="55"/>
      <c r="H238" s="55"/>
      <c r="I238" s="55"/>
      <c r="J238" s="55"/>
      <c r="K238" s="55"/>
      <c r="L238" s="55"/>
      <c r="M238" s="55"/>
      <c r="N238" s="55"/>
    </row>
    <row r="239" spans="1:14">
      <c r="A239" t="s">
        <v>181</v>
      </c>
      <c r="B239" t="s">
        <v>182</v>
      </c>
      <c r="C239" s="55">
        <v>233796</v>
      </c>
      <c r="D239" s="55">
        <v>1367165</v>
      </c>
      <c r="E239" s="55"/>
      <c r="F239" s="55"/>
      <c r="G239" s="55"/>
      <c r="H239" s="55"/>
      <c r="I239" s="55"/>
      <c r="J239" s="55"/>
      <c r="K239" s="55"/>
      <c r="L239" s="55">
        <v>6000</v>
      </c>
      <c r="M239" s="55"/>
      <c r="N239" s="55"/>
    </row>
    <row r="240" spans="1:14">
      <c r="A240" t="s">
        <v>81</v>
      </c>
      <c r="B240" t="s">
        <v>82</v>
      </c>
      <c r="C240" s="55">
        <v>1810914</v>
      </c>
      <c r="D240" s="55">
        <v>11097447</v>
      </c>
      <c r="E240" s="55"/>
      <c r="F240" s="55"/>
      <c r="G240" s="55"/>
      <c r="H240" s="55"/>
      <c r="I240" s="55"/>
      <c r="J240" s="55"/>
      <c r="K240" s="55"/>
      <c r="L240" s="55">
        <v>100000</v>
      </c>
      <c r="M240" s="55"/>
      <c r="N240" s="55"/>
    </row>
    <row r="241" spans="1:14">
      <c r="A241" t="s">
        <v>137</v>
      </c>
      <c r="B241" t="s">
        <v>138</v>
      </c>
      <c r="C241" s="55">
        <v>1299975</v>
      </c>
      <c r="D241" s="55">
        <v>7818889</v>
      </c>
      <c r="E241" s="55"/>
      <c r="F241" s="55"/>
      <c r="G241" s="55"/>
      <c r="H241" s="55"/>
      <c r="I241" s="55"/>
      <c r="J241" s="55"/>
      <c r="K241" s="55"/>
      <c r="L241" s="55"/>
      <c r="M241" s="55"/>
      <c r="N241" s="55"/>
    </row>
    <row r="242" spans="1:14">
      <c r="A242" t="s">
        <v>269</v>
      </c>
      <c r="B242" t="s">
        <v>270</v>
      </c>
      <c r="C242" s="55">
        <v>140631</v>
      </c>
      <c r="D242" s="55">
        <v>979312</v>
      </c>
      <c r="E242" s="55"/>
      <c r="F242" s="55"/>
      <c r="G242" s="55"/>
      <c r="H242" s="55"/>
      <c r="I242" s="55"/>
      <c r="J242" s="55"/>
      <c r="K242" s="55"/>
      <c r="L242" s="55"/>
      <c r="M242" s="55"/>
      <c r="N242" s="55"/>
    </row>
    <row r="243" spans="1:14">
      <c r="A243" t="s">
        <v>613</v>
      </c>
      <c r="B243" t="s">
        <v>614</v>
      </c>
      <c r="C243" s="55">
        <v>1006380</v>
      </c>
      <c r="D243" s="55">
        <v>6317644</v>
      </c>
      <c r="E243" s="55"/>
      <c r="F243" s="55"/>
      <c r="G243" s="55"/>
      <c r="H243" s="55"/>
      <c r="I243" s="55"/>
      <c r="J243" s="55"/>
      <c r="K243" s="55"/>
      <c r="L243" s="55">
        <v>150000</v>
      </c>
      <c r="M243" s="55"/>
      <c r="N243" s="55">
        <v>20000</v>
      </c>
    </row>
    <row r="244" spans="1:14">
      <c r="A244" t="s">
        <v>131</v>
      </c>
      <c r="B244" t="s">
        <v>132</v>
      </c>
      <c r="C244" s="55">
        <v>760543</v>
      </c>
      <c r="D244" s="55">
        <v>4726009</v>
      </c>
      <c r="E244" s="55"/>
      <c r="F244" s="55"/>
      <c r="G244" s="55"/>
      <c r="H244" s="55"/>
      <c r="I244" s="55"/>
      <c r="J244" s="55"/>
      <c r="K244" s="55"/>
      <c r="L244" s="55"/>
      <c r="M244" s="55"/>
      <c r="N244" s="55"/>
    </row>
    <row r="245" spans="1:14">
      <c r="A245" t="s">
        <v>461</v>
      </c>
      <c r="B245" t="s">
        <v>462</v>
      </c>
      <c r="C245" s="55">
        <v>363140</v>
      </c>
      <c r="D245" s="55">
        <v>2247158</v>
      </c>
      <c r="E245" s="55"/>
      <c r="F245" s="55"/>
      <c r="G245" s="55"/>
      <c r="H245" s="55"/>
      <c r="I245" s="55"/>
      <c r="J245" s="55"/>
      <c r="K245" s="55"/>
      <c r="L245" s="55"/>
      <c r="M245" s="55"/>
      <c r="N245" s="55"/>
    </row>
    <row r="246" spans="1:14">
      <c r="A246" t="s">
        <v>515</v>
      </c>
      <c r="B246" t="s">
        <v>516</v>
      </c>
      <c r="C246" s="55">
        <v>191926</v>
      </c>
      <c r="D246" s="55">
        <v>1274756</v>
      </c>
      <c r="E246" s="55"/>
      <c r="F246" s="55"/>
      <c r="G246" s="55"/>
      <c r="H246" s="55"/>
      <c r="I246" s="55"/>
      <c r="J246" s="55"/>
      <c r="K246" s="55"/>
      <c r="L246" s="55"/>
      <c r="M246" s="55"/>
      <c r="N246" s="55"/>
    </row>
    <row r="247" spans="1:14">
      <c r="A247" t="s">
        <v>279</v>
      </c>
      <c r="B247" t="s">
        <v>280</v>
      </c>
      <c r="C247" s="55">
        <v>6295</v>
      </c>
      <c r="D247" s="55">
        <v>33492</v>
      </c>
      <c r="E247" s="55"/>
      <c r="F247" s="55"/>
      <c r="G247" s="55"/>
      <c r="H247" s="55"/>
      <c r="I247" s="55"/>
      <c r="J247" s="55"/>
      <c r="K247" s="55"/>
      <c r="L247" s="55"/>
      <c r="M247" s="55"/>
      <c r="N247" s="55"/>
    </row>
    <row r="248" spans="1:14">
      <c r="A248" t="s">
        <v>423</v>
      </c>
      <c r="B248" t="s">
        <v>424</v>
      </c>
      <c r="C248" s="55">
        <v>63332</v>
      </c>
      <c r="D248" s="55">
        <v>370966</v>
      </c>
      <c r="E248" s="55"/>
      <c r="F248" s="55"/>
      <c r="G248" s="55"/>
      <c r="H248" s="55"/>
      <c r="I248" s="55"/>
      <c r="J248" s="55"/>
      <c r="K248" s="55"/>
      <c r="L248" s="55"/>
      <c r="M248" s="55"/>
      <c r="N248" s="55"/>
    </row>
    <row r="249" spans="1:14">
      <c r="A249" t="s">
        <v>381</v>
      </c>
      <c r="B249" t="s">
        <v>382</v>
      </c>
      <c r="C249" s="55">
        <v>19208</v>
      </c>
      <c r="D249" s="55">
        <v>108954</v>
      </c>
      <c r="E249" s="55"/>
      <c r="F249" s="55"/>
      <c r="G249" s="55"/>
      <c r="H249" s="55"/>
      <c r="I249" s="55"/>
      <c r="J249" s="55"/>
      <c r="K249" s="55"/>
      <c r="L249" s="55"/>
      <c r="M249" s="55"/>
      <c r="N249" s="55"/>
    </row>
    <row r="250" spans="1:14">
      <c r="A250" t="s">
        <v>83</v>
      </c>
      <c r="B250" t="s">
        <v>84</v>
      </c>
      <c r="C250" s="55">
        <v>260885</v>
      </c>
      <c r="D250" s="55">
        <v>1602643</v>
      </c>
      <c r="E250" s="55"/>
      <c r="F250" s="55">
        <v>5000</v>
      </c>
      <c r="G250" s="55"/>
      <c r="H250" s="55"/>
      <c r="I250" s="55"/>
      <c r="J250" s="55"/>
      <c r="K250" s="55"/>
      <c r="L250" s="55">
        <v>6000</v>
      </c>
      <c r="M250" s="55"/>
      <c r="N250" s="55"/>
    </row>
    <row r="251" spans="1:14">
      <c r="A251" t="s">
        <v>607</v>
      </c>
      <c r="B251" t="s">
        <v>608</v>
      </c>
      <c r="C251" s="55">
        <v>148427</v>
      </c>
      <c r="D251" s="55">
        <v>975024</v>
      </c>
      <c r="E251" s="55"/>
      <c r="F251" s="55"/>
      <c r="G251" s="55"/>
      <c r="H251" s="55">
        <v>55000</v>
      </c>
      <c r="I251" s="55"/>
      <c r="J251" s="55"/>
      <c r="K251" s="55"/>
      <c r="L251" s="55"/>
      <c r="M251" s="55"/>
      <c r="N251" s="55"/>
    </row>
    <row r="252" spans="1:14">
      <c r="A252" t="s">
        <v>581</v>
      </c>
      <c r="B252" t="s">
        <v>582</v>
      </c>
      <c r="C252" s="55">
        <v>210470</v>
      </c>
      <c r="D252" s="55">
        <v>1312083</v>
      </c>
      <c r="E252" s="55"/>
      <c r="F252" s="55"/>
      <c r="G252" s="55"/>
      <c r="H252" s="55"/>
      <c r="I252" s="55"/>
      <c r="J252" s="55"/>
      <c r="K252" s="55"/>
      <c r="L252" s="55"/>
      <c r="M252" s="55"/>
      <c r="N252" s="55"/>
    </row>
    <row r="253" spans="1:14">
      <c r="A253" t="s">
        <v>103</v>
      </c>
      <c r="B253" t="s">
        <v>104</v>
      </c>
      <c r="C253" s="55">
        <v>578552</v>
      </c>
      <c r="D253" s="55">
        <v>3398179</v>
      </c>
      <c r="E253" s="55"/>
      <c r="F253" s="55"/>
      <c r="G253" s="55"/>
      <c r="H253" s="55"/>
      <c r="I253" s="55"/>
      <c r="J253" s="55"/>
      <c r="K253" s="55"/>
      <c r="L253" s="55"/>
      <c r="M253" s="55"/>
      <c r="N253" s="55"/>
    </row>
    <row r="254" spans="1:14">
      <c r="A254" t="s">
        <v>275</v>
      </c>
      <c r="B254" t="s">
        <v>276</v>
      </c>
      <c r="C254" s="55">
        <v>42787</v>
      </c>
      <c r="D254" s="55">
        <v>272516</v>
      </c>
      <c r="E254" s="55"/>
      <c r="F254" s="55"/>
      <c r="G254" s="55"/>
      <c r="H254" s="55"/>
      <c r="I254" s="55"/>
      <c r="J254" s="55"/>
      <c r="K254" s="55"/>
      <c r="L254" s="55"/>
      <c r="M254" s="55"/>
      <c r="N254" s="55"/>
    </row>
    <row r="255" spans="1:14">
      <c r="A255" t="s">
        <v>541</v>
      </c>
      <c r="B255" t="s">
        <v>542</v>
      </c>
      <c r="C255" s="55">
        <v>28165</v>
      </c>
      <c r="D255" s="55">
        <v>158412</v>
      </c>
      <c r="E255" s="55"/>
      <c r="F255" s="55"/>
      <c r="G255" s="55"/>
      <c r="H255" s="55"/>
      <c r="I255" s="55"/>
      <c r="J255" s="55"/>
      <c r="K255" s="55"/>
      <c r="L255" s="55"/>
      <c r="M255" s="55"/>
      <c r="N255" s="55"/>
    </row>
    <row r="256" spans="1:14">
      <c r="A256" t="s">
        <v>169</v>
      </c>
      <c r="B256" t="s">
        <v>170</v>
      </c>
      <c r="C256" s="55">
        <v>11059</v>
      </c>
      <c r="D256" s="55">
        <v>65381</v>
      </c>
      <c r="E256" s="55"/>
      <c r="F256" s="55"/>
      <c r="G256" s="55"/>
      <c r="H256" s="55"/>
      <c r="I256" s="55"/>
      <c r="J256" s="55"/>
      <c r="K256" s="55"/>
      <c r="L256" s="55"/>
      <c r="M256" s="55"/>
      <c r="N256" s="55"/>
    </row>
    <row r="257" spans="1:14">
      <c r="A257" t="s">
        <v>99</v>
      </c>
      <c r="B257" t="s">
        <v>100</v>
      </c>
      <c r="C257" s="55">
        <v>40014</v>
      </c>
      <c r="D257" s="55">
        <v>247891</v>
      </c>
      <c r="E257" s="55"/>
      <c r="F257" s="55"/>
      <c r="G257" s="55"/>
      <c r="H257" s="55">
        <v>10000</v>
      </c>
      <c r="I257" s="55"/>
      <c r="J257" s="55"/>
      <c r="K257" s="55"/>
      <c r="L257" s="55"/>
      <c r="M257" s="55"/>
      <c r="N257" s="55"/>
    </row>
    <row r="258" spans="1:14">
      <c r="A258" t="s">
        <v>293</v>
      </c>
      <c r="B258" t="s">
        <v>294</v>
      </c>
      <c r="C258" s="55">
        <v>208521</v>
      </c>
      <c r="D258" s="55">
        <v>1235446</v>
      </c>
      <c r="E258" s="55"/>
      <c r="F258" s="55"/>
      <c r="G258" s="55"/>
      <c r="H258" s="55"/>
      <c r="I258" s="55"/>
      <c r="J258" s="55"/>
      <c r="K258" s="55"/>
      <c r="L258" s="55"/>
      <c r="M258" s="55"/>
      <c r="N258" s="55"/>
    </row>
    <row r="259" spans="1:14">
      <c r="A259" t="s">
        <v>357</v>
      </c>
      <c r="B259" t="s">
        <v>358</v>
      </c>
      <c r="C259" s="55">
        <v>87366</v>
      </c>
      <c r="D259" s="55">
        <v>527278</v>
      </c>
      <c r="E259" s="55"/>
      <c r="F259" s="55"/>
      <c r="G259" s="55"/>
      <c r="H259" s="55"/>
      <c r="I259" s="55"/>
      <c r="J259" s="55"/>
      <c r="K259" s="55"/>
      <c r="L259" s="55"/>
      <c r="M259" s="55"/>
      <c r="N259" s="55"/>
    </row>
    <row r="260" spans="1:14">
      <c r="A260" t="s">
        <v>243</v>
      </c>
      <c r="B260" t="s">
        <v>244</v>
      </c>
      <c r="C260" s="55">
        <v>295012</v>
      </c>
      <c r="D260" s="55">
        <v>1731230</v>
      </c>
      <c r="E260" s="55"/>
      <c r="F260" s="55"/>
      <c r="G260" s="55"/>
      <c r="H260" s="55"/>
      <c r="I260" s="55"/>
      <c r="J260" s="55"/>
      <c r="K260" s="55"/>
      <c r="L260" s="55"/>
      <c r="M260" s="55"/>
      <c r="N260" s="55"/>
    </row>
    <row r="261" spans="1:14">
      <c r="A261" t="s">
        <v>641</v>
      </c>
      <c r="B261" t="s">
        <v>642</v>
      </c>
      <c r="C261" s="55">
        <v>2416653</v>
      </c>
      <c r="D261" s="55">
        <v>14134771</v>
      </c>
      <c r="E261" s="55"/>
      <c r="F261" s="55">
        <v>30000</v>
      </c>
      <c r="G261" s="55"/>
      <c r="H261" s="55">
        <v>75000</v>
      </c>
      <c r="I261" s="55"/>
      <c r="J261" s="55"/>
      <c r="K261" s="55"/>
      <c r="L261" s="55">
        <v>65000</v>
      </c>
      <c r="M261" s="55"/>
      <c r="N261" s="55"/>
    </row>
    <row r="262" spans="1:14">
      <c r="A262" t="s">
        <v>355</v>
      </c>
      <c r="B262" t="s">
        <v>356</v>
      </c>
      <c r="C262" s="55">
        <v>6130100</v>
      </c>
      <c r="D262" s="55">
        <v>36066046</v>
      </c>
      <c r="E262" s="55"/>
      <c r="F262" s="55">
        <v>2000000</v>
      </c>
      <c r="G262" s="55"/>
      <c r="H262" s="55">
        <v>100000</v>
      </c>
      <c r="I262" s="55"/>
      <c r="J262" s="55"/>
      <c r="K262" s="55"/>
      <c r="L262" s="55">
        <v>100000</v>
      </c>
      <c r="M262" s="55"/>
      <c r="N262" s="55"/>
    </row>
    <row r="263" spans="1:14">
      <c r="A263" t="s">
        <v>575</v>
      </c>
      <c r="B263" t="s">
        <v>576</v>
      </c>
      <c r="C263" s="55">
        <v>1967507</v>
      </c>
      <c r="D263" s="55">
        <v>11538933</v>
      </c>
      <c r="E263" s="55"/>
      <c r="F263" s="55"/>
      <c r="G263" s="55"/>
      <c r="H263" s="55"/>
      <c r="I263" s="55"/>
      <c r="J263" s="55"/>
      <c r="K263" s="55"/>
      <c r="L263" s="55"/>
      <c r="M263" s="55"/>
      <c r="N263" s="55"/>
    </row>
    <row r="264" spans="1:14">
      <c r="A264" t="s">
        <v>375</v>
      </c>
      <c r="B264" t="s">
        <v>376</v>
      </c>
      <c r="C264" s="55">
        <v>3684048</v>
      </c>
      <c r="D264" s="55">
        <v>22412803</v>
      </c>
      <c r="E264" s="55"/>
      <c r="F264" s="55"/>
      <c r="G264" s="55"/>
      <c r="H264" s="55"/>
      <c r="I264" s="55"/>
      <c r="J264" s="55"/>
      <c r="K264" s="55"/>
      <c r="L264" s="55">
        <v>35000</v>
      </c>
      <c r="M264" s="55"/>
      <c r="N264" s="55"/>
    </row>
    <row r="265" spans="1:14">
      <c r="A265" t="s">
        <v>441</v>
      </c>
      <c r="B265" t="s">
        <v>442</v>
      </c>
      <c r="C265" s="55">
        <v>291123</v>
      </c>
      <c r="D265" s="55">
        <v>1842540</v>
      </c>
      <c r="E265" s="55"/>
      <c r="F265" s="55"/>
      <c r="G265" s="55"/>
      <c r="H265" s="55"/>
      <c r="I265" s="55"/>
      <c r="J265" s="55"/>
      <c r="K265" s="55"/>
      <c r="L265" s="55"/>
      <c r="M265" s="55"/>
      <c r="N265" s="55"/>
    </row>
    <row r="266" spans="1:14">
      <c r="A266" t="s">
        <v>203</v>
      </c>
      <c r="B266" t="s">
        <v>204</v>
      </c>
      <c r="C266" s="55">
        <v>204127</v>
      </c>
      <c r="D266" s="55">
        <v>1229519</v>
      </c>
      <c r="E266" s="55"/>
      <c r="F266" s="55"/>
      <c r="G266" s="55"/>
      <c r="H266" s="55"/>
      <c r="I266" s="55"/>
      <c r="J266" s="55"/>
      <c r="K266" s="55"/>
      <c r="L266" s="55"/>
      <c r="M266" s="55"/>
      <c r="N266" s="55"/>
    </row>
    <row r="267" spans="1:14">
      <c r="A267" t="s">
        <v>465</v>
      </c>
      <c r="B267" t="s">
        <v>466</v>
      </c>
      <c r="C267" s="55">
        <v>731796</v>
      </c>
      <c r="D267" s="55">
        <v>4779478</v>
      </c>
      <c r="E267" s="55"/>
      <c r="F267" s="55"/>
      <c r="G267" s="55"/>
      <c r="H267" s="55"/>
      <c r="I267" s="55"/>
      <c r="J267" s="55"/>
      <c r="K267" s="55"/>
      <c r="L267" s="55">
        <v>50000</v>
      </c>
      <c r="M267" s="55"/>
      <c r="N267" s="55">
        <v>120000</v>
      </c>
    </row>
    <row r="268" spans="1:14">
      <c r="A268" t="s">
        <v>557</v>
      </c>
      <c r="B268" t="s">
        <v>558</v>
      </c>
      <c r="C268" s="55">
        <v>370747</v>
      </c>
      <c r="D268" s="55">
        <v>2206961</v>
      </c>
      <c r="E268" s="55"/>
      <c r="F268" s="55"/>
      <c r="G268" s="55"/>
      <c r="H268" s="55"/>
      <c r="I268" s="55"/>
      <c r="J268" s="55"/>
      <c r="K268" s="55"/>
      <c r="L268" s="55">
        <v>10000</v>
      </c>
      <c r="M268" s="55"/>
      <c r="N268" s="55"/>
    </row>
    <row r="269" spans="1:14">
      <c r="A269" t="s">
        <v>589</v>
      </c>
      <c r="B269" t="s">
        <v>590</v>
      </c>
      <c r="C269" s="55">
        <v>129634</v>
      </c>
      <c r="D269" s="55">
        <v>879482</v>
      </c>
      <c r="E269" s="55"/>
      <c r="F269" s="55"/>
      <c r="G269" s="55"/>
      <c r="H269" s="55"/>
      <c r="I269" s="55"/>
      <c r="J269" s="55"/>
      <c r="K269" s="55"/>
      <c r="L269" s="55"/>
      <c r="M269" s="55"/>
      <c r="N269" s="55"/>
    </row>
    <row r="270" spans="1:14">
      <c r="A270" t="s">
        <v>135</v>
      </c>
      <c r="B270" t="s">
        <v>136</v>
      </c>
      <c r="C270" s="55">
        <v>6000</v>
      </c>
      <c r="D270" s="55">
        <v>38000</v>
      </c>
      <c r="E270" s="55"/>
      <c r="F270" s="55"/>
      <c r="G270" s="55"/>
      <c r="H270" s="55"/>
      <c r="I270" s="55"/>
      <c r="J270" s="55"/>
      <c r="K270" s="55"/>
      <c r="L270" s="55"/>
      <c r="M270" s="55"/>
      <c r="N270" s="55"/>
    </row>
    <row r="271" spans="1:14">
      <c r="A271" t="s">
        <v>595</v>
      </c>
      <c r="B271" t="s">
        <v>596</v>
      </c>
      <c r="C271" s="55">
        <v>1802177</v>
      </c>
      <c r="D271" s="55">
        <v>10691229</v>
      </c>
      <c r="E271" s="55"/>
      <c r="F271" s="55"/>
      <c r="G271" s="55"/>
      <c r="H271" s="55"/>
      <c r="I271" s="55"/>
      <c r="J271" s="55"/>
      <c r="K271" s="55"/>
      <c r="L271" s="55">
        <v>50000</v>
      </c>
      <c r="M271" s="55"/>
      <c r="N271" s="55"/>
    </row>
    <row r="272" spans="1:14">
      <c r="A272" t="s">
        <v>95</v>
      </c>
      <c r="B272" t="s">
        <v>96</v>
      </c>
      <c r="C272" s="55">
        <v>587967</v>
      </c>
      <c r="D272" s="55">
        <v>3570035</v>
      </c>
      <c r="E272" s="55"/>
      <c r="F272" s="55"/>
      <c r="G272" s="55"/>
      <c r="H272" s="55"/>
      <c r="I272" s="55"/>
      <c r="J272" s="55"/>
      <c r="K272" s="55"/>
      <c r="L272" s="55"/>
      <c r="M272" s="55"/>
      <c r="N272" s="55"/>
    </row>
    <row r="273" spans="1:14">
      <c r="A273" t="s">
        <v>567</v>
      </c>
      <c r="B273" t="s">
        <v>568</v>
      </c>
      <c r="C273" s="55">
        <v>17254</v>
      </c>
      <c r="D273" s="55">
        <v>106982</v>
      </c>
      <c r="E273" s="55"/>
      <c r="F273" s="55"/>
      <c r="G273" s="55"/>
      <c r="H273" s="55"/>
      <c r="I273" s="55"/>
      <c r="J273" s="55"/>
      <c r="K273" s="55"/>
      <c r="L273" s="55"/>
      <c r="M273" s="55"/>
      <c r="N273" s="55"/>
    </row>
    <row r="274" spans="1:14">
      <c r="A274" t="s">
        <v>101</v>
      </c>
      <c r="B274" t="s">
        <v>102</v>
      </c>
      <c r="C274" s="55">
        <v>235477</v>
      </c>
      <c r="D274" s="55">
        <v>1358152</v>
      </c>
      <c r="E274" s="55"/>
      <c r="F274" s="55"/>
      <c r="G274" s="55"/>
      <c r="H274" s="55"/>
      <c r="I274" s="55"/>
      <c r="J274" s="55"/>
      <c r="K274" s="55"/>
      <c r="L274" s="55">
        <v>4000</v>
      </c>
      <c r="M274" s="55"/>
      <c r="N274" s="55"/>
    </row>
    <row r="275" spans="1:14">
      <c r="A275" t="s">
        <v>593</v>
      </c>
      <c r="B275" t="s">
        <v>594</v>
      </c>
      <c r="C275" s="55">
        <v>63036</v>
      </c>
      <c r="D275" s="55">
        <v>427755</v>
      </c>
      <c r="E275" s="55"/>
      <c r="F275" s="55"/>
      <c r="G275" s="55"/>
      <c r="H275" s="55"/>
      <c r="I275" s="55"/>
      <c r="J275" s="55"/>
      <c r="K275" s="55"/>
      <c r="L275" s="55"/>
      <c r="M275" s="55"/>
      <c r="N275" s="55"/>
    </row>
    <row r="276" spans="1:14">
      <c r="A276" t="s">
        <v>421</v>
      </c>
      <c r="B276" t="s">
        <v>422</v>
      </c>
      <c r="C276" s="55">
        <v>81422</v>
      </c>
      <c r="D276" s="55">
        <v>455242</v>
      </c>
      <c r="E276" s="55"/>
      <c r="F276" s="55"/>
      <c r="G276" s="55"/>
      <c r="H276" s="55"/>
      <c r="I276" s="55"/>
      <c r="J276" s="55"/>
      <c r="K276" s="55"/>
      <c r="L276" s="55"/>
      <c r="M276" s="55"/>
      <c r="N276" s="55"/>
    </row>
    <row r="277" spans="1:14">
      <c r="A277" t="s">
        <v>32</v>
      </c>
      <c r="B277" t="s">
        <v>33</v>
      </c>
      <c r="C277" s="55">
        <v>4305670</v>
      </c>
      <c r="D277" s="55">
        <v>26070628</v>
      </c>
      <c r="E277" s="55"/>
      <c r="F277" s="55">
        <v>85000</v>
      </c>
      <c r="G277" s="55"/>
      <c r="H277" s="55"/>
      <c r="I277" s="55"/>
      <c r="J277" s="55"/>
      <c r="K277" s="55"/>
      <c r="L277" s="55">
        <v>85000</v>
      </c>
      <c r="M277" s="55"/>
      <c r="N277" s="55"/>
    </row>
    <row r="278" spans="1:14">
      <c r="A278" t="s">
        <v>173</v>
      </c>
      <c r="B278" t="s">
        <v>174</v>
      </c>
      <c r="C278" s="55">
        <v>1611259</v>
      </c>
      <c r="D278" s="55">
        <v>9421141</v>
      </c>
      <c r="E278" s="55"/>
      <c r="F278" s="55"/>
      <c r="G278" s="55"/>
      <c r="H278" s="55">
        <v>53409</v>
      </c>
      <c r="I278" s="55"/>
      <c r="J278" s="55"/>
      <c r="K278" s="55"/>
      <c r="L278" s="55"/>
      <c r="M278" s="55"/>
      <c r="N278" s="55"/>
    </row>
    <row r="279" spans="1:14">
      <c r="A279" t="s">
        <v>41</v>
      </c>
      <c r="B279" t="s">
        <v>42</v>
      </c>
      <c r="C279" s="55">
        <v>773495</v>
      </c>
      <c r="D279" s="55">
        <v>4708809</v>
      </c>
      <c r="E279" s="55"/>
      <c r="F279" s="55">
        <v>6000</v>
      </c>
      <c r="G279" s="55"/>
      <c r="H279" s="55"/>
      <c r="I279" s="55"/>
      <c r="J279" s="55"/>
      <c r="K279" s="55"/>
      <c r="L279" s="55">
        <v>12000</v>
      </c>
      <c r="M279" s="55"/>
      <c r="N279" s="55"/>
    </row>
    <row r="280" spans="1:14">
      <c r="A280" t="s">
        <v>283</v>
      </c>
      <c r="B280" t="s">
        <v>284</v>
      </c>
      <c r="C280" s="55">
        <v>1148325</v>
      </c>
      <c r="D280" s="55">
        <v>6849036</v>
      </c>
      <c r="E280" s="55"/>
      <c r="F280" s="55"/>
      <c r="G280" s="55"/>
      <c r="H280" s="55"/>
      <c r="I280" s="55"/>
      <c r="J280" s="55"/>
      <c r="K280" s="55"/>
      <c r="L280" s="55">
        <v>100000</v>
      </c>
      <c r="M280" s="55"/>
      <c r="N280" s="55"/>
    </row>
    <row r="281" spans="1:14">
      <c r="A281" t="s">
        <v>305</v>
      </c>
      <c r="B281" t="s">
        <v>306</v>
      </c>
      <c r="C281" s="55">
        <v>490835</v>
      </c>
      <c r="D281" s="55">
        <v>3271026</v>
      </c>
      <c r="E281" s="55"/>
      <c r="F281" s="55"/>
      <c r="G281" s="55"/>
      <c r="H281" s="55"/>
      <c r="I281" s="55"/>
      <c r="J281" s="55"/>
      <c r="K281" s="55"/>
      <c r="L281" s="55"/>
      <c r="M281" s="55"/>
      <c r="N281" s="55"/>
    </row>
    <row r="282" spans="1:14">
      <c r="A282" t="s">
        <v>343</v>
      </c>
      <c r="B282" t="s">
        <v>344</v>
      </c>
      <c r="C282" s="55">
        <v>889099</v>
      </c>
      <c r="D282" s="55">
        <v>4928333</v>
      </c>
      <c r="E282" s="55"/>
      <c r="F282" s="55">
        <v>40000</v>
      </c>
      <c r="G282" s="55"/>
      <c r="H282" s="55"/>
      <c r="I282" s="55"/>
      <c r="J282" s="55"/>
      <c r="K282" s="55"/>
      <c r="L282" s="55">
        <v>40000</v>
      </c>
      <c r="M282" s="55"/>
      <c r="N282" s="55"/>
    </row>
    <row r="283" spans="1:14">
      <c r="A283" t="s">
        <v>323</v>
      </c>
      <c r="B283" t="s">
        <v>324</v>
      </c>
      <c r="C283" s="55">
        <v>687180</v>
      </c>
      <c r="D283" s="55">
        <v>4898319</v>
      </c>
      <c r="E283" s="55"/>
      <c r="F283" s="55"/>
      <c r="G283" s="55"/>
      <c r="H283" s="55">
        <v>17803</v>
      </c>
      <c r="I283" s="55"/>
      <c r="J283" s="55"/>
      <c r="K283" s="55"/>
      <c r="L283" s="55">
        <v>55000</v>
      </c>
      <c r="M283" s="55"/>
      <c r="N283" s="55"/>
    </row>
    <row r="284" spans="1:14">
      <c r="A284" t="s">
        <v>615</v>
      </c>
      <c r="B284" t="s">
        <v>616</v>
      </c>
      <c r="C284" s="55">
        <v>82986</v>
      </c>
      <c r="D284" s="55">
        <v>441494</v>
      </c>
      <c r="E284" s="55"/>
      <c r="F284" s="55"/>
      <c r="G284" s="55"/>
      <c r="H284" s="55"/>
      <c r="I284" s="55"/>
      <c r="J284" s="55"/>
      <c r="K284" s="55"/>
      <c r="L284" s="55"/>
      <c r="M284" s="55"/>
      <c r="N284" s="55"/>
    </row>
    <row r="285" spans="1:14">
      <c r="A285" t="s">
        <v>255</v>
      </c>
      <c r="B285" t="s">
        <v>256</v>
      </c>
      <c r="C285" s="55">
        <v>24217</v>
      </c>
      <c r="D285" s="55">
        <v>143708</v>
      </c>
      <c r="E285" s="55"/>
      <c r="F285" s="55"/>
      <c r="G285" s="55"/>
      <c r="H285" s="55"/>
      <c r="I285" s="55"/>
      <c r="J285" s="55"/>
      <c r="K285" s="55"/>
      <c r="L285" s="55"/>
      <c r="M285" s="55"/>
      <c r="N285" s="55"/>
    </row>
    <row r="286" spans="1:14">
      <c r="A286" t="s">
        <v>267</v>
      </c>
      <c r="B286" t="s">
        <v>268</v>
      </c>
      <c r="C286" s="55">
        <v>11496</v>
      </c>
      <c r="D286" s="55">
        <v>75155</v>
      </c>
      <c r="E286" s="55"/>
      <c r="F286" s="55"/>
      <c r="G286" s="55"/>
      <c r="H286" s="55"/>
      <c r="I286" s="55"/>
      <c r="J286" s="55"/>
      <c r="K286" s="55"/>
      <c r="L286" s="55"/>
      <c r="M286" s="55"/>
      <c r="N286" s="55"/>
    </row>
    <row r="287" spans="1:14">
      <c r="A287" t="s">
        <v>555</v>
      </c>
      <c r="B287" t="s">
        <v>556</v>
      </c>
      <c r="C287" s="55">
        <v>82490</v>
      </c>
      <c r="D287" s="55">
        <v>476712</v>
      </c>
      <c r="E287" s="55"/>
      <c r="F287" s="55"/>
      <c r="G287" s="55"/>
      <c r="H287" s="55"/>
      <c r="I287" s="55"/>
      <c r="J287" s="55"/>
      <c r="K287" s="55"/>
      <c r="L287" s="55">
        <v>7000</v>
      </c>
      <c r="M287" s="55"/>
      <c r="N287" s="55"/>
    </row>
    <row r="288" spans="1:14">
      <c r="A288" t="s">
        <v>427</v>
      </c>
      <c r="B288" t="s">
        <v>428</v>
      </c>
      <c r="C288" s="55">
        <v>776762</v>
      </c>
      <c r="D288" s="55">
        <v>4706136</v>
      </c>
      <c r="E288" s="55"/>
      <c r="F288" s="55">
        <v>35000</v>
      </c>
      <c r="G288" s="55"/>
      <c r="H288" s="55"/>
      <c r="I288" s="55"/>
      <c r="J288" s="55"/>
      <c r="K288" s="55"/>
      <c r="L288" s="55">
        <v>35000</v>
      </c>
      <c r="M288" s="55"/>
      <c r="N288" s="55"/>
    </row>
    <row r="289" spans="1:14">
      <c r="A289" t="s">
        <v>93</v>
      </c>
      <c r="B289" t="s">
        <v>94</v>
      </c>
      <c r="C289" s="55">
        <v>141774</v>
      </c>
      <c r="D289" s="55">
        <v>837893</v>
      </c>
      <c r="E289" s="55"/>
      <c r="F289" s="55">
        <v>4500</v>
      </c>
      <c r="G289" s="55"/>
      <c r="H289" s="55"/>
      <c r="I289" s="55"/>
      <c r="J289" s="55"/>
      <c r="K289" s="55"/>
      <c r="L289" s="55">
        <v>4500</v>
      </c>
      <c r="M289" s="55"/>
      <c r="N289" s="55"/>
    </row>
    <row r="290" spans="1:14">
      <c r="A290" t="s">
        <v>399</v>
      </c>
      <c r="B290" t="s">
        <v>400</v>
      </c>
      <c r="C290" s="55">
        <v>40819</v>
      </c>
      <c r="D290" s="55">
        <v>237968</v>
      </c>
      <c r="E290" s="55"/>
      <c r="F290" s="55"/>
      <c r="G290" s="55"/>
      <c r="H290" s="55"/>
      <c r="I290" s="55"/>
      <c r="J290" s="55"/>
      <c r="K290" s="55"/>
      <c r="L290" s="55"/>
      <c r="M290" s="55"/>
      <c r="N290" s="55"/>
    </row>
    <row r="291" spans="1:14">
      <c r="A291" t="s">
        <v>183</v>
      </c>
      <c r="B291" t="s">
        <v>184</v>
      </c>
      <c r="C291" s="55">
        <v>32069</v>
      </c>
      <c r="D291" s="55">
        <v>196774</v>
      </c>
      <c r="E291" s="55"/>
      <c r="F291" s="55"/>
      <c r="G291" s="55"/>
      <c r="H291" s="55"/>
      <c r="I291" s="55"/>
      <c r="J291" s="55"/>
      <c r="K291" s="55"/>
      <c r="L291" s="55"/>
      <c r="M291" s="55"/>
      <c r="N291" s="55"/>
    </row>
    <row r="292" spans="1:14">
      <c r="A292" t="s">
        <v>529</v>
      </c>
      <c r="B292" t="s">
        <v>530</v>
      </c>
      <c r="C292" s="55">
        <v>18694</v>
      </c>
      <c r="D292" s="55">
        <v>116024</v>
      </c>
      <c r="E292" s="55"/>
      <c r="F292" s="55"/>
      <c r="G292" s="55"/>
      <c r="H292" s="55"/>
      <c r="I292" s="55"/>
      <c r="J292" s="55"/>
      <c r="K292" s="55"/>
      <c r="L292" s="55"/>
      <c r="M292" s="55"/>
      <c r="N292" s="55"/>
    </row>
    <row r="293" spans="1:14">
      <c r="A293" t="s">
        <v>97</v>
      </c>
      <c r="B293" t="s">
        <v>98</v>
      </c>
      <c r="C293" s="55">
        <v>56937</v>
      </c>
      <c r="D293" s="55">
        <v>342786</v>
      </c>
      <c r="E293" s="55"/>
      <c r="F293" s="55"/>
      <c r="G293" s="55"/>
      <c r="H293" s="55"/>
      <c r="I293" s="55"/>
      <c r="J293" s="55"/>
      <c r="K293" s="55"/>
      <c r="L293" s="55"/>
      <c r="M293" s="55"/>
      <c r="N293" s="55"/>
    </row>
    <row r="294" spans="1:14">
      <c r="A294" t="s">
        <v>153</v>
      </c>
      <c r="B294" t="s">
        <v>154</v>
      </c>
      <c r="C294" s="55">
        <v>30494</v>
      </c>
      <c r="D294" s="55">
        <v>188428</v>
      </c>
      <c r="E294" s="55"/>
      <c r="F294" s="55"/>
      <c r="G294" s="55"/>
      <c r="H294" s="55"/>
      <c r="I294" s="55"/>
      <c r="J294" s="55"/>
      <c r="K294" s="55"/>
      <c r="L294" s="55"/>
      <c r="M294" s="55"/>
      <c r="N294" s="55"/>
    </row>
    <row r="295" spans="1:14">
      <c r="A295" t="s">
        <v>469</v>
      </c>
      <c r="B295" t="s">
        <v>470</v>
      </c>
      <c r="C295" s="55">
        <v>49036</v>
      </c>
      <c r="D295" s="55">
        <v>268160</v>
      </c>
      <c r="E295" s="55"/>
      <c r="F295" s="55"/>
      <c r="G295" s="55"/>
      <c r="H295" s="55"/>
      <c r="I295" s="55"/>
      <c r="J295" s="55"/>
      <c r="K295" s="55"/>
      <c r="L295" s="55"/>
      <c r="M295" s="55"/>
      <c r="N295" s="55"/>
    </row>
    <row r="296" spans="1:14">
      <c r="A296" t="s">
        <v>473</v>
      </c>
      <c r="B296" t="s">
        <v>474</v>
      </c>
      <c r="C296" s="55">
        <v>43818</v>
      </c>
      <c r="D296" s="55">
        <v>264992</v>
      </c>
      <c r="E296" s="55"/>
      <c r="F296" s="55"/>
      <c r="G296" s="55"/>
      <c r="H296" s="55"/>
      <c r="I296" s="55"/>
      <c r="J296" s="55"/>
      <c r="K296" s="55"/>
      <c r="L296" s="55"/>
      <c r="M296" s="55"/>
      <c r="N296" s="55"/>
    </row>
    <row r="297" spans="1:14">
      <c r="A297" t="s">
        <v>363</v>
      </c>
      <c r="B297" t="s">
        <v>364</v>
      </c>
      <c r="C297" s="55">
        <v>51137</v>
      </c>
      <c r="D297" s="55">
        <v>320224</v>
      </c>
      <c r="E297" s="55"/>
      <c r="F297" s="55"/>
      <c r="G297" s="55"/>
      <c r="H297" s="55"/>
      <c r="I297" s="55"/>
      <c r="J297" s="55"/>
      <c r="K297" s="55"/>
      <c r="L297" s="55"/>
      <c r="M297" s="55"/>
      <c r="N297" s="55"/>
    </row>
    <row r="298" spans="1:14">
      <c r="A298" t="s">
        <v>577</v>
      </c>
      <c r="B298" t="s">
        <v>578</v>
      </c>
      <c r="C298" s="55">
        <v>151180</v>
      </c>
      <c r="D298" s="55">
        <v>1015457</v>
      </c>
      <c r="E298" s="55"/>
      <c r="F298" s="55"/>
      <c r="G298" s="55"/>
      <c r="H298" s="55"/>
      <c r="I298" s="55"/>
      <c r="J298" s="55"/>
      <c r="K298" s="55"/>
      <c r="L298" s="55"/>
      <c r="M298" s="55"/>
      <c r="N298" s="55"/>
    </row>
    <row r="299" spans="1:14">
      <c r="A299" t="s">
        <v>331</v>
      </c>
      <c r="B299" t="s">
        <v>332</v>
      </c>
      <c r="C299" s="55">
        <v>393455</v>
      </c>
      <c r="D299" s="55">
        <v>2342050</v>
      </c>
      <c r="E299" s="55"/>
      <c r="F299" s="55"/>
      <c r="G299" s="55"/>
      <c r="H299" s="55"/>
      <c r="I299" s="55"/>
      <c r="J299" s="55"/>
      <c r="K299" s="55"/>
      <c r="L299" s="55"/>
      <c r="M299" s="55"/>
      <c r="N299" s="55"/>
    </row>
    <row r="300" spans="1:14">
      <c r="A300" t="s">
        <v>639</v>
      </c>
      <c r="B300" t="s">
        <v>640</v>
      </c>
      <c r="C300" s="55">
        <v>4650450</v>
      </c>
      <c r="D300" s="55">
        <v>27616182</v>
      </c>
      <c r="E300" s="55"/>
      <c r="F300" s="55"/>
      <c r="G300" s="55"/>
      <c r="H300" s="55"/>
      <c r="I300" s="55"/>
      <c r="J300" s="55"/>
      <c r="K300" s="55"/>
      <c r="L300" s="55">
        <v>250000</v>
      </c>
      <c r="M300" s="55"/>
      <c r="N300" s="55"/>
    </row>
    <row r="301" spans="1:14">
      <c r="A301" t="s">
        <v>139</v>
      </c>
      <c r="B301" t="s">
        <v>140</v>
      </c>
      <c r="C301" s="55">
        <v>909414</v>
      </c>
      <c r="D301" s="55">
        <v>5203805</v>
      </c>
      <c r="E301" s="55"/>
      <c r="F301" s="55"/>
      <c r="G301" s="55"/>
      <c r="H301" s="55"/>
      <c r="I301" s="55"/>
      <c r="J301" s="55"/>
      <c r="K301" s="55"/>
      <c r="L301" s="55"/>
      <c r="M301" s="55"/>
      <c r="N301" s="55"/>
    </row>
    <row r="302" spans="1:14">
      <c r="A302" t="s">
        <v>483</v>
      </c>
      <c r="B302" t="s">
        <v>484</v>
      </c>
      <c r="C302" s="55">
        <v>987693</v>
      </c>
      <c r="D302" s="55">
        <v>5746004</v>
      </c>
      <c r="E302" s="55">
        <v>220000</v>
      </c>
      <c r="F302" s="55"/>
      <c r="G302" s="55"/>
      <c r="H302" s="55"/>
      <c r="I302" s="55"/>
      <c r="J302" s="55"/>
      <c r="K302" s="55"/>
      <c r="L302" s="55"/>
      <c r="M302" s="55"/>
      <c r="N302" s="55">
        <v>88408</v>
      </c>
    </row>
    <row r="303" spans="1:14">
      <c r="A303" t="s">
        <v>285</v>
      </c>
      <c r="B303" t="s">
        <v>286</v>
      </c>
      <c r="C303" s="55">
        <v>146248</v>
      </c>
      <c r="D303" s="55">
        <v>877347</v>
      </c>
      <c r="E303" s="55"/>
      <c r="F303" s="55"/>
      <c r="G303" s="55"/>
      <c r="H303" s="55"/>
      <c r="I303" s="55"/>
      <c r="J303" s="55"/>
      <c r="K303" s="55"/>
      <c r="L303" s="55"/>
      <c r="M303" s="55"/>
      <c r="N303" s="55"/>
    </row>
    <row r="304" spans="1:14">
      <c r="A304" t="s">
        <v>191</v>
      </c>
      <c r="B304" t="s">
        <v>192</v>
      </c>
      <c r="C304" s="55">
        <v>1322306</v>
      </c>
      <c r="D304" s="55">
        <v>7619703</v>
      </c>
      <c r="E304" s="55"/>
      <c r="F304" s="55"/>
      <c r="G304" s="55"/>
      <c r="H304" s="55"/>
      <c r="I304" s="55"/>
      <c r="J304" s="55"/>
      <c r="K304" s="55"/>
      <c r="L304" s="55">
        <v>7500</v>
      </c>
      <c r="M304" s="55"/>
      <c r="N304" s="55"/>
    </row>
    <row r="305" spans="1:14">
      <c r="A305" t="s">
        <v>545</v>
      </c>
      <c r="B305" t="s">
        <v>546</v>
      </c>
      <c r="C305" s="55">
        <v>1726357</v>
      </c>
      <c r="D305" s="55">
        <v>10023161</v>
      </c>
      <c r="E305" s="55"/>
      <c r="F305" s="55"/>
      <c r="G305" s="55"/>
      <c r="H305" s="55"/>
      <c r="I305" s="55"/>
      <c r="J305" s="55"/>
      <c r="K305" s="55"/>
      <c r="L305" s="55"/>
      <c r="M305" s="55"/>
      <c r="N305" s="55"/>
    </row>
    <row r="306" spans="1:14">
      <c r="A306" t="s">
        <v>565</v>
      </c>
      <c r="B306" t="s">
        <v>566</v>
      </c>
      <c r="C306" s="55">
        <v>1071053</v>
      </c>
      <c r="D306" s="55">
        <v>6308613</v>
      </c>
      <c r="E306" s="55"/>
      <c r="F306" s="55">
        <v>5500</v>
      </c>
      <c r="G306" s="55"/>
      <c r="H306" s="55">
        <v>85000</v>
      </c>
      <c r="I306" s="55"/>
      <c r="J306" s="55"/>
      <c r="K306" s="55"/>
      <c r="L306" s="55">
        <v>4000</v>
      </c>
      <c r="M306" s="55"/>
      <c r="N306" s="55"/>
    </row>
    <row r="307" spans="1:14">
      <c r="A307" t="s">
        <v>207</v>
      </c>
      <c r="B307" t="s">
        <v>208</v>
      </c>
      <c r="C307" s="55">
        <v>265718</v>
      </c>
      <c r="D307" s="55">
        <v>1601389</v>
      </c>
      <c r="E307" s="55"/>
      <c r="F307" s="55"/>
      <c r="G307" s="55"/>
      <c r="H307" s="55"/>
      <c r="I307" s="55"/>
      <c r="J307" s="55"/>
      <c r="K307" s="55"/>
      <c r="L307" s="55"/>
      <c r="M307" s="55"/>
      <c r="N307" s="55"/>
    </row>
    <row r="308" spans="1:14">
      <c r="A308" t="s">
        <v>193</v>
      </c>
      <c r="B308" t="s">
        <v>194</v>
      </c>
      <c r="C308" s="55">
        <v>460954</v>
      </c>
      <c r="D308" s="55">
        <v>2708090</v>
      </c>
      <c r="E308" s="55"/>
      <c r="F308" s="55"/>
      <c r="G308" s="55"/>
      <c r="H308" s="55">
        <v>18000</v>
      </c>
      <c r="I308" s="55"/>
      <c r="J308" s="55"/>
      <c r="K308" s="55"/>
      <c r="L308" s="55"/>
      <c r="M308" s="55"/>
      <c r="N308" s="55"/>
    </row>
    <row r="309" spans="1:14">
      <c r="A309" t="s">
        <v>643</v>
      </c>
      <c r="B309" t="s">
        <v>644</v>
      </c>
      <c r="C309" s="55">
        <v>310495</v>
      </c>
      <c r="D309" s="55">
        <v>1805734</v>
      </c>
      <c r="E309" s="55"/>
      <c r="F309" s="55"/>
      <c r="G309" s="55"/>
      <c r="H309" s="55"/>
      <c r="I309" s="55"/>
      <c r="J309" s="55"/>
      <c r="K309" s="55"/>
      <c r="L309" s="55"/>
      <c r="M309" s="55"/>
      <c r="N309" s="55"/>
    </row>
    <row r="310" spans="1:14">
      <c r="A310" t="s">
        <v>597</v>
      </c>
      <c r="B310" t="s">
        <v>598</v>
      </c>
      <c r="C310" s="55">
        <v>864849</v>
      </c>
      <c r="D310" s="55">
        <v>4885375</v>
      </c>
      <c r="E310" s="55"/>
      <c r="F310" s="55"/>
      <c r="G310" s="55"/>
      <c r="H310" s="55">
        <v>140080</v>
      </c>
      <c r="I310" s="55"/>
      <c r="J310" s="55"/>
      <c r="K310" s="55"/>
      <c r="L310" s="55"/>
      <c r="M310" s="55"/>
      <c r="N310" s="55"/>
    </row>
    <row r="311" spans="1:14">
      <c r="A311" t="s">
        <v>611</v>
      </c>
      <c r="B311" t="s">
        <v>612</v>
      </c>
      <c r="C311" s="55">
        <v>1608861</v>
      </c>
      <c r="D311" s="55">
        <v>9468038</v>
      </c>
      <c r="E311" s="55"/>
      <c r="F311" s="55"/>
      <c r="G311" s="55"/>
      <c r="H311" s="55"/>
      <c r="I311" s="55"/>
      <c r="J311" s="55"/>
      <c r="K311" s="55"/>
      <c r="L311" s="55"/>
      <c r="M311" s="55"/>
      <c r="N311" s="55"/>
    </row>
    <row r="312" spans="1:14">
      <c r="A312" t="s">
        <v>321</v>
      </c>
      <c r="B312" t="s">
        <v>322</v>
      </c>
      <c r="C312" s="55">
        <v>245759</v>
      </c>
      <c r="D312" s="55">
        <v>1510095</v>
      </c>
      <c r="E312" s="55"/>
      <c r="F312" s="55"/>
      <c r="G312" s="55"/>
      <c r="H312" s="55">
        <v>67600</v>
      </c>
      <c r="I312" s="55"/>
      <c r="J312" s="55"/>
      <c r="K312" s="55"/>
      <c r="L312" s="55"/>
      <c r="M312" s="55"/>
      <c r="N312" s="55"/>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9D075-DC58-429D-9EB6-CBDFD52DCF52}">
  <sheetPr>
    <tabColor rgb="FF92D050"/>
  </sheetPr>
  <dimension ref="A1:C329"/>
  <sheetViews>
    <sheetView topLeftCell="A280" workbookViewId="0">
      <selection activeCell="I16" sqref="I16"/>
    </sheetView>
  </sheetViews>
  <sheetFormatPr defaultRowHeight="12.75"/>
  <cols>
    <col min="2" max="2" width="36.28515625" bestFit="1" customWidth="1"/>
    <col min="3" max="3" width="33.28515625" bestFit="1" customWidth="1"/>
  </cols>
  <sheetData>
    <row r="1" spans="1:3" ht="15">
      <c r="B1" s="113" t="s">
        <v>1432</v>
      </c>
      <c r="C1" s="114" t="s">
        <v>1434</v>
      </c>
    </row>
    <row r="3" spans="1:3">
      <c r="A3">
        <v>1</v>
      </c>
      <c r="B3">
        <v>2</v>
      </c>
      <c r="C3">
        <v>3</v>
      </c>
    </row>
    <row r="4" spans="1:3">
      <c r="A4" t="s">
        <v>680</v>
      </c>
      <c r="B4" t="s">
        <v>1325</v>
      </c>
      <c r="C4" t="s">
        <v>1452</v>
      </c>
    </row>
    <row r="5" spans="1:3">
      <c r="A5" t="s">
        <v>6</v>
      </c>
      <c r="B5" t="s">
        <v>988</v>
      </c>
      <c r="C5" s="55">
        <v>288857.45</v>
      </c>
    </row>
    <row r="6" spans="1:3">
      <c r="A6" t="s">
        <v>9</v>
      </c>
      <c r="B6" t="s">
        <v>989</v>
      </c>
      <c r="C6" s="55">
        <v>0</v>
      </c>
    </row>
    <row r="7" spans="1:3">
      <c r="A7" t="s">
        <v>11</v>
      </c>
      <c r="B7" t="s">
        <v>990</v>
      </c>
      <c r="C7" s="55">
        <v>0</v>
      </c>
    </row>
    <row r="8" spans="1:3">
      <c r="A8" t="s">
        <v>14</v>
      </c>
      <c r="B8" t="s">
        <v>991</v>
      </c>
      <c r="C8" s="55">
        <v>153973.01</v>
      </c>
    </row>
    <row r="9" spans="1:3">
      <c r="A9" t="s">
        <v>17</v>
      </c>
      <c r="B9" t="s">
        <v>992</v>
      </c>
      <c r="C9" s="55">
        <v>1211800.72</v>
      </c>
    </row>
    <row r="10" spans="1:3">
      <c r="A10" t="s">
        <v>19</v>
      </c>
      <c r="B10" t="s">
        <v>1326</v>
      </c>
      <c r="C10" s="55">
        <v>199187.53</v>
      </c>
    </row>
    <row r="11" spans="1:3">
      <c r="A11" t="s">
        <v>22</v>
      </c>
      <c r="B11" t="s">
        <v>994</v>
      </c>
      <c r="C11" s="55">
        <v>4925723.2699999996</v>
      </c>
    </row>
    <row r="12" spans="1:3">
      <c r="A12" t="s">
        <v>25</v>
      </c>
      <c r="B12" t="s">
        <v>995</v>
      </c>
      <c r="C12" s="55">
        <v>216256.85</v>
      </c>
    </row>
    <row r="13" spans="1:3">
      <c r="A13" t="s">
        <v>27</v>
      </c>
      <c r="B13" t="s">
        <v>996</v>
      </c>
      <c r="C13" s="55">
        <v>2084193.25</v>
      </c>
    </row>
    <row r="14" spans="1:3">
      <c r="A14" t="s">
        <v>30</v>
      </c>
      <c r="B14" t="s">
        <v>997</v>
      </c>
      <c r="C14" s="55">
        <v>3735639.3000000003</v>
      </c>
    </row>
    <row r="15" spans="1:3">
      <c r="A15" t="s">
        <v>32</v>
      </c>
      <c r="B15" t="s">
        <v>998</v>
      </c>
      <c r="C15" s="55">
        <v>1403368.27</v>
      </c>
    </row>
    <row r="16" spans="1:3">
      <c r="A16" t="s">
        <v>34</v>
      </c>
      <c r="B16" t="s">
        <v>999</v>
      </c>
      <c r="C16" s="55">
        <v>0</v>
      </c>
    </row>
    <row r="17" spans="1:3">
      <c r="A17" t="s">
        <v>36</v>
      </c>
      <c r="B17" t="s">
        <v>1000</v>
      </c>
      <c r="C17" s="55">
        <v>1564250.44</v>
      </c>
    </row>
    <row r="18" spans="1:3">
      <c r="A18" t="s">
        <v>38</v>
      </c>
      <c r="B18" t="s">
        <v>1001</v>
      </c>
      <c r="C18" s="55">
        <v>0</v>
      </c>
    </row>
    <row r="19" spans="1:3">
      <c r="A19" t="s">
        <v>41</v>
      </c>
      <c r="B19" t="s">
        <v>1002</v>
      </c>
      <c r="C19" s="55">
        <v>361184.04000000004</v>
      </c>
    </row>
    <row r="20" spans="1:3">
      <c r="A20" t="s">
        <v>43</v>
      </c>
      <c r="B20" t="s">
        <v>1003</v>
      </c>
      <c r="C20" s="55">
        <v>0</v>
      </c>
    </row>
    <row r="21" spans="1:3">
      <c r="A21" t="s">
        <v>45</v>
      </c>
      <c r="B21" t="s">
        <v>1004</v>
      </c>
      <c r="C21" s="55">
        <v>469490.36</v>
      </c>
    </row>
    <row r="22" spans="1:3">
      <c r="A22" t="s">
        <v>48</v>
      </c>
      <c r="B22" t="s">
        <v>1005</v>
      </c>
      <c r="C22" s="55">
        <v>18130.12</v>
      </c>
    </row>
    <row r="23" spans="1:3">
      <c r="A23" t="s">
        <v>51</v>
      </c>
      <c r="B23" t="s">
        <v>1006</v>
      </c>
      <c r="C23" s="55">
        <v>0</v>
      </c>
    </row>
    <row r="24" spans="1:3">
      <c r="A24" t="s">
        <v>53</v>
      </c>
      <c r="B24" t="s">
        <v>1007</v>
      </c>
      <c r="C24" s="55">
        <v>0</v>
      </c>
    </row>
    <row r="25" spans="1:3">
      <c r="A25" t="s">
        <v>55</v>
      </c>
      <c r="B25" t="s">
        <v>1008</v>
      </c>
      <c r="C25" s="55">
        <v>485240.18</v>
      </c>
    </row>
    <row r="26" spans="1:3">
      <c r="A26" t="s">
        <v>57</v>
      </c>
      <c r="B26" t="s">
        <v>1009</v>
      </c>
      <c r="C26" s="55">
        <v>1117490.6100000001</v>
      </c>
    </row>
    <row r="27" spans="1:3">
      <c r="A27" t="s">
        <v>59</v>
      </c>
      <c r="B27" t="s">
        <v>1010</v>
      </c>
      <c r="C27" s="55">
        <v>27250.030000000002</v>
      </c>
    </row>
    <row r="28" spans="1:3">
      <c r="A28" t="s">
        <v>61</v>
      </c>
      <c r="B28" t="s">
        <v>1011</v>
      </c>
      <c r="C28" s="55">
        <v>1935.43</v>
      </c>
    </row>
    <row r="29" spans="1:3">
      <c r="A29" t="s">
        <v>63</v>
      </c>
      <c r="B29" t="s">
        <v>1012</v>
      </c>
      <c r="C29" s="55">
        <v>0</v>
      </c>
    </row>
    <row r="30" spans="1:3">
      <c r="A30" t="s">
        <v>65</v>
      </c>
      <c r="B30" t="s">
        <v>1013</v>
      </c>
      <c r="C30" s="55">
        <v>110382.97</v>
      </c>
    </row>
    <row r="31" spans="1:3">
      <c r="A31" t="s">
        <v>67</v>
      </c>
      <c r="B31" t="s">
        <v>1014</v>
      </c>
      <c r="C31" s="55">
        <v>112571.9</v>
      </c>
    </row>
    <row r="32" spans="1:3">
      <c r="A32" t="s">
        <v>69</v>
      </c>
      <c r="B32" t="s">
        <v>1327</v>
      </c>
      <c r="C32" s="55">
        <v>0</v>
      </c>
    </row>
    <row r="33" spans="1:3">
      <c r="A33" t="s">
        <v>71</v>
      </c>
      <c r="B33" t="s">
        <v>1016</v>
      </c>
      <c r="C33" s="55">
        <v>0</v>
      </c>
    </row>
    <row r="34" spans="1:3">
      <c r="A34" t="s">
        <v>73</v>
      </c>
      <c r="B34" t="s">
        <v>1017</v>
      </c>
      <c r="C34" s="55">
        <v>111074.9</v>
      </c>
    </row>
    <row r="35" spans="1:3">
      <c r="A35" t="s">
        <v>75</v>
      </c>
      <c r="B35" t="s">
        <v>1018</v>
      </c>
      <c r="C35" s="55">
        <v>1298730.98</v>
      </c>
    </row>
    <row r="36" spans="1:3">
      <c r="A36" t="s">
        <v>77</v>
      </c>
      <c r="B36" t="s">
        <v>1019</v>
      </c>
      <c r="C36" s="55">
        <v>700812.92</v>
      </c>
    </row>
    <row r="37" spans="1:3">
      <c r="A37" t="s">
        <v>79</v>
      </c>
      <c r="B37" t="s">
        <v>1020</v>
      </c>
      <c r="C37" s="55">
        <v>215258.04</v>
      </c>
    </row>
    <row r="38" spans="1:3">
      <c r="A38" t="s">
        <v>81</v>
      </c>
      <c r="B38" t="s">
        <v>1021</v>
      </c>
      <c r="C38" s="55">
        <v>542551.74</v>
      </c>
    </row>
    <row r="39" spans="1:3">
      <c r="A39" t="s">
        <v>83</v>
      </c>
      <c r="B39" t="s">
        <v>1022</v>
      </c>
      <c r="C39" s="55">
        <v>71299.3</v>
      </c>
    </row>
    <row r="40" spans="1:3">
      <c r="A40" t="s">
        <v>882</v>
      </c>
      <c r="B40" t="s">
        <v>1328</v>
      </c>
      <c r="C40" s="55">
        <v>0</v>
      </c>
    </row>
    <row r="41" spans="1:3">
      <c r="A41" t="s">
        <v>85</v>
      </c>
      <c r="B41" t="s">
        <v>1024</v>
      </c>
      <c r="C41" s="55">
        <v>68051.72</v>
      </c>
    </row>
    <row r="42" spans="1:3">
      <c r="A42" t="s">
        <v>87</v>
      </c>
      <c r="B42" t="s">
        <v>1025</v>
      </c>
      <c r="C42" s="55">
        <v>321519.26</v>
      </c>
    </row>
    <row r="43" spans="1:3">
      <c r="A43" t="s">
        <v>89</v>
      </c>
      <c r="B43" t="s">
        <v>1026</v>
      </c>
      <c r="C43" s="55">
        <v>32221.79</v>
      </c>
    </row>
    <row r="44" spans="1:3">
      <c r="A44" t="s">
        <v>91</v>
      </c>
      <c r="B44" t="s">
        <v>1027</v>
      </c>
      <c r="C44" s="55">
        <v>2289054.69</v>
      </c>
    </row>
    <row r="45" spans="1:3">
      <c r="A45" t="s">
        <v>93</v>
      </c>
      <c r="B45" t="s">
        <v>1028</v>
      </c>
      <c r="C45" s="55">
        <v>0</v>
      </c>
    </row>
    <row r="46" spans="1:3">
      <c r="A46" t="s">
        <v>95</v>
      </c>
      <c r="B46" t="s">
        <v>1029</v>
      </c>
      <c r="C46" s="55">
        <v>30405.72</v>
      </c>
    </row>
    <row r="47" spans="1:3">
      <c r="A47" t="s">
        <v>97</v>
      </c>
      <c r="B47" t="s">
        <v>1030</v>
      </c>
      <c r="C47" s="55">
        <v>0</v>
      </c>
    </row>
    <row r="48" spans="1:3">
      <c r="A48" t="s">
        <v>99</v>
      </c>
      <c r="B48" t="s">
        <v>1329</v>
      </c>
      <c r="C48" s="55">
        <v>1750.6</v>
      </c>
    </row>
    <row r="49" spans="1:3">
      <c r="A49" t="s">
        <v>101</v>
      </c>
      <c r="B49" t="s">
        <v>1330</v>
      </c>
      <c r="C49" s="55">
        <v>64048.77</v>
      </c>
    </row>
    <row r="50" spans="1:3">
      <c r="A50" t="s">
        <v>103</v>
      </c>
      <c r="B50" t="s">
        <v>1033</v>
      </c>
      <c r="C50" s="55">
        <v>92982.49</v>
      </c>
    </row>
    <row r="51" spans="1:3">
      <c r="A51" t="s">
        <v>105</v>
      </c>
      <c r="B51" t="s">
        <v>1034</v>
      </c>
      <c r="C51" s="55">
        <v>8337.77</v>
      </c>
    </row>
    <row r="52" spans="1:3">
      <c r="A52" t="s">
        <v>107</v>
      </c>
      <c r="B52" t="s">
        <v>1035</v>
      </c>
      <c r="C52" s="55">
        <v>39817.659999999996</v>
      </c>
    </row>
    <row r="53" spans="1:3">
      <c r="A53" t="s">
        <v>109</v>
      </c>
      <c r="B53" t="s">
        <v>1036</v>
      </c>
      <c r="C53" s="55">
        <v>0</v>
      </c>
    </row>
    <row r="54" spans="1:3">
      <c r="A54" t="s">
        <v>111</v>
      </c>
      <c r="B54" t="s">
        <v>1037</v>
      </c>
      <c r="C54" s="55">
        <v>0</v>
      </c>
    </row>
    <row r="55" spans="1:3">
      <c r="A55" t="s">
        <v>113</v>
      </c>
      <c r="B55" t="s">
        <v>1038</v>
      </c>
      <c r="C55" s="55">
        <v>67745.11</v>
      </c>
    </row>
    <row r="56" spans="1:3">
      <c r="A56" t="s">
        <v>115</v>
      </c>
      <c r="B56" t="s">
        <v>1039</v>
      </c>
      <c r="C56" s="55">
        <v>0</v>
      </c>
    </row>
    <row r="57" spans="1:3">
      <c r="A57" t="s">
        <v>117</v>
      </c>
      <c r="B57" t="s">
        <v>1040</v>
      </c>
      <c r="C57" s="55">
        <v>3348.5</v>
      </c>
    </row>
    <row r="58" spans="1:3">
      <c r="A58" t="s">
        <v>119</v>
      </c>
      <c r="B58" t="s">
        <v>1041</v>
      </c>
      <c r="C58" s="55">
        <v>6697</v>
      </c>
    </row>
    <row r="59" spans="1:3">
      <c r="A59" t="s">
        <v>121</v>
      </c>
      <c r="B59" t="s">
        <v>1042</v>
      </c>
      <c r="C59" s="55">
        <v>4778.1000000000004</v>
      </c>
    </row>
    <row r="60" spans="1:3">
      <c r="A60" t="s">
        <v>123</v>
      </c>
      <c r="B60" t="s">
        <v>1043</v>
      </c>
      <c r="C60" s="55">
        <v>0</v>
      </c>
    </row>
    <row r="61" spans="1:3">
      <c r="A61" t="s">
        <v>125</v>
      </c>
      <c r="B61" t="s">
        <v>1044</v>
      </c>
      <c r="C61" s="55">
        <v>66979.040000000008</v>
      </c>
    </row>
    <row r="62" spans="1:3">
      <c r="A62" t="s">
        <v>127</v>
      </c>
      <c r="B62" t="s">
        <v>1045</v>
      </c>
      <c r="C62" s="55">
        <v>85011.01999999999</v>
      </c>
    </row>
    <row r="63" spans="1:3">
      <c r="A63" t="s">
        <v>129</v>
      </c>
      <c r="B63" t="s">
        <v>1046</v>
      </c>
      <c r="C63" s="55">
        <v>0</v>
      </c>
    </row>
    <row r="64" spans="1:3">
      <c r="A64" t="s">
        <v>131</v>
      </c>
      <c r="B64" t="s">
        <v>1047</v>
      </c>
      <c r="C64" s="55">
        <v>142358.11000000002</v>
      </c>
    </row>
    <row r="65" spans="1:3">
      <c r="A65" t="s">
        <v>133</v>
      </c>
      <c r="B65" t="s">
        <v>1048</v>
      </c>
      <c r="C65" s="55">
        <v>446831.88</v>
      </c>
    </row>
    <row r="66" spans="1:3">
      <c r="A66" t="s">
        <v>135</v>
      </c>
      <c r="B66" t="s">
        <v>1049</v>
      </c>
      <c r="C66" s="55">
        <v>0</v>
      </c>
    </row>
    <row r="67" spans="1:3">
      <c r="A67" t="s">
        <v>137</v>
      </c>
      <c r="B67" t="s">
        <v>1331</v>
      </c>
      <c r="C67" s="55">
        <v>34824.400000000001</v>
      </c>
    </row>
    <row r="68" spans="1:3">
      <c r="A68" t="s">
        <v>139</v>
      </c>
      <c r="B68" t="s">
        <v>1332</v>
      </c>
      <c r="C68" s="55">
        <v>211450.61000000002</v>
      </c>
    </row>
    <row r="69" spans="1:3">
      <c r="A69" t="s">
        <v>141</v>
      </c>
      <c r="B69" t="s">
        <v>1052</v>
      </c>
      <c r="C69" s="55">
        <v>277025.64999999997</v>
      </c>
    </row>
    <row r="70" spans="1:3">
      <c r="A70" t="s">
        <v>143</v>
      </c>
      <c r="B70" t="s">
        <v>1053</v>
      </c>
      <c r="C70" s="55">
        <v>0</v>
      </c>
    </row>
    <row r="71" spans="1:3">
      <c r="A71" t="s">
        <v>145</v>
      </c>
      <c r="B71" t="s">
        <v>1054</v>
      </c>
      <c r="C71" s="55">
        <v>190202.78</v>
      </c>
    </row>
    <row r="72" spans="1:3">
      <c r="A72" t="s">
        <v>147</v>
      </c>
      <c r="B72" t="s">
        <v>1055</v>
      </c>
      <c r="C72" s="55">
        <v>1815203.3699999999</v>
      </c>
    </row>
    <row r="73" spans="1:3">
      <c r="A73" t="s">
        <v>149</v>
      </c>
      <c r="B73" t="s">
        <v>1056</v>
      </c>
      <c r="C73" s="55">
        <v>315664.43</v>
      </c>
    </row>
    <row r="74" spans="1:3">
      <c r="A74" t="s">
        <v>151</v>
      </c>
      <c r="B74" t="s">
        <v>1057</v>
      </c>
      <c r="C74" s="55">
        <v>41637.19</v>
      </c>
    </row>
    <row r="75" spans="1:3">
      <c r="A75" t="s">
        <v>153</v>
      </c>
      <c r="B75" t="s">
        <v>1058</v>
      </c>
      <c r="C75" s="55">
        <v>0</v>
      </c>
    </row>
    <row r="76" spans="1:3">
      <c r="A76" t="s">
        <v>155</v>
      </c>
      <c r="B76" t="s">
        <v>1059</v>
      </c>
      <c r="C76" s="55">
        <v>0</v>
      </c>
    </row>
    <row r="77" spans="1:3">
      <c r="A77" t="s">
        <v>157</v>
      </c>
      <c r="B77" t="s">
        <v>1060</v>
      </c>
      <c r="C77" s="55">
        <v>460759.18</v>
      </c>
    </row>
    <row r="78" spans="1:3">
      <c r="A78" t="s">
        <v>159</v>
      </c>
      <c r="B78" t="s">
        <v>1061</v>
      </c>
      <c r="C78" s="55">
        <v>162933.99</v>
      </c>
    </row>
    <row r="79" spans="1:3">
      <c r="A79" t="s">
        <v>161</v>
      </c>
      <c r="B79" t="s">
        <v>162</v>
      </c>
      <c r="C79" s="55">
        <v>0</v>
      </c>
    </row>
    <row r="80" spans="1:3">
      <c r="A80" t="s">
        <v>163</v>
      </c>
      <c r="B80" t="s">
        <v>1062</v>
      </c>
      <c r="C80" s="55">
        <v>754.08</v>
      </c>
    </row>
    <row r="81" spans="1:3">
      <c r="A81" t="s">
        <v>165</v>
      </c>
      <c r="B81" t="s">
        <v>1063</v>
      </c>
      <c r="C81" s="55">
        <v>9317252.1500000004</v>
      </c>
    </row>
    <row r="82" spans="1:3">
      <c r="A82" t="s">
        <v>167</v>
      </c>
      <c r="B82" t="s">
        <v>1333</v>
      </c>
      <c r="C82" s="55">
        <v>3435128.37</v>
      </c>
    </row>
    <row r="83" spans="1:3">
      <c r="A83" t="s">
        <v>169</v>
      </c>
      <c r="B83" t="s">
        <v>1334</v>
      </c>
      <c r="C83" s="55">
        <v>0</v>
      </c>
    </row>
    <row r="84" spans="1:3">
      <c r="A84" t="s">
        <v>171</v>
      </c>
      <c r="B84" t="s">
        <v>1066</v>
      </c>
      <c r="C84" s="55">
        <v>5748709.3300000001</v>
      </c>
    </row>
    <row r="85" spans="1:3">
      <c r="A85" t="s">
        <v>173</v>
      </c>
      <c r="B85" t="s">
        <v>1067</v>
      </c>
      <c r="C85" s="55">
        <v>667542.73</v>
      </c>
    </row>
    <row r="86" spans="1:3">
      <c r="A86" t="s">
        <v>175</v>
      </c>
      <c r="B86" t="s">
        <v>1068</v>
      </c>
      <c r="C86" s="55">
        <v>474874.89</v>
      </c>
    </row>
    <row r="87" spans="1:3">
      <c r="A87" t="s">
        <v>177</v>
      </c>
      <c r="B87" t="s">
        <v>1069</v>
      </c>
      <c r="C87" s="55">
        <v>68511.649999999994</v>
      </c>
    </row>
    <row r="88" spans="1:3">
      <c r="A88" t="s">
        <v>179</v>
      </c>
      <c r="B88" t="s">
        <v>1070</v>
      </c>
      <c r="C88" s="55">
        <v>1371994.3</v>
      </c>
    </row>
    <row r="89" spans="1:3">
      <c r="A89" t="s">
        <v>181</v>
      </c>
      <c r="B89" t="s">
        <v>1071</v>
      </c>
      <c r="C89" s="55">
        <v>4018.2</v>
      </c>
    </row>
    <row r="90" spans="1:3">
      <c r="A90" t="s">
        <v>183</v>
      </c>
      <c r="B90" t="s">
        <v>1072</v>
      </c>
      <c r="C90" s="55">
        <v>13195.77</v>
      </c>
    </row>
    <row r="91" spans="1:3">
      <c r="A91" t="s">
        <v>185</v>
      </c>
      <c r="B91" t="s">
        <v>1073</v>
      </c>
      <c r="C91" s="55">
        <v>0</v>
      </c>
    </row>
    <row r="92" spans="1:3">
      <c r="A92" t="s">
        <v>187</v>
      </c>
      <c r="B92" t="s">
        <v>1074</v>
      </c>
      <c r="C92" s="55">
        <v>0</v>
      </c>
    </row>
    <row r="93" spans="1:3">
      <c r="A93" t="s">
        <v>189</v>
      </c>
      <c r="B93" t="s">
        <v>1075</v>
      </c>
      <c r="C93" s="55">
        <v>21475.059999999998</v>
      </c>
    </row>
    <row r="94" spans="1:3">
      <c r="A94" t="s">
        <v>191</v>
      </c>
      <c r="B94" t="s">
        <v>1076</v>
      </c>
      <c r="C94" s="55">
        <v>11660.82</v>
      </c>
    </row>
    <row r="95" spans="1:3">
      <c r="A95" t="s">
        <v>193</v>
      </c>
      <c r="B95" t="s">
        <v>1077</v>
      </c>
      <c r="C95" s="55">
        <v>6697</v>
      </c>
    </row>
    <row r="96" spans="1:3">
      <c r="A96" t="s">
        <v>195</v>
      </c>
      <c r="B96" t="s">
        <v>1078</v>
      </c>
      <c r="C96" s="55">
        <v>645497.41</v>
      </c>
    </row>
    <row r="97" spans="1:3">
      <c r="A97" t="s">
        <v>197</v>
      </c>
      <c r="B97" t="s">
        <v>1079</v>
      </c>
      <c r="C97" s="55">
        <v>20116.63</v>
      </c>
    </row>
    <row r="98" spans="1:3">
      <c r="A98" t="s">
        <v>199</v>
      </c>
      <c r="B98" t="s">
        <v>1080</v>
      </c>
      <c r="C98" s="55">
        <v>0</v>
      </c>
    </row>
    <row r="99" spans="1:3">
      <c r="A99" t="s">
        <v>201</v>
      </c>
      <c r="B99" t="s">
        <v>1082</v>
      </c>
      <c r="C99" s="55">
        <v>0</v>
      </c>
    </row>
    <row r="100" spans="1:3">
      <c r="A100" t="s">
        <v>203</v>
      </c>
      <c r="B100" t="s">
        <v>1083</v>
      </c>
      <c r="C100" s="55">
        <v>0</v>
      </c>
    </row>
    <row r="101" spans="1:3">
      <c r="A101" t="s">
        <v>205</v>
      </c>
      <c r="B101" t="s">
        <v>1084</v>
      </c>
      <c r="C101" s="55">
        <v>4687.8999999999996</v>
      </c>
    </row>
    <row r="102" spans="1:3">
      <c r="A102" t="s">
        <v>207</v>
      </c>
      <c r="B102" t="s">
        <v>1085</v>
      </c>
      <c r="C102" s="55">
        <v>9567.33</v>
      </c>
    </row>
    <row r="103" spans="1:3">
      <c r="A103" t="s">
        <v>209</v>
      </c>
      <c r="B103" t="s">
        <v>1086</v>
      </c>
      <c r="C103" s="55">
        <v>4065846.48</v>
      </c>
    </row>
    <row r="104" spans="1:3">
      <c r="A104" t="s">
        <v>211</v>
      </c>
      <c r="B104" t="s">
        <v>1087</v>
      </c>
      <c r="C104" s="55">
        <v>108254.33</v>
      </c>
    </row>
    <row r="105" spans="1:3">
      <c r="A105" t="s">
        <v>213</v>
      </c>
      <c r="B105" t="s">
        <v>1088</v>
      </c>
      <c r="C105" s="55">
        <v>21050.01</v>
      </c>
    </row>
    <row r="106" spans="1:3">
      <c r="A106" t="s">
        <v>215</v>
      </c>
      <c r="B106" t="s">
        <v>1089</v>
      </c>
      <c r="C106" s="55">
        <v>145704.72</v>
      </c>
    </row>
    <row r="107" spans="1:3">
      <c r="A107" t="s">
        <v>829</v>
      </c>
      <c r="B107" t="s">
        <v>1383</v>
      </c>
      <c r="C107" s="55">
        <v>0</v>
      </c>
    </row>
    <row r="108" spans="1:3">
      <c r="A108" t="s">
        <v>217</v>
      </c>
      <c r="B108" t="s">
        <v>1453</v>
      </c>
      <c r="C108" s="55">
        <v>0</v>
      </c>
    </row>
    <row r="109" spans="1:3">
      <c r="A109" t="s">
        <v>219</v>
      </c>
      <c r="B109" t="s">
        <v>1336</v>
      </c>
      <c r="C109" s="55">
        <v>0</v>
      </c>
    </row>
    <row r="110" spans="1:3">
      <c r="A110" t="s">
        <v>221</v>
      </c>
      <c r="B110" t="s">
        <v>1337</v>
      </c>
      <c r="C110" s="55">
        <v>0</v>
      </c>
    </row>
    <row r="111" spans="1:3">
      <c r="A111" t="s">
        <v>223</v>
      </c>
      <c r="B111" t="s">
        <v>1093</v>
      </c>
      <c r="C111" s="55">
        <v>0</v>
      </c>
    </row>
    <row r="112" spans="1:3">
      <c r="A112" t="s">
        <v>225</v>
      </c>
      <c r="B112" t="s">
        <v>1094</v>
      </c>
      <c r="C112" s="55">
        <v>9444.11</v>
      </c>
    </row>
    <row r="113" spans="1:3">
      <c r="A113" t="s">
        <v>227</v>
      </c>
      <c r="B113" t="s">
        <v>1338</v>
      </c>
      <c r="C113" s="55">
        <v>0</v>
      </c>
    </row>
    <row r="114" spans="1:3">
      <c r="A114" t="s">
        <v>229</v>
      </c>
      <c r="B114" t="s">
        <v>1095</v>
      </c>
      <c r="C114" s="55">
        <v>3516684</v>
      </c>
    </row>
    <row r="115" spans="1:3">
      <c r="A115" t="s">
        <v>231</v>
      </c>
      <c r="B115" t="s">
        <v>1096</v>
      </c>
      <c r="C115" s="55">
        <v>0</v>
      </c>
    </row>
    <row r="116" spans="1:3">
      <c r="A116" t="s">
        <v>233</v>
      </c>
      <c r="B116" t="s">
        <v>1097</v>
      </c>
      <c r="C116" s="55">
        <v>0</v>
      </c>
    </row>
    <row r="117" spans="1:3">
      <c r="A117" t="s">
        <v>235</v>
      </c>
      <c r="B117" t="s">
        <v>1098</v>
      </c>
      <c r="C117" s="55">
        <v>10725.24</v>
      </c>
    </row>
    <row r="118" spans="1:3">
      <c r="A118" t="s">
        <v>237</v>
      </c>
      <c r="B118" t="s">
        <v>1099</v>
      </c>
      <c r="C118" s="55">
        <v>0</v>
      </c>
    </row>
    <row r="119" spans="1:3">
      <c r="A119" t="s">
        <v>239</v>
      </c>
      <c r="B119" t="s">
        <v>1100</v>
      </c>
      <c r="C119" s="55">
        <v>983315.91999999993</v>
      </c>
    </row>
    <row r="120" spans="1:3">
      <c r="A120" t="s">
        <v>241</v>
      </c>
      <c r="B120" t="s">
        <v>1101</v>
      </c>
      <c r="C120" s="55">
        <v>4266171.01</v>
      </c>
    </row>
    <row r="121" spans="1:3">
      <c r="A121" t="s">
        <v>243</v>
      </c>
      <c r="B121" t="s">
        <v>1102</v>
      </c>
      <c r="C121" s="55">
        <v>0</v>
      </c>
    </row>
    <row r="122" spans="1:3">
      <c r="A122" t="s">
        <v>245</v>
      </c>
      <c r="B122" t="s">
        <v>1339</v>
      </c>
      <c r="C122" s="55">
        <v>81836</v>
      </c>
    </row>
    <row r="123" spans="1:3">
      <c r="A123" t="s">
        <v>247</v>
      </c>
      <c r="B123" t="s">
        <v>1104</v>
      </c>
      <c r="C123" s="55">
        <v>46165.19</v>
      </c>
    </row>
    <row r="124" spans="1:3">
      <c r="A124" t="s">
        <v>249</v>
      </c>
      <c r="B124" t="s">
        <v>1105</v>
      </c>
      <c r="C124" s="55">
        <v>0</v>
      </c>
    </row>
    <row r="125" spans="1:3">
      <c r="A125" t="s">
        <v>251</v>
      </c>
      <c r="B125" t="s">
        <v>1340</v>
      </c>
      <c r="C125" s="55">
        <v>99302.290000000008</v>
      </c>
    </row>
    <row r="126" spans="1:3">
      <c r="A126" t="s">
        <v>253</v>
      </c>
      <c r="B126" t="s">
        <v>1106</v>
      </c>
      <c r="C126" s="55">
        <v>60910.46</v>
      </c>
    </row>
    <row r="127" spans="1:3">
      <c r="A127" t="s">
        <v>255</v>
      </c>
      <c r="B127" t="s">
        <v>1108</v>
      </c>
      <c r="C127" s="55">
        <v>0</v>
      </c>
    </row>
    <row r="128" spans="1:3">
      <c r="A128" t="s">
        <v>257</v>
      </c>
      <c r="B128" t="s">
        <v>1109</v>
      </c>
      <c r="C128" s="55">
        <v>124925.84</v>
      </c>
    </row>
    <row r="129" spans="1:3">
      <c r="A129" t="s">
        <v>259</v>
      </c>
      <c r="B129" t="s">
        <v>1341</v>
      </c>
      <c r="C129" s="55">
        <v>0</v>
      </c>
    </row>
    <row r="130" spans="1:3">
      <c r="A130" t="s">
        <v>261</v>
      </c>
      <c r="B130" t="s">
        <v>1110</v>
      </c>
      <c r="C130" s="55">
        <v>2635392.1999999997</v>
      </c>
    </row>
    <row r="131" spans="1:3">
      <c r="A131" t="s">
        <v>263</v>
      </c>
      <c r="B131" t="s">
        <v>1111</v>
      </c>
      <c r="C131" s="55">
        <v>6751458.3700000001</v>
      </c>
    </row>
    <row r="132" spans="1:3">
      <c r="A132" t="s">
        <v>265</v>
      </c>
      <c r="B132" t="s">
        <v>1112</v>
      </c>
      <c r="C132" s="55">
        <v>411935.15</v>
      </c>
    </row>
    <row r="133" spans="1:3">
      <c r="A133" t="s">
        <v>267</v>
      </c>
      <c r="B133" t="s">
        <v>1113</v>
      </c>
      <c r="C133" s="55">
        <v>3147.59</v>
      </c>
    </row>
    <row r="134" spans="1:3">
      <c r="A134" t="s">
        <v>269</v>
      </c>
      <c r="B134" t="s">
        <v>1114</v>
      </c>
      <c r="C134" s="55">
        <v>0</v>
      </c>
    </row>
    <row r="135" spans="1:3">
      <c r="A135" t="s">
        <v>271</v>
      </c>
      <c r="B135" t="s">
        <v>1115</v>
      </c>
      <c r="C135" s="55">
        <v>0</v>
      </c>
    </row>
    <row r="136" spans="1:3">
      <c r="A136" t="s">
        <v>273</v>
      </c>
      <c r="B136" t="s">
        <v>1116</v>
      </c>
      <c r="C136" s="55">
        <v>810872.76</v>
      </c>
    </row>
    <row r="137" spans="1:3">
      <c r="A137" t="s">
        <v>275</v>
      </c>
      <c r="B137" t="s">
        <v>1117</v>
      </c>
      <c r="C137" s="55">
        <v>20516.050000000003</v>
      </c>
    </row>
    <row r="138" spans="1:3">
      <c r="A138" t="s">
        <v>277</v>
      </c>
      <c r="B138" t="s">
        <v>1342</v>
      </c>
      <c r="C138" s="55">
        <v>5482.16</v>
      </c>
    </row>
    <row r="139" spans="1:3">
      <c r="A139" t="s">
        <v>279</v>
      </c>
      <c r="B139" t="s">
        <v>1343</v>
      </c>
      <c r="C139" s="55">
        <v>0</v>
      </c>
    </row>
    <row r="140" spans="1:3">
      <c r="A140" t="s">
        <v>953</v>
      </c>
      <c r="B140" t="s">
        <v>1344</v>
      </c>
      <c r="C140" s="55">
        <v>0</v>
      </c>
    </row>
    <row r="141" spans="1:3">
      <c r="A141" t="s">
        <v>281</v>
      </c>
      <c r="B141" t="s">
        <v>1121</v>
      </c>
      <c r="C141" s="55">
        <v>0</v>
      </c>
    </row>
    <row r="142" spans="1:3">
      <c r="A142" t="s">
        <v>283</v>
      </c>
      <c r="B142" t="s">
        <v>1122</v>
      </c>
      <c r="C142" s="55">
        <v>432246.98</v>
      </c>
    </row>
    <row r="143" spans="1:3">
      <c r="A143" t="s">
        <v>285</v>
      </c>
      <c r="B143" t="s">
        <v>1123</v>
      </c>
      <c r="C143" s="55">
        <v>0</v>
      </c>
    </row>
    <row r="144" spans="1:3">
      <c r="A144" t="s">
        <v>287</v>
      </c>
      <c r="B144" t="s">
        <v>1124</v>
      </c>
      <c r="C144" s="55">
        <v>0</v>
      </c>
    </row>
    <row r="145" spans="1:3">
      <c r="A145" t="s">
        <v>289</v>
      </c>
      <c r="B145" t="s">
        <v>1125</v>
      </c>
      <c r="C145" s="55">
        <v>0</v>
      </c>
    </row>
    <row r="146" spans="1:3">
      <c r="A146" t="s">
        <v>291</v>
      </c>
      <c r="B146" t="s">
        <v>1126</v>
      </c>
      <c r="C146" s="55">
        <v>11640.73</v>
      </c>
    </row>
    <row r="147" spans="1:3">
      <c r="A147" t="s">
        <v>293</v>
      </c>
      <c r="B147" t="s">
        <v>1127</v>
      </c>
      <c r="C147" s="55">
        <v>159730.15</v>
      </c>
    </row>
    <row r="148" spans="1:3">
      <c r="A148" t="s">
        <v>295</v>
      </c>
      <c r="B148" t="s">
        <v>1128</v>
      </c>
      <c r="C148" s="55">
        <v>2975245.45</v>
      </c>
    </row>
    <row r="149" spans="1:3">
      <c r="A149" t="s">
        <v>297</v>
      </c>
      <c r="B149" t="s">
        <v>1129</v>
      </c>
      <c r="C149" s="55">
        <v>0</v>
      </c>
    </row>
    <row r="150" spans="1:3">
      <c r="A150" t="s">
        <v>299</v>
      </c>
      <c r="B150" t="s">
        <v>1130</v>
      </c>
      <c r="C150" s="55">
        <v>913703.86</v>
      </c>
    </row>
    <row r="151" spans="1:3">
      <c r="A151" t="s">
        <v>301</v>
      </c>
      <c r="B151" t="s">
        <v>1131</v>
      </c>
      <c r="C151" s="55">
        <v>0</v>
      </c>
    </row>
    <row r="152" spans="1:3">
      <c r="A152" t="s">
        <v>303</v>
      </c>
      <c r="B152" t="s">
        <v>1132</v>
      </c>
      <c r="C152" s="55">
        <v>1018514.7</v>
      </c>
    </row>
    <row r="153" spans="1:3">
      <c r="A153" t="s">
        <v>305</v>
      </c>
      <c r="B153" t="s">
        <v>1133</v>
      </c>
      <c r="C153" s="55">
        <v>296351.55</v>
      </c>
    </row>
    <row r="154" spans="1:3">
      <c r="A154" t="s">
        <v>307</v>
      </c>
      <c r="B154" t="s">
        <v>1134</v>
      </c>
      <c r="C154" s="55">
        <v>2548.3200000000002</v>
      </c>
    </row>
    <row r="155" spans="1:3">
      <c r="A155" t="s">
        <v>309</v>
      </c>
      <c r="B155" t="s">
        <v>1135</v>
      </c>
      <c r="C155" s="55">
        <v>0</v>
      </c>
    </row>
    <row r="156" spans="1:3">
      <c r="A156" t="s">
        <v>311</v>
      </c>
      <c r="B156" t="s">
        <v>1136</v>
      </c>
      <c r="C156" s="55">
        <v>615141.73</v>
      </c>
    </row>
    <row r="157" spans="1:3">
      <c r="A157" t="s">
        <v>313</v>
      </c>
      <c r="B157" t="s">
        <v>1137</v>
      </c>
      <c r="C157" s="55">
        <v>132414.42000000001</v>
      </c>
    </row>
    <row r="158" spans="1:3">
      <c r="A158" t="s">
        <v>315</v>
      </c>
      <c r="B158" t="s">
        <v>1138</v>
      </c>
      <c r="C158" s="55">
        <v>10364.280000000001</v>
      </c>
    </row>
    <row r="159" spans="1:3">
      <c r="A159" t="s">
        <v>317</v>
      </c>
      <c r="B159" t="s">
        <v>1139</v>
      </c>
      <c r="C159" s="55">
        <v>981516.34</v>
      </c>
    </row>
    <row r="160" spans="1:3">
      <c r="A160" t="s">
        <v>319</v>
      </c>
      <c r="B160" t="s">
        <v>1140</v>
      </c>
      <c r="C160" s="55">
        <v>5149.99</v>
      </c>
    </row>
    <row r="161" spans="1:3">
      <c r="A161" t="s">
        <v>321</v>
      </c>
      <c r="B161" t="s">
        <v>1141</v>
      </c>
      <c r="C161" s="55">
        <v>1346.1</v>
      </c>
    </row>
    <row r="162" spans="1:3">
      <c r="A162" t="s">
        <v>323</v>
      </c>
      <c r="B162" t="s">
        <v>1142</v>
      </c>
      <c r="C162" s="55">
        <v>441918.53</v>
      </c>
    </row>
    <row r="163" spans="1:3">
      <c r="A163" t="s">
        <v>325</v>
      </c>
      <c r="B163" t="s">
        <v>1143</v>
      </c>
      <c r="C163" s="55">
        <v>0</v>
      </c>
    </row>
    <row r="164" spans="1:3">
      <c r="A164" t="s">
        <v>327</v>
      </c>
      <c r="B164" t="s">
        <v>1144</v>
      </c>
      <c r="C164" s="55">
        <v>1106947.8900000001</v>
      </c>
    </row>
    <row r="165" spans="1:3">
      <c r="A165" t="s">
        <v>825</v>
      </c>
      <c r="B165" t="s">
        <v>1345</v>
      </c>
      <c r="C165" s="55">
        <v>0</v>
      </c>
    </row>
    <row r="166" spans="1:3">
      <c r="A166" t="s">
        <v>329</v>
      </c>
      <c r="B166" t="s">
        <v>1146</v>
      </c>
      <c r="C166" s="55">
        <v>5701971.79</v>
      </c>
    </row>
    <row r="167" spans="1:3">
      <c r="A167" t="s">
        <v>331</v>
      </c>
      <c r="B167" t="s">
        <v>1147</v>
      </c>
      <c r="C167" s="55">
        <v>27010.34</v>
      </c>
    </row>
    <row r="168" spans="1:3">
      <c r="A168" t="s">
        <v>333</v>
      </c>
      <c r="B168" t="s">
        <v>1148</v>
      </c>
      <c r="C168" s="55">
        <v>30726.16</v>
      </c>
    </row>
    <row r="169" spans="1:3">
      <c r="A169" t="s">
        <v>335</v>
      </c>
      <c r="B169" t="s">
        <v>1346</v>
      </c>
      <c r="C169" s="55">
        <v>0</v>
      </c>
    </row>
    <row r="170" spans="1:3">
      <c r="A170" t="s">
        <v>337</v>
      </c>
      <c r="B170" t="s">
        <v>1150</v>
      </c>
      <c r="C170" s="55">
        <v>0</v>
      </c>
    </row>
    <row r="171" spans="1:3">
      <c r="A171" t="s">
        <v>339</v>
      </c>
      <c r="B171" t="s">
        <v>1151</v>
      </c>
      <c r="C171" s="55">
        <v>30878.53</v>
      </c>
    </row>
    <row r="172" spans="1:3">
      <c r="A172" t="s">
        <v>341</v>
      </c>
      <c r="B172" t="s">
        <v>1152</v>
      </c>
      <c r="C172" s="55">
        <v>33574.74</v>
      </c>
    </row>
    <row r="173" spans="1:3">
      <c r="A173" t="s">
        <v>343</v>
      </c>
      <c r="B173" t="s">
        <v>1153</v>
      </c>
      <c r="C173" s="55">
        <v>241097.86</v>
      </c>
    </row>
    <row r="174" spans="1:3">
      <c r="A174" t="s">
        <v>345</v>
      </c>
      <c r="B174" t="s">
        <v>1154</v>
      </c>
      <c r="C174" s="55">
        <v>0</v>
      </c>
    </row>
    <row r="175" spans="1:3">
      <c r="A175" t="s">
        <v>347</v>
      </c>
      <c r="B175" t="s">
        <v>1155</v>
      </c>
      <c r="C175" s="55">
        <v>20648.189999999999</v>
      </c>
    </row>
    <row r="176" spans="1:3">
      <c r="A176" t="s">
        <v>349</v>
      </c>
      <c r="B176" t="s">
        <v>1156</v>
      </c>
      <c r="C176" s="55">
        <v>1258642.81</v>
      </c>
    </row>
    <row r="177" spans="1:3">
      <c r="A177" t="s">
        <v>351</v>
      </c>
      <c r="B177" t="s">
        <v>1157</v>
      </c>
      <c r="C177" s="55">
        <v>173915.73</v>
      </c>
    </row>
    <row r="178" spans="1:3">
      <c r="A178" t="s">
        <v>353</v>
      </c>
      <c r="B178" t="s">
        <v>1158</v>
      </c>
      <c r="C178" s="55">
        <v>0</v>
      </c>
    </row>
    <row r="179" spans="1:3">
      <c r="A179" t="s">
        <v>355</v>
      </c>
      <c r="B179" t="s">
        <v>1159</v>
      </c>
      <c r="C179" s="55">
        <v>3875473.54</v>
      </c>
    </row>
    <row r="180" spans="1:3">
      <c r="A180" t="s">
        <v>357</v>
      </c>
      <c r="B180" t="s">
        <v>1160</v>
      </c>
      <c r="C180" s="55">
        <v>2678.8</v>
      </c>
    </row>
    <row r="181" spans="1:3">
      <c r="A181" t="s">
        <v>359</v>
      </c>
      <c r="B181" t="s">
        <v>1161</v>
      </c>
      <c r="C181" s="55">
        <v>8825272.7699999996</v>
      </c>
    </row>
    <row r="182" spans="1:3">
      <c r="A182" t="s">
        <v>361</v>
      </c>
      <c r="B182" t="s">
        <v>1162</v>
      </c>
      <c r="C182" s="55">
        <v>908502.8</v>
      </c>
    </row>
    <row r="183" spans="1:3">
      <c r="A183" t="s">
        <v>363</v>
      </c>
      <c r="B183" t="s">
        <v>1163</v>
      </c>
      <c r="C183" s="55">
        <v>0</v>
      </c>
    </row>
    <row r="184" spans="1:3">
      <c r="A184" t="s">
        <v>365</v>
      </c>
      <c r="B184" t="s">
        <v>1164</v>
      </c>
      <c r="C184" s="55">
        <v>17682.759999999998</v>
      </c>
    </row>
    <row r="185" spans="1:3">
      <c r="A185" t="s">
        <v>367</v>
      </c>
      <c r="B185" t="s">
        <v>1165</v>
      </c>
      <c r="C185" s="55">
        <v>0</v>
      </c>
    </row>
    <row r="186" spans="1:3">
      <c r="A186" t="s">
        <v>369</v>
      </c>
      <c r="B186" t="s">
        <v>1166</v>
      </c>
      <c r="C186" s="55">
        <v>0</v>
      </c>
    </row>
    <row r="187" spans="1:3">
      <c r="A187" t="s">
        <v>371</v>
      </c>
      <c r="B187" t="s">
        <v>1167</v>
      </c>
      <c r="C187" s="55">
        <v>2658.71</v>
      </c>
    </row>
    <row r="188" spans="1:3">
      <c r="A188" t="s">
        <v>373</v>
      </c>
      <c r="B188" t="s">
        <v>1168</v>
      </c>
      <c r="C188" s="55">
        <v>34670.370000000003</v>
      </c>
    </row>
    <row r="189" spans="1:3">
      <c r="A189" t="s">
        <v>375</v>
      </c>
      <c r="B189" t="s">
        <v>1169</v>
      </c>
      <c r="C189" s="55">
        <v>269454.01</v>
      </c>
    </row>
    <row r="190" spans="1:3">
      <c r="A190" t="s">
        <v>377</v>
      </c>
      <c r="B190" t="s">
        <v>378</v>
      </c>
      <c r="C190" s="55">
        <v>128131.02</v>
      </c>
    </row>
    <row r="191" spans="1:3">
      <c r="A191" t="s">
        <v>379</v>
      </c>
      <c r="B191" t="s">
        <v>1171</v>
      </c>
      <c r="C191" s="55">
        <v>4018.2</v>
      </c>
    </row>
    <row r="192" spans="1:3">
      <c r="A192" t="s">
        <v>381</v>
      </c>
      <c r="B192" t="s">
        <v>1172</v>
      </c>
      <c r="C192" s="55">
        <v>0</v>
      </c>
    </row>
    <row r="193" spans="1:3">
      <c r="A193" t="s">
        <v>383</v>
      </c>
      <c r="B193" t="s">
        <v>1173</v>
      </c>
      <c r="C193" s="55">
        <v>17476.490000000002</v>
      </c>
    </row>
    <row r="194" spans="1:3">
      <c r="A194" t="s">
        <v>385</v>
      </c>
      <c r="B194" t="s">
        <v>1174</v>
      </c>
      <c r="C194" s="55">
        <v>0</v>
      </c>
    </row>
    <row r="195" spans="1:3">
      <c r="A195" t="s">
        <v>387</v>
      </c>
      <c r="B195" t="s">
        <v>1175</v>
      </c>
      <c r="C195" s="55">
        <v>0</v>
      </c>
    </row>
    <row r="196" spans="1:3">
      <c r="A196" t="s">
        <v>389</v>
      </c>
      <c r="B196" t="s">
        <v>1176</v>
      </c>
      <c r="C196" s="55">
        <v>0</v>
      </c>
    </row>
    <row r="197" spans="1:3">
      <c r="A197" t="s">
        <v>391</v>
      </c>
      <c r="B197" t="s">
        <v>1177</v>
      </c>
      <c r="C197" s="55">
        <v>15262.46</v>
      </c>
    </row>
    <row r="198" spans="1:3">
      <c r="A198" t="s">
        <v>393</v>
      </c>
      <c r="B198" t="s">
        <v>1178</v>
      </c>
      <c r="C198" s="55">
        <v>367003.22</v>
      </c>
    </row>
    <row r="199" spans="1:3">
      <c r="A199" t="s">
        <v>395</v>
      </c>
      <c r="B199" t="s">
        <v>1179</v>
      </c>
      <c r="C199" s="55">
        <v>411305.43</v>
      </c>
    </row>
    <row r="200" spans="1:3">
      <c r="A200" t="s">
        <v>397</v>
      </c>
      <c r="B200" t="s">
        <v>1180</v>
      </c>
      <c r="C200" s="55">
        <v>0</v>
      </c>
    </row>
    <row r="201" spans="1:3">
      <c r="A201" t="s">
        <v>399</v>
      </c>
      <c r="B201" t="s">
        <v>1181</v>
      </c>
      <c r="C201" s="55">
        <v>1867.12</v>
      </c>
    </row>
    <row r="202" spans="1:3">
      <c r="A202" t="s">
        <v>864</v>
      </c>
      <c r="B202" t="s">
        <v>1384</v>
      </c>
      <c r="C202" s="55">
        <v>0</v>
      </c>
    </row>
    <row r="203" spans="1:3">
      <c r="A203" t="s">
        <v>401</v>
      </c>
      <c r="B203" t="s">
        <v>1182</v>
      </c>
      <c r="C203" s="55">
        <v>680898.72</v>
      </c>
    </row>
    <row r="204" spans="1:3">
      <c r="A204" t="s">
        <v>403</v>
      </c>
      <c r="B204" t="s">
        <v>1183</v>
      </c>
      <c r="C204" s="55">
        <v>40021.269999999997</v>
      </c>
    </row>
    <row r="205" spans="1:3">
      <c r="A205" t="s">
        <v>405</v>
      </c>
      <c r="B205" t="s">
        <v>1184</v>
      </c>
      <c r="C205" s="55">
        <v>0</v>
      </c>
    </row>
    <row r="206" spans="1:3">
      <c r="A206" t="s">
        <v>407</v>
      </c>
      <c r="B206" t="s">
        <v>1185</v>
      </c>
      <c r="C206" s="55">
        <v>0</v>
      </c>
    </row>
    <row r="207" spans="1:3">
      <c r="A207" t="s">
        <v>409</v>
      </c>
      <c r="B207" t="s">
        <v>1186</v>
      </c>
      <c r="C207" s="55">
        <v>573393.12</v>
      </c>
    </row>
    <row r="208" spans="1:3">
      <c r="A208" t="s">
        <v>411</v>
      </c>
      <c r="B208" t="s">
        <v>761</v>
      </c>
      <c r="C208" s="55">
        <v>0</v>
      </c>
    </row>
    <row r="209" spans="1:3">
      <c r="A209" t="s">
        <v>413</v>
      </c>
      <c r="B209" t="s">
        <v>1188</v>
      </c>
      <c r="C209" s="55">
        <v>6351.69</v>
      </c>
    </row>
    <row r="210" spans="1:3">
      <c r="A210" t="s">
        <v>415</v>
      </c>
      <c r="B210" t="s">
        <v>1189</v>
      </c>
      <c r="C210" s="55">
        <v>0</v>
      </c>
    </row>
    <row r="211" spans="1:3">
      <c r="A211" t="s">
        <v>417</v>
      </c>
      <c r="B211" t="s">
        <v>1190</v>
      </c>
      <c r="C211" s="55">
        <v>342012.68</v>
      </c>
    </row>
    <row r="212" spans="1:3">
      <c r="A212" t="s">
        <v>419</v>
      </c>
      <c r="B212" t="s">
        <v>1191</v>
      </c>
      <c r="C212" s="55">
        <v>145601.20000000001</v>
      </c>
    </row>
    <row r="213" spans="1:3">
      <c r="A213" t="s">
        <v>421</v>
      </c>
      <c r="B213" t="s">
        <v>1192</v>
      </c>
      <c r="C213" s="55">
        <v>7151.06</v>
      </c>
    </row>
    <row r="214" spans="1:3">
      <c r="A214" t="s">
        <v>423</v>
      </c>
      <c r="B214" t="s">
        <v>1454</v>
      </c>
      <c r="C214" s="55">
        <v>0</v>
      </c>
    </row>
    <row r="215" spans="1:3">
      <c r="A215" t="s">
        <v>425</v>
      </c>
      <c r="B215" t="s">
        <v>1194</v>
      </c>
      <c r="C215" s="55">
        <v>106984.01</v>
      </c>
    </row>
    <row r="216" spans="1:3">
      <c r="A216" t="s">
        <v>427</v>
      </c>
      <c r="B216" t="s">
        <v>1195</v>
      </c>
      <c r="C216" s="55">
        <v>232332.32</v>
      </c>
    </row>
    <row r="217" spans="1:3">
      <c r="A217" t="s">
        <v>431</v>
      </c>
      <c r="B217" t="s">
        <v>1197</v>
      </c>
      <c r="C217" s="55">
        <v>229366.3</v>
      </c>
    </row>
    <row r="218" spans="1:3">
      <c r="A218" t="s">
        <v>433</v>
      </c>
      <c r="B218" t="s">
        <v>1348</v>
      </c>
      <c r="C218" s="55">
        <v>0</v>
      </c>
    </row>
    <row r="219" spans="1:3">
      <c r="A219" t="s">
        <v>435</v>
      </c>
      <c r="B219" t="s">
        <v>1199</v>
      </c>
      <c r="C219" s="55">
        <v>72170.89</v>
      </c>
    </row>
    <row r="220" spans="1:3">
      <c r="A220" t="s">
        <v>766</v>
      </c>
      <c r="B220" t="s">
        <v>1349</v>
      </c>
      <c r="C220" s="55">
        <v>0</v>
      </c>
    </row>
    <row r="221" spans="1:3">
      <c r="A221" t="s">
        <v>437</v>
      </c>
      <c r="B221" t="s">
        <v>1200</v>
      </c>
      <c r="C221" s="55">
        <v>78854.83</v>
      </c>
    </row>
    <row r="222" spans="1:3">
      <c r="A222" t="s">
        <v>439</v>
      </c>
      <c r="B222" t="s">
        <v>1203</v>
      </c>
      <c r="C222" s="55">
        <v>128999.83</v>
      </c>
    </row>
    <row r="223" spans="1:3">
      <c r="A223" t="s">
        <v>443</v>
      </c>
      <c r="B223" t="s">
        <v>1350</v>
      </c>
      <c r="C223" s="55">
        <v>0</v>
      </c>
    </row>
    <row r="224" spans="1:3">
      <c r="A224" t="s">
        <v>441</v>
      </c>
      <c r="B224" t="s">
        <v>1204</v>
      </c>
      <c r="C224" s="55">
        <v>20982.6</v>
      </c>
    </row>
    <row r="225" spans="1:3">
      <c r="A225" t="s">
        <v>447</v>
      </c>
      <c r="B225" t="s">
        <v>1206</v>
      </c>
      <c r="C225" s="55">
        <v>16541.59</v>
      </c>
    </row>
    <row r="226" spans="1:3">
      <c r="A226" t="s">
        <v>449</v>
      </c>
      <c r="B226" t="s">
        <v>1351</v>
      </c>
      <c r="C226" s="55">
        <v>0</v>
      </c>
    </row>
    <row r="227" spans="1:3">
      <c r="A227" t="s">
        <v>451</v>
      </c>
      <c r="B227" t="s">
        <v>1208</v>
      </c>
      <c r="C227" s="55">
        <v>1671799.1700000002</v>
      </c>
    </row>
    <row r="228" spans="1:3">
      <c r="A228" t="s">
        <v>453</v>
      </c>
      <c r="B228" t="s">
        <v>1209</v>
      </c>
      <c r="C228" s="55">
        <v>7421.62</v>
      </c>
    </row>
    <row r="229" spans="1:3">
      <c r="A229" t="s">
        <v>455</v>
      </c>
      <c r="B229" t="s">
        <v>1210</v>
      </c>
      <c r="C229" s="55">
        <v>1781250.65</v>
      </c>
    </row>
    <row r="230" spans="1:3">
      <c r="A230" t="s">
        <v>457</v>
      </c>
      <c r="B230" t="s">
        <v>1211</v>
      </c>
      <c r="C230" s="55">
        <v>529803.68999999994</v>
      </c>
    </row>
    <row r="231" spans="1:3">
      <c r="A231" t="s">
        <v>459</v>
      </c>
      <c r="B231" t="s">
        <v>1212</v>
      </c>
      <c r="C231" s="55">
        <v>3938.75</v>
      </c>
    </row>
    <row r="232" spans="1:3">
      <c r="A232" t="s">
        <v>461</v>
      </c>
      <c r="B232" t="s">
        <v>1213</v>
      </c>
      <c r="C232" s="55">
        <v>13612.32</v>
      </c>
    </row>
    <row r="233" spans="1:3">
      <c r="A233" t="s">
        <v>463</v>
      </c>
      <c r="B233" t="s">
        <v>1214</v>
      </c>
      <c r="C233" s="55">
        <v>548197.96</v>
      </c>
    </row>
    <row r="234" spans="1:3">
      <c r="A234" t="s">
        <v>465</v>
      </c>
      <c r="B234" t="s">
        <v>1215</v>
      </c>
      <c r="C234" s="55">
        <v>37083.97</v>
      </c>
    </row>
    <row r="235" spans="1:3">
      <c r="A235" t="s">
        <v>467</v>
      </c>
      <c r="B235" t="s">
        <v>1216</v>
      </c>
      <c r="C235" s="55">
        <v>0</v>
      </c>
    </row>
    <row r="236" spans="1:3">
      <c r="A236" t="s">
        <v>699</v>
      </c>
      <c r="B236" t="s">
        <v>772</v>
      </c>
      <c r="C236" s="55">
        <v>0</v>
      </c>
    </row>
    <row r="237" spans="1:3">
      <c r="A237" t="s">
        <v>469</v>
      </c>
      <c r="B237" t="s">
        <v>1217</v>
      </c>
      <c r="C237" s="55">
        <v>0</v>
      </c>
    </row>
    <row r="238" spans="1:3">
      <c r="A238" t="s">
        <v>471</v>
      </c>
      <c r="B238" t="s">
        <v>1218</v>
      </c>
      <c r="C238" s="55">
        <v>0</v>
      </c>
    </row>
    <row r="239" spans="1:3">
      <c r="A239" t="s">
        <v>475</v>
      </c>
      <c r="B239" t="s">
        <v>1219</v>
      </c>
      <c r="C239" s="55">
        <v>92079.359999999986</v>
      </c>
    </row>
    <row r="240" spans="1:3">
      <c r="A240" t="s">
        <v>477</v>
      </c>
      <c r="B240" t="s">
        <v>1220</v>
      </c>
      <c r="C240" s="55">
        <v>0</v>
      </c>
    </row>
    <row r="241" spans="1:3">
      <c r="A241" t="s">
        <v>701</v>
      </c>
      <c r="B241" t="s">
        <v>1352</v>
      </c>
      <c r="C241" s="55">
        <v>0</v>
      </c>
    </row>
    <row r="242" spans="1:3">
      <c r="A242" t="s">
        <v>702</v>
      </c>
      <c r="B242" t="s">
        <v>1353</v>
      </c>
      <c r="C242" s="55">
        <v>0</v>
      </c>
    </row>
    <row r="243" spans="1:3">
      <c r="A243" t="s">
        <v>479</v>
      </c>
      <c r="B243" t="s">
        <v>1221</v>
      </c>
      <c r="C243" s="55">
        <v>19533220.030000001</v>
      </c>
    </row>
    <row r="244" spans="1:3">
      <c r="A244" t="s">
        <v>481</v>
      </c>
      <c r="B244" t="s">
        <v>1222</v>
      </c>
      <c r="C244" s="55">
        <v>594670.26</v>
      </c>
    </row>
    <row r="245" spans="1:3">
      <c r="A245" t="s">
        <v>483</v>
      </c>
      <c r="B245" t="s">
        <v>1223</v>
      </c>
      <c r="C245" s="55">
        <v>202882.37</v>
      </c>
    </row>
    <row r="246" spans="1:3">
      <c r="A246" t="s">
        <v>485</v>
      </c>
      <c r="B246" t="s">
        <v>1224</v>
      </c>
      <c r="C246" s="55">
        <v>11489.37</v>
      </c>
    </row>
    <row r="247" spans="1:3">
      <c r="A247" t="s">
        <v>487</v>
      </c>
      <c r="B247" t="s">
        <v>1225</v>
      </c>
      <c r="C247" s="55">
        <v>35279.800000000003</v>
      </c>
    </row>
    <row r="248" spans="1:3">
      <c r="A248" t="s">
        <v>489</v>
      </c>
      <c r="B248" t="s">
        <v>1226</v>
      </c>
      <c r="C248" s="55">
        <v>0</v>
      </c>
    </row>
    <row r="249" spans="1:3">
      <c r="A249" t="s">
        <v>491</v>
      </c>
      <c r="B249" t="s">
        <v>1227</v>
      </c>
      <c r="C249" s="55">
        <v>422858.08999999997</v>
      </c>
    </row>
    <row r="250" spans="1:3">
      <c r="A250" t="s">
        <v>493</v>
      </c>
      <c r="B250" t="s">
        <v>1228</v>
      </c>
      <c r="C250" s="55">
        <v>3696465.6999999997</v>
      </c>
    </row>
    <row r="251" spans="1:3">
      <c r="A251" t="s">
        <v>495</v>
      </c>
      <c r="B251" t="s">
        <v>1229</v>
      </c>
      <c r="C251" s="55">
        <v>0</v>
      </c>
    </row>
    <row r="252" spans="1:3">
      <c r="A252" t="s">
        <v>497</v>
      </c>
      <c r="B252" t="s">
        <v>1230</v>
      </c>
      <c r="C252" s="55">
        <v>11647.42</v>
      </c>
    </row>
    <row r="253" spans="1:3">
      <c r="A253" t="s">
        <v>499</v>
      </c>
      <c r="B253" t="s">
        <v>1231</v>
      </c>
      <c r="C253" s="55">
        <v>2862403.69</v>
      </c>
    </row>
    <row r="254" spans="1:3">
      <c r="A254" t="s">
        <v>501</v>
      </c>
      <c r="B254" t="s">
        <v>1232</v>
      </c>
      <c r="C254" s="55">
        <v>1617608.98</v>
      </c>
    </row>
    <row r="255" spans="1:3">
      <c r="A255" t="s">
        <v>503</v>
      </c>
      <c r="B255" t="s">
        <v>1233</v>
      </c>
      <c r="C255" s="55">
        <v>80383.25</v>
      </c>
    </row>
    <row r="256" spans="1:3">
      <c r="A256" t="s">
        <v>1354</v>
      </c>
      <c r="B256" t="s">
        <v>1355</v>
      </c>
      <c r="C256" s="55">
        <v>0</v>
      </c>
    </row>
    <row r="257" spans="1:3">
      <c r="A257" t="s">
        <v>505</v>
      </c>
      <c r="B257" t="s">
        <v>1234</v>
      </c>
      <c r="C257" s="55">
        <v>11701</v>
      </c>
    </row>
    <row r="258" spans="1:3">
      <c r="A258" t="s">
        <v>507</v>
      </c>
      <c r="B258" t="s">
        <v>1235</v>
      </c>
      <c r="C258" s="55">
        <v>565702.29</v>
      </c>
    </row>
    <row r="259" spans="1:3">
      <c r="A259" t="s">
        <v>509</v>
      </c>
      <c r="B259" t="s">
        <v>1236</v>
      </c>
      <c r="C259" s="55">
        <v>165086.41</v>
      </c>
    </row>
    <row r="260" spans="1:3">
      <c r="A260" t="s">
        <v>511</v>
      </c>
      <c r="B260" t="s">
        <v>1237</v>
      </c>
      <c r="C260" s="55">
        <v>0</v>
      </c>
    </row>
    <row r="261" spans="1:3">
      <c r="A261" t="s">
        <v>513</v>
      </c>
      <c r="B261" t="s">
        <v>1238</v>
      </c>
      <c r="C261" s="55">
        <v>4175008.45</v>
      </c>
    </row>
    <row r="262" spans="1:3">
      <c r="A262" t="s">
        <v>515</v>
      </c>
      <c r="B262" t="s">
        <v>1356</v>
      </c>
      <c r="C262" s="55">
        <v>0</v>
      </c>
    </row>
    <row r="263" spans="1:3">
      <c r="A263" t="s">
        <v>517</v>
      </c>
      <c r="B263" t="s">
        <v>1240</v>
      </c>
      <c r="C263" s="55">
        <v>3348.5</v>
      </c>
    </row>
    <row r="264" spans="1:3">
      <c r="A264" t="s">
        <v>473</v>
      </c>
      <c r="B264" t="s">
        <v>1241</v>
      </c>
      <c r="C264" s="55">
        <v>2828.81</v>
      </c>
    </row>
    <row r="265" spans="1:3">
      <c r="A265" t="s">
        <v>519</v>
      </c>
      <c r="B265" t="s">
        <v>1357</v>
      </c>
      <c r="C265" s="55">
        <v>1310842.6499999999</v>
      </c>
    </row>
    <row r="266" spans="1:3">
      <c r="A266" t="s">
        <v>521</v>
      </c>
      <c r="B266" t="s">
        <v>1243</v>
      </c>
      <c r="C266" s="55">
        <v>0</v>
      </c>
    </row>
    <row r="267" spans="1:3">
      <c r="A267" t="s">
        <v>523</v>
      </c>
      <c r="B267" t="s">
        <v>1244</v>
      </c>
      <c r="C267" s="55">
        <v>0</v>
      </c>
    </row>
    <row r="268" spans="1:3">
      <c r="A268" t="s">
        <v>525</v>
      </c>
      <c r="B268" t="s">
        <v>1245</v>
      </c>
      <c r="C268" s="55">
        <v>0</v>
      </c>
    </row>
    <row r="269" spans="1:3">
      <c r="A269" t="s">
        <v>527</v>
      </c>
      <c r="B269" t="s">
        <v>1246</v>
      </c>
      <c r="C269" s="55">
        <v>578707.86</v>
      </c>
    </row>
    <row r="270" spans="1:3">
      <c r="A270" t="s">
        <v>529</v>
      </c>
      <c r="B270" t="s">
        <v>1247</v>
      </c>
      <c r="C270" s="55">
        <v>0</v>
      </c>
    </row>
    <row r="271" spans="1:3">
      <c r="A271" t="s">
        <v>531</v>
      </c>
      <c r="B271" t="s">
        <v>1248</v>
      </c>
      <c r="C271" s="55">
        <v>0</v>
      </c>
    </row>
    <row r="272" spans="1:3">
      <c r="A272" t="s">
        <v>533</v>
      </c>
      <c r="B272" t="s">
        <v>1249</v>
      </c>
      <c r="C272" s="55">
        <v>219111.27000000002</v>
      </c>
    </row>
    <row r="273" spans="1:3">
      <c r="A273" t="s">
        <v>535</v>
      </c>
      <c r="B273" t="s">
        <v>1358</v>
      </c>
      <c r="C273" s="55">
        <v>0</v>
      </c>
    </row>
    <row r="274" spans="1:3">
      <c r="A274" t="s">
        <v>537</v>
      </c>
      <c r="B274" t="s">
        <v>1359</v>
      </c>
      <c r="C274" s="55">
        <v>0</v>
      </c>
    </row>
    <row r="275" spans="1:3">
      <c r="A275" t="s">
        <v>539</v>
      </c>
      <c r="B275" t="s">
        <v>1360</v>
      </c>
      <c r="C275" s="55">
        <v>0</v>
      </c>
    </row>
    <row r="276" spans="1:3">
      <c r="A276" t="s">
        <v>541</v>
      </c>
      <c r="B276" t="s">
        <v>1253</v>
      </c>
      <c r="C276" s="55">
        <v>0</v>
      </c>
    </row>
    <row r="277" spans="1:3">
      <c r="A277" t="s">
        <v>543</v>
      </c>
      <c r="B277" t="s">
        <v>1254</v>
      </c>
      <c r="C277" s="55">
        <v>3004355.03</v>
      </c>
    </row>
    <row r="278" spans="1:3">
      <c r="A278" t="s">
        <v>545</v>
      </c>
      <c r="B278" t="s">
        <v>1255</v>
      </c>
      <c r="C278" s="55">
        <v>657461.18999999994</v>
      </c>
    </row>
    <row r="279" spans="1:3">
      <c r="A279" t="s">
        <v>836</v>
      </c>
      <c r="B279" t="s">
        <v>1361</v>
      </c>
      <c r="C279" s="55">
        <v>0</v>
      </c>
    </row>
    <row r="280" spans="1:3">
      <c r="A280" t="s">
        <v>549</v>
      </c>
      <c r="B280" t="s">
        <v>1257</v>
      </c>
      <c r="C280" s="55">
        <v>3625929.92</v>
      </c>
    </row>
    <row r="281" spans="1:3">
      <c r="A281" t="s">
        <v>551</v>
      </c>
      <c r="B281" t="s">
        <v>1258</v>
      </c>
      <c r="C281" s="55">
        <v>0</v>
      </c>
    </row>
    <row r="282" spans="1:3">
      <c r="A282" t="s">
        <v>553</v>
      </c>
      <c r="B282" t="s">
        <v>1259</v>
      </c>
      <c r="C282" s="55">
        <v>2548290.88</v>
      </c>
    </row>
    <row r="283" spans="1:3">
      <c r="A283" t="s">
        <v>555</v>
      </c>
      <c r="B283" t="s">
        <v>1260</v>
      </c>
      <c r="C283" s="55">
        <v>9499.02</v>
      </c>
    </row>
    <row r="284" spans="1:3">
      <c r="A284" t="s">
        <v>557</v>
      </c>
      <c r="B284" t="s">
        <v>1261</v>
      </c>
      <c r="C284" s="55">
        <v>73890.679999999993</v>
      </c>
    </row>
    <row r="285" spans="1:3">
      <c r="A285" t="s">
        <v>559</v>
      </c>
      <c r="B285" t="s">
        <v>1262</v>
      </c>
      <c r="C285" s="55">
        <v>44266.869999999995</v>
      </c>
    </row>
    <row r="286" spans="1:3">
      <c r="A286" t="s">
        <v>561</v>
      </c>
      <c r="B286" t="s">
        <v>1263</v>
      </c>
      <c r="C286" s="55">
        <v>19773.560000000001</v>
      </c>
    </row>
    <row r="287" spans="1:3">
      <c r="A287" t="s">
        <v>563</v>
      </c>
      <c r="B287" t="s">
        <v>1264</v>
      </c>
      <c r="C287" s="55">
        <v>76755.320000000007</v>
      </c>
    </row>
    <row r="288" spans="1:3">
      <c r="A288" t="s">
        <v>565</v>
      </c>
      <c r="B288" t="s">
        <v>1265</v>
      </c>
      <c r="C288" s="55">
        <v>685177.96</v>
      </c>
    </row>
    <row r="289" spans="1:3">
      <c r="A289" t="s">
        <v>567</v>
      </c>
      <c r="B289" t="s">
        <v>1266</v>
      </c>
      <c r="C289" s="55">
        <v>0</v>
      </c>
    </row>
    <row r="290" spans="1:3">
      <c r="A290" t="s">
        <v>569</v>
      </c>
      <c r="B290" t="s">
        <v>1267</v>
      </c>
      <c r="C290" s="55">
        <v>0</v>
      </c>
    </row>
    <row r="291" spans="1:3">
      <c r="A291" t="s">
        <v>571</v>
      </c>
      <c r="B291" t="s">
        <v>1268</v>
      </c>
      <c r="C291" s="55">
        <v>0</v>
      </c>
    </row>
    <row r="292" spans="1:3">
      <c r="A292" t="s">
        <v>573</v>
      </c>
      <c r="B292" t="s">
        <v>1269</v>
      </c>
      <c r="C292" s="55">
        <v>555434.44999999995</v>
      </c>
    </row>
    <row r="293" spans="1:3">
      <c r="A293" t="s">
        <v>575</v>
      </c>
      <c r="B293" t="s">
        <v>1270</v>
      </c>
      <c r="C293" s="55">
        <v>820099.15999999992</v>
      </c>
    </row>
    <row r="294" spans="1:3">
      <c r="A294" t="s">
        <v>577</v>
      </c>
      <c r="B294" t="s">
        <v>1271</v>
      </c>
      <c r="C294" s="55">
        <v>118035.96</v>
      </c>
    </row>
    <row r="295" spans="1:3">
      <c r="A295" t="s">
        <v>579</v>
      </c>
      <c r="B295" t="s">
        <v>1272</v>
      </c>
      <c r="C295" s="55">
        <v>991287.81</v>
      </c>
    </row>
    <row r="296" spans="1:3">
      <c r="A296" t="s">
        <v>581</v>
      </c>
      <c r="B296" t="s">
        <v>1273</v>
      </c>
      <c r="C296" s="55">
        <v>0</v>
      </c>
    </row>
    <row r="297" spans="1:3">
      <c r="A297" t="s">
        <v>583</v>
      </c>
      <c r="B297" t="s">
        <v>1274</v>
      </c>
      <c r="C297" s="55">
        <v>4434631.51</v>
      </c>
    </row>
    <row r="298" spans="1:3">
      <c r="A298" t="s">
        <v>585</v>
      </c>
      <c r="B298" t="s">
        <v>1275</v>
      </c>
      <c r="C298" s="55">
        <v>206525.53000000003</v>
      </c>
    </row>
    <row r="299" spans="1:3">
      <c r="A299" t="s">
        <v>937</v>
      </c>
      <c r="B299" t="s">
        <v>1362</v>
      </c>
      <c r="C299" s="55">
        <v>0</v>
      </c>
    </row>
    <row r="300" spans="1:3">
      <c r="A300" t="s">
        <v>589</v>
      </c>
      <c r="B300" t="s">
        <v>1276</v>
      </c>
      <c r="C300" s="55">
        <v>0</v>
      </c>
    </row>
    <row r="301" spans="1:3">
      <c r="A301" t="s">
        <v>591</v>
      </c>
      <c r="B301" t="s">
        <v>1277</v>
      </c>
      <c r="C301" s="55">
        <v>182548.17</v>
      </c>
    </row>
    <row r="302" spans="1:3">
      <c r="A302" t="s">
        <v>593</v>
      </c>
      <c r="B302" t="s">
        <v>1278</v>
      </c>
      <c r="C302" s="55">
        <v>0</v>
      </c>
    </row>
    <row r="303" spans="1:3">
      <c r="A303" t="s">
        <v>595</v>
      </c>
      <c r="B303" t="s">
        <v>1279</v>
      </c>
      <c r="C303" s="55">
        <v>899181.54999999993</v>
      </c>
    </row>
    <row r="304" spans="1:3">
      <c r="A304" t="s">
        <v>597</v>
      </c>
      <c r="B304" t="s">
        <v>1280</v>
      </c>
      <c r="C304" s="55">
        <v>719.26</v>
      </c>
    </row>
    <row r="305" spans="1:3">
      <c r="A305" t="s">
        <v>599</v>
      </c>
      <c r="B305" t="s">
        <v>1281</v>
      </c>
      <c r="C305" s="55">
        <v>8385.98</v>
      </c>
    </row>
    <row r="306" spans="1:3">
      <c r="A306" t="s">
        <v>601</v>
      </c>
      <c r="B306" t="s">
        <v>1282</v>
      </c>
      <c r="C306" s="55">
        <v>434798.71</v>
      </c>
    </row>
    <row r="307" spans="1:3">
      <c r="A307" t="s">
        <v>603</v>
      </c>
      <c r="B307" t="s">
        <v>1283</v>
      </c>
      <c r="C307" s="55">
        <v>4365.1000000000004</v>
      </c>
    </row>
    <row r="308" spans="1:3">
      <c r="A308" t="s">
        <v>605</v>
      </c>
      <c r="B308" t="s">
        <v>1284</v>
      </c>
      <c r="C308" s="55">
        <v>0</v>
      </c>
    </row>
    <row r="309" spans="1:3">
      <c r="A309" t="s">
        <v>607</v>
      </c>
      <c r="B309" t="s">
        <v>1286</v>
      </c>
      <c r="C309" s="55">
        <v>0</v>
      </c>
    </row>
    <row r="310" spans="1:3">
      <c r="A310" t="s">
        <v>609</v>
      </c>
      <c r="B310" t="s">
        <v>1287</v>
      </c>
      <c r="C310" s="55">
        <v>691834.98</v>
      </c>
    </row>
    <row r="311" spans="1:3">
      <c r="A311" t="s">
        <v>611</v>
      </c>
      <c r="B311" t="s">
        <v>1363</v>
      </c>
      <c r="C311" s="55">
        <v>453742.66</v>
      </c>
    </row>
    <row r="312" spans="1:3">
      <c r="A312" t="s">
        <v>613</v>
      </c>
      <c r="B312" t="s">
        <v>1364</v>
      </c>
      <c r="C312" s="55">
        <v>172273.63</v>
      </c>
    </row>
    <row r="313" spans="1:3">
      <c r="A313" t="s">
        <v>615</v>
      </c>
      <c r="B313" t="s">
        <v>1385</v>
      </c>
      <c r="C313" s="55">
        <v>0</v>
      </c>
    </row>
    <row r="314" spans="1:3">
      <c r="A314" t="s">
        <v>617</v>
      </c>
      <c r="B314" t="s">
        <v>1291</v>
      </c>
      <c r="C314" s="55">
        <v>15235.68</v>
      </c>
    </row>
    <row r="315" spans="1:3">
      <c r="A315" t="s">
        <v>619</v>
      </c>
      <c r="B315" t="s">
        <v>1292</v>
      </c>
      <c r="C315" s="55">
        <v>1074835.6800000002</v>
      </c>
    </row>
    <row r="316" spans="1:3">
      <c r="A316" t="s">
        <v>621</v>
      </c>
      <c r="B316" t="s">
        <v>1293</v>
      </c>
      <c r="C316" s="55">
        <v>0</v>
      </c>
    </row>
    <row r="317" spans="1:3">
      <c r="A317" t="s">
        <v>623</v>
      </c>
      <c r="B317" t="s">
        <v>1386</v>
      </c>
      <c r="C317" s="55">
        <v>0</v>
      </c>
    </row>
    <row r="318" spans="1:3">
      <c r="A318" t="s">
        <v>625</v>
      </c>
      <c r="B318" t="s">
        <v>1294</v>
      </c>
      <c r="C318" s="55">
        <v>12115.33</v>
      </c>
    </row>
    <row r="319" spans="1:3">
      <c r="A319" t="s">
        <v>627</v>
      </c>
      <c r="B319" t="s">
        <v>1295</v>
      </c>
      <c r="C319" s="55">
        <v>6913.98</v>
      </c>
    </row>
    <row r="320" spans="1:3">
      <c r="A320" t="s">
        <v>227</v>
      </c>
      <c r="B320" t="s">
        <v>1365</v>
      </c>
      <c r="C320" s="55">
        <v>0</v>
      </c>
    </row>
    <row r="321" spans="1:3">
      <c r="A321" t="s">
        <v>629</v>
      </c>
      <c r="B321" t="s">
        <v>1297</v>
      </c>
      <c r="C321" s="55">
        <v>9887.4500000000007</v>
      </c>
    </row>
    <row r="322" spans="1:3">
      <c r="A322" t="s">
        <v>631</v>
      </c>
      <c r="B322" t="s">
        <v>1298</v>
      </c>
      <c r="C322" s="55">
        <v>14721.35</v>
      </c>
    </row>
    <row r="323" spans="1:3">
      <c r="A323" t="s">
        <v>633</v>
      </c>
      <c r="B323" t="s">
        <v>1299</v>
      </c>
      <c r="C323" s="55">
        <v>1524.24</v>
      </c>
    </row>
    <row r="324" spans="1:3">
      <c r="A324" t="s">
        <v>635</v>
      </c>
      <c r="B324" t="s">
        <v>1300</v>
      </c>
      <c r="C324" s="55">
        <v>0</v>
      </c>
    </row>
    <row r="325" spans="1:3">
      <c r="A325" t="s">
        <v>637</v>
      </c>
      <c r="B325" t="s">
        <v>1301</v>
      </c>
      <c r="C325" s="55">
        <v>50006.5</v>
      </c>
    </row>
    <row r="326" spans="1:3">
      <c r="A326" t="s">
        <v>639</v>
      </c>
      <c r="B326" t="s">
        <v>1302</v>
      </c>
      <c r="C326" s="55">
        <v>2343580.04</v>
      </c>
    </row>
    <row r="327" spans="1:3">
      <c r="A327" t="s">
        <v>982</v>
      </c>
      <c r="B327" t="s">
        <v>1366</v>
      </c>
      <c r="C327" s="55">
        <v>0</v>
      </c>
    </row>
    <row r="328" spans="1:3">
      <c r="A328" t="s">
        <v>641</v>
      </c>
      <c r="B328" t="s">
        <v>1305</v>
      </c>
      <c r="C328" s="55">
        <v>658187.77</v>
      </c>
    </row>
    <row r="329" spans="1:3">
      <c r="A329" t="s">
        <v>643</v>
      </c>
      <c r="B329" t="s">
        <v>1306</v>
      </c>
      <c r="C329" s="55">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E2823-7C2B-488A-8660-22ABED0B8FCF}">
  <sheetPr>
    <tabColor rgb="FF92D050"/>
  </sheetPr>
  <dimension ref="A1:E285"/>
  <sheetViews>
    <sheetView workbookViewId="0">
      <selection activeCell="I16" sqref="I16"/>
    </sheetView>
  </sheetViews>
  <sheetFormatPr defaultRowHeight="12.75"/>
  <cols>
    <col min="1" max="1" width="6.5703125" bestFit="1" customWidth="1"/>
    <col min="2" max="2" width="51.140625" bestFit="1" customWidth="1"/>
    <col min="3" max="3" width="13.85546875" bestFit="1" customWidth="1"/>
    <col min="4" max="4" width="11.140625" bestFit="1" customWidth="1"/>
    <col min="5" max="5" width="13.85546875" bestFit="1" customWidth="1"/>
  </cols>
  <sheetData>
    <row r="1" spans="1:5" ht="15">
      <c r="B1" s="113" t="s">
        <v>1432</v>
      </c>
      <c r="C1" s="114" t="s">
        <v>1434</v>
      </c>
    </row>
    <row r="3" spans="1:5">
      <c r="A3">
        <v>1</v>
      </c>
      <c r="B3">
        <v>2</v>
      </c>
      <c r="C3">
        <v>3</v>
      </c>
      <c r="D3">
        <v>4</v>
      </c>
      <c r="E3">
        <v>5</v>
      </c>
    </row>
    <row r="4" spans="1:5">
      <c r="A4" t="s">
        <v>680</v>
      </c>
      <c r="B4" t="s">
        <v>681</v>
      </c>
      <c r="C4" s="117" t="s">
        <v>1368</v>
      </c>
      <c r="D4" s="117" t="s">
        <v>1369</v>
      </c>
      <c r="E4" s="117" t="s">
        <v>670</v>
      </c>
    </row>
    <row r="5" spans="1:5">
      <c r="A5" t="s">
        <v>6</v>
      </c>
      <c r="B5" t="s">
        <v>8</v>
      </c>
      <c r="C5" s="55">
        <v>841240</v>
      </c>
      <c r="D5" s="55">
        <v>43695</v>
      </c>
      <c r="E5" s="55">
        <f>C5+D5</f>
        <v>884935</v>
      </c>
    </row>
    <row r="6" spans="1:5">
      <c r="A6" t="s">
        <v>9</v>
      </c>
      <c r="B6" t="s">
        <v>10</v>
      </c>
      <c r="C6" s="55">
        <v>126341</v>
      </c>
      <c r="D6" s="55">
        <v>7364</v>
      </c>
      <c r="E6" s="55">
        <f t="shared" ref="E6:E69" si="0">C6+D6</f>
        <v>133705</v>
      </c>
    </row>
    <row r="7" spans="1:5">
      <c r="A7" t="s">
        <v>11</v>
      </c>
      <c r="B7" t="s">
        <v>13</v>
      </c>
      <c r="C7" s="55">
        <v>23306</v>
      </c>
      <c r="D7" s="55">
        <v>603</v>
      </c>
      <c r="E7" s="55">
        <f t="shared" si="0"/>
        <v>23909</v>
      </c>
    </row>
    <row r="8" spans="1:5">
      <c r="A8" t="s">
        <v>14</v>
      </c>
      <c r="B8" t="s">
        <v>16</v>
      </c>
      <c r="C8" s="55">
        <v>565901</v>
      </c>
      <c r="D8" s="55">
        <v>16250</v>
      </c>
      <c r="E8" s="55">
        <f t="shared" si="0"/>
        <v>582151</v>
      </c>
    </row>
    <row r="9" spans="1:5">
      <c r="A9" t="s">
        <v>17</v>
      </c>
      <c r="B9" t="s">
        <v>18</v>
      </c>
      <c r="C9" s="55">
        <v>1188412</v>
      </c>
      <c r="D9" s="55">
        <v>33132</v>
      </c>
      <c r="E9" s="55">
        <f t="shared" si="0"/>
        <v>1221544</v>
      </c>
    </row>
    <row r="10" spans="1:5">
      <c r="A10" t="s">
        <v>19</v>
      </c>
      <c r="B10" t="s">
        <v>21</v>
      </c>
      <c r="C10" s="55">
        <v>153159</v>
      </c>
      <c r="D10" s="55">
        <v>4439</v>
      </c>
      <c r="E10" s="55">
        <f t="shared" si="0"/>
        <v>157598</v>
      </c>
    </row>
    <row r="11" spans="1:5">
      <c r="A11" t="s">
        <v>22</v>
      </c>
      <c r="B11" t="s">
        <v>24</v>
      </c>
      <c r="C11" s="55">
        <v>3522191</v>
      </c>
      <c r="D11" s="55">
        <v>63881</v>
      </c>
      <c r="E11" s="55">
        <f t="shared" si="0"/>
        <v>3586072</v>
      </c>
    </row>
    <row r="12" spans="1:5">
      <c r="A12" t="s">
        <v>25</v>
      </c>
      <c r="B12" t="s">
        <v>26</v>
      </c>
      <c r="C12" s="55">
        <v>740560</v>
      </c>
      <c r="D12" s="55">
        <v>28284</v>
      </c>
      <c r="E12" s="55">
        <f t="shared" si="0"/>
        <v>768844</v>
      </c>
    </row>
    <row r="13" spans="1:5">
      <c r="A13" t="s">
        <v>27</v>
      </c>
      <c r="B13" t="s">
        <v>29</v>
      </c>
      <c r="C13" s="55">
        <v>2888942</v>
      </c>
      <c r="D13" s="55">
        <v>103211</v>
      </c>
      <c r="E13" s="55">
        <f t="shared" si="0"/>
        <v>2992153</v>
      </c>
    </row>
    <row r="14" spans="1:5">
      <c r="A14" t="s">
        <v>30</v>
      </c>
      <c r="B14" t="s">
        <v>31</v>
      </c>
      <c r="C14" s="55">
        <v>4206684</v>
      </c>
      <c r="D14" s="55">
        <v>78535</v>
      </c>
      <c r="E14" s="55">
        <f t="shared" si="0"/>
        <v>4285219</v>
      </c>
    </row>
    <row r="15" spans="1:5">
      <c r="A15" t="s">
        <v>32</v>
      </c>
      <c r="B15" t="s">
        <v>33</v>
      </c>
      <c r="C15" s="55">
        <v>2525802</v>
      </c>
      <c r="D15" s="55">
        <v>66727</v>
      </c>
      <c r="E15" s="55">
        <f t="shared" si="0"/>
        <v>2592529</v>
      </c>
    </row>
    <row r="16" spans="1:5">
      <c r="A16" t="s">
        <v>34</v>
      </c>
      <c r="B16" t="s">
        <v>35</v>
      </c>
      <c r="C16" s="55">
        <v>2820</v>
      </c>
      <c r="D16" s="55">
        <v>21</v>
      </c>
      <c r="E16" s="55">
        <f t="shared" si="0"/>
        <v>2841</v>
      </c>
    </row>
    <row r="17" spans="1:5">
      <c r="A17" t="s">
        <v>36</v>
      </c>
      <c r="B17" t="s">
        <v>37</v>
      </c>
      <c r="C17" s="55">
        <v>4282418</v>
      </c>
      <c r="D17" s="55">
        <v>106806</v>
      </c>
      <c r="E17" s="55">
        <f t="shared" si="0"/>
        <v>4389224</v>
      </c>
    </row>
    <row r="18" spans="1:5">
      <c r="A18" t="s">
        <v>41</v>
      </c>
      <c r="B18" t="s">
        <v>42</v>
      </c>
      <c r="C18" s="55">
        <v>400008</v>
      </c>
      <c r="D18" s="55">
        <v>8940</v>
      </c>
      <c r="E18" s="55">
        <f t="shared" si="0"/>
        <v>408948</v>
      </c>
    </row>
    <row r="19" spans="1:5">
      <c r="A19" t="s">
        <v>43</v>
      </c>
      <c r="B19" t="s">
        <v>44</v>
      </c>
      <c r="C19" s="55">
        <v>48954</v>
      </c>
      <c r="D19" s="55">
        <v>4635</v>
      </c>
      <c r="E19" s="55">
        <f t="shared" si="0"/>
        <v>53589</v>
      </c>
    </row>
    <row r="20" spans="1:5">
      <c r="A20" t="s">
        <v>45</v>
      </c>
      <c r="B20" t="s">
        <v>47</v>
      </c>
      <c r="C20" s="55">
        <v>1088945</v>
      </c>
      <c r="D20" s="55">
        <v>43356</v>
      </c>
      <c r="E20" s="55">
        <f t="shared" si="0"/>
        <v>1132301</v>
      </c>
    </row>
    <row r="21" spans="1:5">
      <c r="A21" t="s">
        <v>48</v>
      </c>
      <c r="B21" t="s">
        <v>1312</v>
      </c>
      <c r="C21" s="55">
        <v>248150</v>
      </c>
      <c r="D21" s="55">
        <v>7367</v>
      </c>
      <c r="E21" s="55">
        <f t="shared" si="0"/>
        <v>255517</v>
      </c>
    </row>
    <row r="22" spans="1:5">
      <c r="A22" t="s">
        <v>51</v>
      </c>
      <c r="B22" t="s">
        <v>52</v>
      </c>
      <c r="C22" s="55">
        <v>178967</v>
      </c>
      <c r="D22" s="55">
        <v>6598</v>
      </c>
      <c r="E22" s="55">
        <f t="shared" si="0"/>
        <v>185565</v>
      </c>
    </row>
    <row r="23" spans="1:5">
      <c r="A23" t="s">
        <v>53</v>
      </c>
      <c r="B23" t="s">
        <v>54</v>
      </c>
      <c r="C23" s="55">
        <v>22191</v>
      </c>
      <c r="D23" s="55">
        <v>565</v>
      </c>
      <c r="E23" s="55">
        <f t="shared" si="0"/>
        <v>22756</v>
      </c>
    </row>
    <row r="24" spans="1:5">
      <c r="A24" t="s">
        <v>55</v>
      </c>
      <c r="B24" t="s">
        <v>56</v>
      </c>
      <c r="C24" s="55">
        <v>771875</v>
      </c>
      <c r="D24" s="55">
        <v>31771</v>
      </c>
      <c r="E24" s="55">
        <f t="shared" si="0"/>
        <v>803646</v>
      </c>
    </row>
    <row r="25" spans="1:5">
      <c r="A25" t="s">
        <v>57</v>
      </c>
      <c r="B25" t="s">
        <v>58</v>
      </c>
      <c r="C25" s="55">
        <v>1251697</v>
      </c>
      <c r="D25" s="55">
        <v>26615</v>
      </c>
      <c r="E25" s="55">
        <f t="shared" si="0"/>
        <v>1278312</v>
      </c>
    </row>
    <row r="26" spans="1:5">
      <c r="A26" t="s">
        <v>59</v>
      </c>
      <c r="B26" t="s">
        <v>60</v>
      </c>
      <c r="C26" s="55">
        <v>122797</v>
      </c>
      <c r="D26" s="55">
        <v>5353</v>
      </c>
      <c r="E26" s="55">
        <f t="shared" si="0"/>
        <v>128150</v>
      </c>
    </row>
    <row r="27" spans="1:5">
      <c r="A27" t="s">
        <v>61</v>
      </c>
      <c r="B27" t="s">
        <v>62</v>
      </c>
      <c r="C27" s="55">
        <v>41342</v>
      </c>
      <c r="D27" s="55">
        <v>2118</v>
      </c>
      <c r="E27" s="55">
        <f t="shared" si="0"/>
        <v>43460</v>
      </c>
    </row>
    <row r="28" spans="1:5">
      <c r="A28" t="s">
        <v>65</v>
      </c>
      <c r="B28" t="s">
        <v>66</v>
      </c>
      <c r="C28" s="55">
        <v>330500</v>
      </c>
      <c r="D28" s="55">
        <v>20510</v>
      </c>
      <c r="E28" s="55">
        <f t="shared" si="0"/>
        <v>351010</v>
      </c>
    </row>
    <row r="29" spans="1:5">
      <c r="A29" t="s">
        <v>67</v>
      </c>
      <c r="B29" t="s">
        <v>68</v>
      </c>
      <c r="C29" s="55">
        <v>305303</v>
      </c>
      <c r="D29" s="55">
        <v>10048</v>
      </c>
      <c r="E29" s="55">
        <f t="shared" si="0"/>
        <v>315351</v>
      </c>
    </row>
    <row r="30" spans="1:5">
      <c r="A30" t="s">
        <v>69</v>
      </c>
      <c r="B30" t="s">
        <v>1441</v>
      </c>
      <c r="C30" s="55">
        <v>84800</v>
      </c>
      <c r="D30" s="55">
        <v>0</v>
      </c>
      <c r="E30" s="55">
        <f t="shared" si="0"/>
        <v>84800</v>
      </c>
    </row>
    <row r="31" spans="1:5">
      <c r="A31" t="s">
        <v>73</v>
      </c>
      <c r="B31" t="s">
        <v>74</v>
      </c>
      <c r="C31" s="55">
        <v>2627458</v>
      </c>
      <c r="D31" s="55">
        <v>110509</v>
      </c>
      <c r="E31" s="55">
        <f t="shared" si="0"/>
        <v>2737967</v>
      </c>
    </row>
    <row r="32" spans="1:5">
      <c r="A32" t="s">
        <v>75</v>
      </c>
      <c r="B32" t="s">
        <v>76</v>
      </c>
      <c r="C32" s="55">
        <v>3073324</v>
      </c>
      <c r="D32" s="55">
        <v>56710</v>
      </c>
      <c r="E32" s="55">
        <f t="shared" si="0"/>
        <v>3130034</v>
      </c>
    </row>
    <row r="33" spans="1:5">
      <c r="A33" t="s">
        <v>77</v>
      </c>
      <c r="B33" t="s">
        <v>78</v>
      </c>
      <c r="C33" s="55">
        <v>834078</v>
      </c>
      <c r="D33" s="55">
        <v>39443</v>
      </c>
      <c r="E33" s="55">
        <f t="shared" si="0"/>
        <v>873521</v>
      </c>
    </row>
    <row r="34" spans="1:5">
      <c r="A34" t="s">
        <v>79</v>
      </c>
      <c r="B34" t="s">
        <v>80</v>
      </c>
      <c r="C34" s="55">
        <v>694699</v>
      </c>
      <c r="D34" s="55">
        <v>16474</v>
      </c>
      <c r="E34" s="55">
        <f t="shared" si="0"/>
        <v>711173</v>
      </c>
    </row>
    <row r="35" spans="1:5">
      <c r="A35" t="s">
        <v>81</v>
      </c>
      <c r="B35" t="s">
        <v>82</v>
      </c>
      <c r="C35" s="55">
        <v>1091315</v>
      </c>
      <c r="D35" s="55">
        <v>25217</v>
      </c>
      <c r="E35" s="55">
        <f t="shared" si="0"/>
        <v>1116532</v>
      </c>
    </row>
    <row r="36" spans="1:5">
      <c r="A36" t="s">
        <v>83</v>
      </c>
      <c r="B36" t="s">
        <v>84</v>
      </c>
      <c r="C36" s="55">
        <v>200004</v>
      </c>
      <c r="D36" s="55">
        <v>5087</v>
      </c>
      <c r="E36" s="55">
        <f t="shared" si="0"/>
        <v>205091</v>
      </c>
    </row>
    <row r="37" spans="1:5">
      <c r="A37" t="s">
        <v>85</v>
      </c>
      <c r="B37" t="s">
        <v>86</v>
      </c>
      <c r="C37" s="55">
        <v>223927</v>
      </c>
      <c r="D37" s="55">
        <v>7556</v>
      </c>
      <c r="E37" s="55">
        <f t="shared" si="0"/>
        <v>231483</v>
      </c>
    </row>
    <row r="38" spans="1:5">
      <c r="A38" t="s">
        <v>87</v>
      </c>
      <c r="B38" t="s">
        <v>88</v>
      </c>
      <c r="C38" s="55">
        <v>593298</v>
      </c>
      <c r="D38" s="55">
        <v>23242</v>
      </c>
      <c r="E38" s="55">
        <f t="shared" si="0"/>
        <v>616540</v>
      </c>
    </row>
    <row r="39" spans="1:5">
      <c r="A39" t="s">
        <v>89</v>
      </c>
      <c r="B39" t="s">
        <v>1313</v>
      </c>
      <c r="C39" s="55">
        <v>215268</v>
      </c>
      <c r="D39" s="55">
        <v>10143</v>
      </c>
      <c r="E39" s="55">
        <f t="shared" si="0"/>
        <v>225411</v>
      </c>
    </row>
    <row r="40" spans="1:5">
      <c r="A40" t="s">
        <v>91</v>
      </c>
      <c r="B40" t="s">
        <v>697</v>
      </c>
      <c r="C40" s="55">
        <v>2820041</v>
      </c>
      <c r="D40" s="55">
        <v>109128</v>
      </c>
      <c r="E40" s="55">
        <f t="shared" si="0"/>
        <v>2929169</v>
      </c>
    </row>
    <row r="41" spans="1:5">
      <c r="A41" t="s">
        <v>93</v>
      </c>
      <c r="B41" t="s">
        <v>94</v>
      </c>
      <c r="C41" s="55">
        <v>112439</v>
      </c>
      <c r="D41" s="55">
        <v>4344</v>
      </c>
      <c r="E41" s="55">
        <f t="shared" si="0"/>
        <v>116783</v>
      </c>
    </row>
    <row r="42" spans="1:5">
      <c r="A42" t="s">
        <v>95</v>
      </c>
      <c r="B42" t="s">
        <v>96</v>
      </c>
      <c r="C42" s="55">
        <v>383973</v>
      </c>
      <c r="D42" s="55">
        <v>8609</v>
      </c>
      <c r="E42" s="55">
        <f t="shared" si="0"/>
        <v>392582</v>
      </c>
    </row>
    <row r="43" spans="1:5">
      <c r="A43" t="s">
        <v>97</v>
      </c>
      <c r="B43" t="s">
        <v>98</v>
      </c>
      <c r="C43" s="55">
        <v>39513</v>
      </c>
      <c r="D43" s="55">
        <v>2122</v>
      </c>
      <c r="E43" s="55">
        <f t="shared" si="0"/>
        <v>41635</v>
      </c>
    </row>
    <row r="44" spans="1:5">
      <c r="A44" t="s">
        <v>99</v>
      </c>
      <c r="B44" t="s">
        <v>1370</v>
      </c>
      <c r="C44" s="55">
        <v>31566</v>
      </c>
      <c r="D44" s="55">
        <v>1590</v>
      </c>
      <c r="E44" s="55">
        <f t="shared" si="0"/>
        <v>33156</v>
      </c>
    </row>
    <row r="45" spans="1:5">
      <c r="A45" t="s">
        <v>101</v>
      </c>
      <c r="B45" t="s">
        <v>1371</v>
      </c>
      <c r="C45" s="55">
        <v>171188</v>
      </c>
      <c r="D45" s="55">
        <v>2122</v>
      </c>
      <c r="E45" s="55">
        <f t="shared" si="0"/>
        <v>173310</v>
      </c>
    </row>
    <row r="46" spans="1:5">
      <c r="A46" t="s">
        <v>103</v>
      </c>
      <c r="B46" t="s">
        <v>104</v>
      </c>
      <c r="C46" s="55">
        <v>447264</v>
      </c>
      <c r="D46" s="55">
        <v>13313</v>
      </c>
      <c r="E46" s="55">
        <f t="shared" si="0"/>
        <v>460577</v>
      </c>
    </row>
    <row r="47" spans="1:5">
      <c r="A47" t="s">
        <v>105</v>
      </c>
      <c r="B47" t="s">
        <v>106</v>
      </c>
      <c r="C47" s="55">
        <v>147884</v>
      </c>
      <c r="D47" s="55">
        <v>8331</v>
      </c>
      <c r="E47" s="55">
        <f t="shared" si="0"/>
        <v>156215</v>
      </c>
    </row>
    <row r="48" spans="1:5">
      <c r="A48" t="s">
        <v>107</v>
      </c>
      <c r="B48" t="s">
        <v>108</v>
      </c>
      <c r="C48" s="55">
        <v>79068</v>
      </c>
      <c r="D48" s="55">
        <v>1319</v>
      </c>
      <c r="E48" s="55">
        <f t="shared" si="0"/>
        <v>80387</v>
      </c>
    </row>
    <row r="49" spans="1:5">
      <c r="A49" t="s">
        <v>109</v>
      </c>
      <c r="B49" t="s">
        <v>110</v>
      </c>
      <c r="C49" s="55">
        <v>43484</v>
      </c>
      <c r="D49" s="55">
        <v>3100</v>
      </c>
      <c r="E49" s="55">
        <f t="shared" si="0"/>
        <v>46584</v>
      </c>
    </row>
    <row r="50" spans="1:5">
      <c r="A50" t="s">
        <v>111</v>
      </c>
      <c r="B50" t="s">
        <v>1314</v>
      </c>
      <c r="C50" s="55">
        <v>48571</v>
      </c>
      <c r="D50" s="55">
        <v>1140</v>
      </c>
      <c r="E50" s="55">
        <f t="shared" si="0"/>
        <v>49711</v>
      </c>
    </row>
    <row r="51" spans="1:5">
      <c r="A51" t="s">
        <v>113</v>
      </c>
      <c r="B51" t="s">
        <v>114</v>
      </c>
      <c r="C51" s="55">
        <v>202924</v>
      </c>
      <c r="D51" s="55">
        <v>5164</v>
      </c>
      <c r="E51" s="55">
        <f t="shared" si="0"/>
        <v>208088</v>
      </c>
    </row>
    <row r="52" spans="1:5">
      <c r="A52" t="s">
        <v>115</v>
      </c>
      <c r="B52" t="s">
        <v>116</v>
      </c>
      <c r="C52" s="55">
        <v>75668</v>
      </c>
      <c r="D52" s="55">
        <v>1304</v>
      </c>
      <c r="E52" s="55">
        <f t="shared" si="0"/>
        <v>76972</v>
      </c>
    </row>
    <row r="53" spans="1:5">
      <c r="A53" t="s">
        <v>117</v>
      </c>
      <c r="B53" t="s">
        <v>118</v>
      </c>
      <c r="C53" s="55">
        <v>16869</v>
      </c>
      <c r="D53" s="55">
        <v>1054</v>
      </c>
      <c r="E53" s="55">
        <f t="shared" si="0"/>
        <v>17923</v>
      </c>
    </row>
    <row r="54" spans="1:5">
      <c r="A54" t="s">
        <v>119</v>
      </c>
      <c r="B54" t="s">
        <v>120</v>
      </c>
      <c r="C54" s="55">
        <v>58627</v>
      </c>
      <c r="D54" s="55">
        <v>1227</v>
      </c>
      <c r="E54" s="55">
        <f t="shared" si="0"/>
        <v>59854</v>
      </c>
    </row>
    <row r="55" spans="1:5">
      <c r="A55" t="s">
        <v>121</v>
      </c>
      <c r="B55" t="s">
        <v>122</v>
      </c>
      <c r="C55" s="55">
        <v>86194</v>
      </c>
      <c r="D55" s="55">
        <v>1816</v>
      </c>
      <c r="E55" s="55">
        <f t="shared" si="0"/>
        <v>88010</v>
      </c>
    </row>
    <row r="56" spans="1:5">
      <c r="A56" t="s">
        <v>123</v>
      </c>
      <c r="B56" t="s">
        <v>124</v>
      </c>
      <c r="C56" s="55">
        <v>6626</v>
      </c>
      <c r="D56" s="55">
        <v>536</v>
      </c>
      <c r="E56" s="55">
        <f t="shared" si="0"/>
        <v>7162</v>
      </c>
    </row>
    <row r="57" spans="1:5">
      <c r="A57" t="s">
        <v>125</v>
      </c>
      <c r="B57" t="s">
        <v>126</v>
      </c>
      <c r="C57" s="55">
        <v>108240</v>
      </c>
      <c r="D57" s="55">
        <v>3825</v>
      </c>
      <c r="E57" s="55">
        <f t="shared" si="0"/>
        <v>112065</v>
      </c>
    </row>
    <row r="58" spans="1:5">
      <c r="A58" t="s">
        <v>127</v>
      </c>
      <c r="B58" t="s">
        <v>128</v>
      </c>
      <c r="C58" s="55">
        <v>127423</v>
      </c>
      <c r="D58" s="55">
        <v>3017</v>
      </c>
      <c r="E58" s="55">
        <f t="shared" si="0"/>
        <v>130440</v>
      </c>
    </row>
    <row r="59" spans="1:5">
      <c r="A59" t="s">
        <v>131</v>
      </c>
      <c r="B59" t="s">
        <v>132</v>
      </c>
      <c r="C59" s="55">
        <v>573166</v>
      </c>
      <c r="D59" s="55">
        <v>22868</v>
      </c>
      <c r="E59" s="55">
        <f t="shared" si="0"/>
        <v>596034</v>
      </c>
    </row>
    <row r="60" spans="1:5">
      <c r="A60" t="s">
        <v>133</v>
      </c>
      <c r="B60" t="s">
        <v>134</v>
      </c>
      <c r="C60" s="55">
        <v>244521</v>
      </c>
      <c r="D60" s="55">
        <v>5981</v>
      </c>
      <c r="E60" s="55">
        <f t="shared" si="0"/>
        <v>250502</v>
      </c>
    </row>
    <row r="61" spans="1:5">
      <c r="A61" t="s">
        <v>137</v>
      </c>
      <c r="B61" t="s">
        <v>1387</v>
      </c>
      <c r="C61" s="55">
        <v>836523</v>
      </c>
      <c r="D61" s="55">
        <v>22611</v>
      </c>
      <c r="E61" s="55">
        <f t="shared" si="0"/>
        <v>859134</v>
      </c>
    </row>
    <row r="62" spans="1:5">
      <c r="A62" t="s">
        <v>139</v>
      </c>
      <c r="B62" t="s">
        <v>1388</v>
      </c>
      <c r="C62" s="55">
        <v>725050</v>
      </c>
      <c r="D62" s="55">
        <v>16367</v>
      </c>
      <c r="E62" s="55">
        <f t="shared" si="0"/>
        <v>741417</v>
      </c>
    </row>
    <row r="63" spans="1:5">
      <c r="A63" t="s">
        <v>141</v>
      </c>
      <c r="B63" t="s">
        <v>142</v>
      </c>
      <c r="C63" s="55">
        <v>1243776</v>
      </c>
      <c r="D63" s="55">
        <v>29950</v>
      </c>
      <c r="E63" s="55">
        <f t="shared" si="0"/>
        <v>1273726</v>
      </c>
    </row>
    <row r="64" spans="1:5">
      <c r="A64" t="s">
        <v>143</v>
      </c>
      <c r="B64" t="s">
        <v>144</v>
      </c>
      <c r="C64" s="55">
        <v>21200</v>
      </c>
      <c r="D64" s="55">
        <v>579</v>
      </c>
      <c r="E64" s="55">
        <f t="shared" si="0"/>
        <v>21779</v>
      </c>
    </row>
    <row r="65" spans="1:5">
      <c r="A65" t="s">
        <v>145</v>
      </c>
      <c r="B65" t="s">
        <v>146</v>
      </c>
      <c r="C65" s="55">
        <v>418291</v>
      </c>
      <c r="D65" s="55">
        <v>12920</v>
      </c>
      <c r="E65" s="55">
        <f t="shared" si="0"/>
        <v>431211</v>
      </c>
    </row>
    <row r="66" spans="1:5">
      <c r="A66" t="s">
        <v>147</v>
      </c>
      <c r="B66" t="s">
        <v>148</v>
      </c>
      <c r="C66" s="55">
        <v>4549084</v>
      </c>
      <c r="D66" s="55">
        <v>135179</v>
      </c>
      <c r="E66" s="55">
        <f t="shared" si="0"/>
        <v>4684263</v>
      </c>
    </row>
    <row r="67" spans="1:5">
      <c r="A67" t="s">
        <v>149</v>
      </c>
      <c r="B67" t="s">
        <v>150</v>
      </c>
      <c r="C67" s="55">
        <v>713423</v>
      </c>
      <c r="D67" s="55">
        <v>23983</v>
      </c>
      <c r="E67" s="55">
        <f t="shared" si="0"/>
        <v>737406</v>
      </c>
    </row>
    <row r="68" spans="1:5">
      <c r="A68" t="s">
        <v>151</v>
      </c>
      <c r="B68" t="s">
        <v>152</v>
      </c>
      <c r="C68" s="55">
        <v>427626</v>
      </c>
      <c r="D68" s="55">
        <v>20594</v>
      </c>
      <c r="E68" s="55">
        <f t="shared" si="0"/>
        <v>448220</v>
      </c>
    </row>
    <row r="69" spans="1:5">
      <c r="A69" t="s">
        <v>153</v>
      </c>
      <c r="B69" t="s">
        <v>154</v>
      </c>
      <c r="C69" s="55">
        <v>18487</v>
      </c>
      <c r="D69" s="55">
        <v>573</v>
      </c>
      <c r="E69" s="55">
        <f t="shared" si="0"/>
        <v>19060</v>
      </c>
    </row>
    <row r="70" spans="1:5">
      <c r="A70" t="s">
        <v>157</v>
      </c>
      <c r="B70" t="s">
        <v>158</v>
      </c>
      <c r="C70" s="55">
        <v>996804</v>
      </c>
      <c r="D70" s="55">
        <v>31468</v>
      </c>
      <c r="E70" s="55">
        <f t="shared" ref="E70:E133" si="1">C70+D70</f>
        <v>1028272</v>
      </c>
    </row>
    <row r="71" spans="1:5">
      <c r="A71" t="s">
        <v>159</v>
      </c>
      <c r="B71" t="s">
        <v>160</v>
      </c>
      <c r="C71" s="55">
        <v>607578</v>
      </c>
      <c r="D71" s="55">
        <v>17755</v>
      </c>
      <c r="E71" s="55">
        <f t="shared" si="1"/>
        <v>625333</v>
      </c>
    </row>
    <row r="72" spans="1:5">
      <c r="A72" t="s">
        <v>1309</v>
      </c>
      <c r="B72" t="s">
        <v>162</v>
      </c>
      <c r="C72" s="55">
        <v>3396133</v>
      </c>
      <c r="D72" s="55">
        <v>122164</v>
      </c>
      <c r="E72" s="55">
        <f t="shared" si="1"/>
        <v>3518297</v>
      </c>
    </row>
    <row r="73" spans="1:5">
      <c r="A73" t="s">
        <v>163</v>
      </c>
      <c r="B73" t="s">
        <v>164</v>
      </c>
      <c r="C73" s="55">
        <v>9946</v>
      </c>
      <c r="D73" s="55">
        <v>548</v>
      </c>
      <c r="E73" s="55">
        <f t="shared" si="1"/>
        <v>10494</v>
      </c>
    </row>
    <row r="74" spans="1:5">
      <c r="A74" t="s">
        <v>165</v>
      </c>
      <c r="B74" t="s">
        <v>166</v>
      </c>
      <c r="C74" s="55">
        <v>4445304</v>
      </c>
      <c r="D74" s="55">
        <v>148156</v>
      </c>
      <c r="E74" s="55">
        <f t="shared" si="1"/>
        <v>4593460</v>
      </c>
    </row>
    <row r="75" spans="1:5">
      <c r="A75" t="s">
        <v>167</v>
      </c>
      <c r="B75" t="s">
        <v>1389</v>
      </c>
      <c r="C75" s="55">
        <v>4476889</v>
      </c>
      <c r="D75" s="55">
        <v>101999</v>
      </c>
      <c r="E75" s="55">
        <f t="shared" si="1"/>
        <v>4578888</v>
      </c>
    </row>
    <row r="76" spans="1:5">
      <c r="A76" t="s">
        <v>169</v>
      </c>
      <c r="B76" t="s">
        <v>1390</v>
      </c>
      <c r="C76" s="55">
        <v>10559</v>
      </c>
      <c r="D76" s="55">
        <v>537</v>
      </c>
      <c r="E76" s="55">
        <f t="shared" si="1"/>
        <v>11096</v>
      </c>
    </row>
    <row r="77" spans="1:5">
      <c r="A77" t="s">
        <v>171</v>
      </c>
      <c r="B77" t="s">
        <v>172</v>
      </c>
      <c r="C77" s="55">
        <v>4980892</v>
      </c>
      <c r="D77" s="55">
        <v>127623</v>
      </c>
      <c r="E77" s="55">
        <f t="shared" si="1"/>
        <v>5108515</v>
      </c>
    </row>
    <row r="78" spans="1:5">
      <c r="A78" t="s">
        <v>173</v>
      </c>
      <c r="B78" t="s">
        <v>174</v>
      </c>
      <c r="C78" s="55">
        <v>1074955</v>
      </c>
      <c r="D78" s="55">
        <v>32947</v>
      </c>
      <c r="E78" s="55">
        <f t="shared" si="1"/>
        <v>1107902</v>
      </c>
    </row>
    <row r="79" spans="1:5">
      <c r="A79" t="s">
        <v>175</v>
      </c>
      <c r="B79" t="s">
        <v>176</v>
      </c>
      <c r="C79" s="55">
        <v>817661</v>
      </c>
      <c r="D79" s="55">
        <v>35733</v>
      </c>
      <c r="E79" s="55">
        <f t="shared" si="1"/>
        <v>853394</v>
      </c>
    </row>
    <row r="80" spans="1:5">
      <c r="A80" t="s">
        <v>177</v>
      </c>
      <c r="B80" t="s">
        <v>178</v>
      </c>
      <c r="C80" s="55">
        <v>236889</v>
      </c>
      <c r="D80" s="55">
        <v>8643</v>
      </c>
      <c r="E80" s="55">
        <f t="shared" si="1"/>
        <v>245532</v>
      </c>
    </row>
    <row r="81" spans="1:5">
      <c r="A81" t="s">
        <v>179</v>
      </c>
      <c r="B81" t="s">
        <v>180</v>
      </c>
      <c r="C81" s="55">
        <v>1605314</v>
      </c>
      <c r="D81" s="55">
        <v>51369</v>
      </c>
      <c r="E81" s="55">
        <f t="shared" si="1"/>
        <v>1656683</v>
      </c>
    </row>
    <row r="82" spans="1:5">
      <c r="A82" t="s">
        <v>181</v>
      </c>
      <c r="B82" t="s">
        <v>182</v>
      </c>
      <c r="C82" s="55">
        <v>153194</v>
      </c>
      <c r="D82" s="55">
        <v>2613</v>
      </c>
      <c r="E82" s="55">
        <f t="shared" si="1"/>
        <v>155807</v>
      </c>
    </row>
    <row r="83" spans="1:5">
      <c r="A83" t="s">
        <v>183</v>
      </c>
      <c r="B83" t="s">
        <v>184</v>
      </c>
      <c r="C83" s="55">
        <v>35051</v>
      </c>
      <c r="D83" s="55">
        <v>1592</v>
      </c>
      <c r="E83" s="55">
        <f t="shared" si="1"/>
        <v>36643</v>
      </c>
    </row>
    <row r="84" spans="1:5">
      <c r="A84" t="s">
        <v>189</v>
      </c>
      <c r="B84" t="s">
        <v>190</v>
      </c>
      <c r="C84" s="55">
        <v>177671</v>
      </c>
      <c r="D84" s="55">
        <v>6494</v>
      </c>
      <c r="E84" s="55">
        <f t="shared" si="1"/>
        <v>184165</v>
      </c>
    </row>
    <row r="85" spans="1:5">
      <c r="A85" t="s">
        <v>191</v>
      </c>
      <c r="B85" t="s">
        <v>192</v>
      </c>
      <c r="C85" s="55">
        <v>776082</v>
      </c>
      <c r="D85" s="55">
        <v>29731</v>
      </c>
      <c r="E85" s="55">
        <f t="shared" si="1"/>
        <v>805813</v>
      </c>
    </row>
    <row r="86" spans="1:5">
      <c r="A86" t="s">
        <v>193</v>
      </c>
      <c r="B86" t="s">
        <v>194</v>
      </c>
      <c r="C86" s="55">
        <v>323724</v>
      </c>
      <c r="D86" s="55">
        <v>11633</v>
      </c>
      <c r="E86" s="55">
        <f t="shared" si="1"/>
        <v>335357</v>
      </c>
    </row>
    <row r="87" spans="1:5">
      <c r="A87" t="s">
        <v>195</v>
      </c>
      <c r="B87" t="s">
        <v>196</v>
      </c>
      <c r="C87" s="55">
        <v>464791</v>
      </c>
      <c r="D87" s="55">
        <v>9715</v>
      </c>
      <c r="E87" s="55">
        <f t="shared" si="1"/>
        <v>474506</v>
      </c>
    </row>
    <row r="88" spans="1:5">
      <c r="A88" t="s">
        <v>197</v>
      </c>
      <c r="B88" t="s">
        <v>198</v>
      </c>
      <c r="C88" s="55">
        <v>43412</v>
      </c>
      <c r="D88" s="55">
        <v>680</v>
      </c>
      <c r="E88" s="55">
        <f t="shared" si="1"/>
        <v>44092</v>
      </c>
    </row>
    <row r="89" spans="1:5">
      <c r="A89" t="s">
        <v>199</v>
      </c>
      <c r="B89" t="s">
        <v>200</v>
      </c>
      <c r="C89" s="55">
        <v>9537</v>
      </c>
      <c r="D89" s="55">
        <v>540</v>
      </c>
      <c r="E89" s="55">
        <f t="shared" si="1"/>
        <v>10077</v>
      </c>
    </row>
    <row r="90" spans="1:5">
      <c r="A90" t="s">
        <v>203</v>
      </c>
      <c r="B90" t="s">
        <v>204</v>
      </c>
      <c r="C90" s="55">
        <v>106112</v>
      </c>
      <c r="D90" s="55">
        <v>3394</v>
      </c>
      <c r="E90" s="55">
        <f t="shared" si="1"/>
        <v>109506</v>
      </c>
    </row>
    <row r="91" spans="1:5">
      <c r="A91" t="s">
        <v>205</v>
      </c>
      <c r="B91" t="s">
        <v>206</v>
      </c>
      <c r="C91" s="55">
        <v>26753</v>
      </c>
      <c r="D91" s="55">
        <v>605</v>
      </c>
      <c r="E91" s="55">
        <f t="shared" si="1"/>
        <v>27358</v>
      </c>
    </row>
    <row r="92" spans="1:5">
      <c r="A92" t="s">
        <v>207</v>
      </c>
      <c r="B92" t="s">
        <v>208</v>
      </c>
      <c r="C92" s="55">
        <v>251105</v>
      </c>
      <c r="D92" s="55">
        <v>13706</v>
      </c>
      <c r="E92" s="55">
        <f t="shared" si="1"/>
        <v>264811</v>
      </c>
    </row>
    <row r="93" spans="1:5">
      <c r="A93" t="s">
        <v>209</v>
      </c>
      <c r="B93" t="s">
        <v>210</v>
      </c>
      <c r="C93" s="55">
        <v>4330930</v>
      </c>
      <c r="D93" s="55">
        <v>98518</v>
      </c>
      <c r="E93" s="55">
        <f t="shared" si="1"/>
        <v>4429448</v>
      </c>
    </row>
    <row r="94" spans="1:5">
      <c r="A94" t="s">
        <v>211</v>
      </c>
      <c r="B94" t="s">
        <v>212</v>
      </c>
      <c r="C94" s="55">
        <v>359455</v>
      </c>
      <c r="D94" s="55">
        <v>9897</v>
      </c>
      <c r="E94" s="55">
        <f t="shared" si="1"/>
        <v>369352</v>
      </c>
    </row>
    <row r="95" spans="1:5">
      <c r="A95" t="s">
        <v>213</v>
      </c>
      <c r="B95" t="s">
        <v>214</v>
      </c>
      <c r="C95" s="55">
        <v>80085</v>
      </c>
      <c r="D95" s="55">
        <v>6205</v>
      </c>
      <c r="E95" s="55">
        <f t="shared" si="1"/>
        <v>86290</v>
      </c>
    </row>
    <row r="96" spans="1:5">
      <c r="A96" t="s">
        <v>215</v>
      </c>
      <c r="B96" t="s">
        <v>216</v>
      </c>
      <c r="C96" s="55">
        <v>423613</v>
      </c>
      <c r="D96" s="55">
        <v>17128</v>
      </c>
      <c r="E96" s="55">
        <f t="shared" si="1"/>
        <v>440741</v>
      </c>
    </row>
    <row r="97" spans="1:5">
      <c r="A97" t="s">
        <v>829</v>
      </c>
      <c r="B97" t="s">
        <v>1442</v>
      </c>
      <c r="C97" s="55">
        <v>39383</v>
      </c>
      <c r="D97" s="55">
        <v>187</v>
      </c>
      <c r="E97" s="55">
        <f t="shared" si="1"/>
        <v>39570</v>
      </c>
    </row>
    <row r="98" spans="1:5">
      <c r="A98" t="s">
        <v>217</v>
      </c>
      <c r="B98" t="s">
        <v>1443</v>
      </c>
      <c r="C98" s="55">
        <v>45137</v>
      </c>
      <c r="D98" s="55">
        <v>619</v>
      </c>
      <c r="E98" s="55">
        <f t="shared" si="1"/>
        <v>45756</v>
      </c>
    </row>
    <row r="99" spans="1:5">
      <c r="A99" t="s">
        <v>219</v>
      </c>
      <c r="B99" t="s">
        <v>1444</v>
      </c>
      <c r="C99" s="55">
        <v>92155</v>
      </c>
      <c r="D99" s="55">
        <v>1189</v>
      </c>
      <c r="E99" s="55">
        <f t="shared" si="1"/>
        <v>93344</v>
      </c>
    </row>
    <row r="100" spans="1:5">
      <c r="A100" t="s">
        <v>221</v>
      </c>
      <c r="B100" t="s">
        <v>1445</v>
      </c>
      <c r="C100" s="55">
        <v>64251</v>
      </c>
      <c r="D100" s="55">
        <v>616</v>
      </c>
      <c r="E100" s="55">
        <f t="shared" si="1"/>
        <v>64867</v>
      </c>
    </row>
    <row r="101" spans="1:5">
      <c r="A101" t="s">
        <v>223</v>
      </c>
      <c r="B101" t="s">
        <v>224</v>
      </c>
      <c r="C101" s="55">
        <v>54735</v>
      </c>
      <c r="D101" s="55">
        <v>1158</v>
      </c>
      <c r="E101" s="55">
        <f t="shared" si="1"/>
        <v>55893</v>
      </c>
    </row>
    <row r="102" spans="1:5">
      <c r="A102" t="s">
        <v>229</v>
      </c>
      <c r="B102" t="s">
        <v>230</v>
      </c>
      <c r="C102" s="55">
        <v>3598215</v>
      </c>
      <c r="D102" s="55">
        <v>79744</v>
      </c>
      <c r="E102" s="55">
        <f t="shared" si="1"/>
        <v>3677959</v>
      </c>
    </row>
    <row r="103" spans="1:5">
      <c r="A103" t="s">
        <v>235</v>
      </c>
      <c r="B103" t="s">
        <v>236</v>
      </c>
      <c r="C103" s="55">
        <v>10835</v>
      </c>
      <c r="D103" s="55">
        <v>1031</v>
      </c>
      <c r="E103" s="55">
        <f t="shared" si="1"/>
        <v>11866</v>
      </c>
    </row>
    <row r="104" spans="1:5">
      <c r="A104" t="s">
        <v>237</v>
      </c>
      <c r="B104" t="s">
        <v>238</v>
      </c>
      <c r="C104" s="55">
        <v>1135710</v>
      </c>
      <c r="D104" s="55">
        <v>27847</v>
      </c>
      <c r="E104" s="55">
        <f t="shared" si="1"/>
        <v>1163557</v>
      </c>
    </row>
    <row r="105" spans="1:5">
      <c r="A105" t="s">
        <v>239</v>
      </c>
      <c r="B105" t="s">
        <v>240</v>
      </c>
      <c r="C105" s="55">
        <v>3838253</v>
      </c>
      <c r="D105" s="55">
        <v>69608</v>
      </c>
      <c r="E105" s="55">
        <f t="shared" si="1"/>
        <v>3907861</v>
      </c>
    </row>
    <row r="106" spans="1:5">
      <c r="A106" t="s">
        <v>241</v>
      </c>
      <c r="B106" t="s">
        <v>242</v>
      </c>
      <c r="C106" s="55">
        <v>5449516</v>
      </c>
      <c r="D106" s="55">
        <v>135304</v>
      </c>
      <c r="E106" s="55">
        <f t="shared" si="1"/>
        <v>5584820</v>
      </c>
    </row>
    <row r="107" spans="1:5">
      <c r="A107" t="s">
        <v>243</v>
      </c>
      <c r="B107" t="s">
        <v>244</v>
      </c>
      <c r="C107" s="55">
        <v>220621</v>
      </c>
      <c r="D107" s="55">
        <v>6310</v>
      </c>
      <c r="E107" s="55">
        <f t="shared" si="1"/>
        <v>226931</v>
      </c>
    </row>
    <row r="108" spans="1:5">
      <c r="A108" t="s">
        <v>245</v>
      </c>
      <c r="B108" t="s">
        <v>1318</v>
      </c>
      <c r="C108" s="55">
        <v>298481</v>
      </c>
      <c r="D108" s="55">
        <v>20217</v>
      </c>
      <c r="E108" s="55">
        <f t="shared" si="1"/>
        <v>318698</v>
      </c>
    </row>
    <row r="109" spans="1:5">
      <c r="A109" t="s">
        <v>247</v>
      </c>
      <c r="B109" t="s">
        <v>248</v>
      </c>
      <c r="C109" s="55">
        <v>120991</v>
      </c>
      <c r="D109" s="55">
        <v>2928</v>
      </c>
      <c r="E109" s="55">
        <f t="shared" si="1"/>
        <v>123919</v>
      </c>
    </row>
    <row r="110" spans="1:5">
      <c r="A110" t="s">
        <v>251</v>
      </c>
      <c r="B110" t="s">
        <v>252</v>
      </c>
      <c r="C110" s="55">
        <v>328373</v>
      </c>
      <c r="D110" s="55">
        <v>6775</v>
      </c>
      <c r="E110" s="55">
        <f t="shared" si="1"/>
        <v>335148</v>
      </c>
    </row>
    <row r="111" spans="1:5">
      <c r="A111" t="s">
        <v>253</v>
      </c>
      <c r="B111" t="s">
        <v>254</v>
      </c>
      <c r="C111" s="55">
        <v>125225</v>
      </c>
      <c r="D111" s="55">
        <v>6320</v>
      </c>
      <c r="E111" s="55">
        <f t="shared" si="1"/>
        <v>131545</v>
      </c>
    </row>
    <row r="112" spans="1:5">
      <c r="A112" t="s">
        <v>255</v>
      </c>
      <c r="B112" t="s">
        <v>1372</v>
      </c>
      <c r="C112" s="55">
        <v>18279</v>
      </c>
      <c r="D112" s="55">
        <v>1053</v>
      </c>
      <c r="E112" s="55">
        <f t="shared" si="1"/>
        <v>19332</v>
      </c>
    </row>
    <row r="113" spans="1:5">
      <c r="A113" t="s">
        <v>257</v>
      </c>
      <c r="B113" t="s">
        <v>258</v>
      </c>
      <c r="C113" s="55">
        <v>288341</v>
      </c>
      <c r="D113" s="55">
        <v>11434</v>
      </c>
      <c r="E113" s="55">
        <f t="shared" si="1"/>
        <v>299775</v>
      </c>
    </row>
    <row r="114" spans="1:5">
      <c r="A114" t="s">
        <v>261</v>
      </c>
      <c r="B114" t="s">
        <v>262</v>
      </c>
      <c r="C114" s="55">
        <v>1794281</v>
      </c>
      <c r="D114" s="55">
        <v>50993</v>
      </c>
      <c r="E114" s="55">
        <f t="shared" si="1"/>
        <v>1845274</v>
      </c>
    </row>
    <row r="115" spans="1:5">
      <c r="A115" t="s">
        <v>263</v>
      </c>
      <c r="B115" t="s">
        <v>264</v>
      </c>
      <c r="C115" s="55">
        <v>5818342</v>
      </c>
      <c r="D115" s="55">
        <v>106385</v>
      </c>
      <c r="E115" s="55">
        <f t="shared" si="1"/>
        <v>5924727</v>
      </c>
    </row>
    <row r="116" spans="1:5">
      <c r="A116" t="s">
        <v>265</v>
      </c>
      <c r="B116" t="s">
        <v>266</v>
      </c>
      <c r="C116" s="55">
        <v>552534</v>
      </c>
      <c r="D116" s="55">
        <v>9534</v>
      </c>
      <c r="E116" s="55">
        <f t="shared" si="1"/>
        <v>562068</v>
      </c>
    </row>
    <row r="117" spans="1:5">
      <c r="A117" t="s">
        <v>267</v>
      </c>
      <c r="B117" t="s">
        <v>268</v>
      </c>
      <c r="C117" s="55">
        <v>5473</v>
      </c>
      <c r="D117" s="55">
        <v>0</v>
      </c>
      <c r="E117" s="55">
        <f t="shared" si="1"/>
        <v>5473</v>
      </c>
    </row>
    <row r="118" spans="1:5">
      <c r="A118" t="s">
        <v>269</v>
      </c>
      <c r="B118" t="s">
        <v>270</v>
      </c>
      <c r="C118" s="55">
        <v>161681</v>
      </c>
      <c r="D118" s="55">
        <v>4607</v>
      </c>
      <c r="E118" s="55">
        <f t="shared" si="1"/>
        <v>166288</v>
      </c>
    </row>
    <row r="119" spans="1:5">
      <c r="A119" t="s">
        <v>271</v>
      </c>
      <c r="B119" t="s">
        <v>272</v>
      </c>
      <c r="C119" s="55">
        <v>46735</v>
      </c>
      <c r="D119" s="55">
        <v>3136</v>
      </c>
      <c r="E119" s="55">
        <f t="shared" si="1"/>
        <v>49871</v>
      </c>
    </row>
    <row r="120" spans="1:5">
      <c r="A120" t="s">
        <v>273</v>
      </c>
      <c r="B120" t="s">
        <v>274</v>
      </c>
      <c r="C120" s="55">
        <v>1618471</v>
      </c>
      <c r="D120" s="55">
        <v>73583</v>
      </c>
      <c r="E120" s="55">
        <f t="shared" si="1"/>
        <v>1692054</v>
      </c>
    </row>
    <row r="121" spans="1:5">
      <c r="A121" t="s">
        <v>275</v>
      </c>
      <c r="B121" t="s">
        <v>276</v>
      </c>
      <c r="C121" s="55">
        <v>63591</v>
      </c>
      <c r="D121" s="55">
        <v>3680</v>
      </c>
      <c r="E121" s="55">
        <f t="shared" si="1"/>
        <v>67271</v>
      </c>
    </row>
    <row r="122" spans="1:5">
      <c r="A122" t="s">
        <v>277</v>
      </c>
      <c r="B122" t="s">
        <v>1319</v>
      </c>
      <c r="C122" s="55">
        <v>58863</v>
      </c>
      <c r="D122" s="55">
        <v>1166</v>
      </c>
      <c r="E122" s="55">
        <f t="shared" si="1"/>
        <v>60029</v>
      </c>
    </row>
    <row r="123" spans="1:5">
      <c r="A123" t="s">
        <v>279</v>
      </c>
      <c r="B123" t="s">
        <v>918</v>
      </c>
      <c r="C123" s="55">
        <v>8587</v>
      </c>
      <c r="D123" s="55">
        <v>0</v>
      </c>
      <c r="E123" s="55">
        <f t="shared" si="1"/>
        <v>8587</v>
      </c>
    </row>
    <row r="124" spans="1:5">
      <c r="A124" t="s">
        <v>283</v>
      </c>
      <c r="B124" t="s">
        <v>284</v>
      </c>
      <c r="C124" s="55">
        <v>906739</v>
      </c>
      <c r="D124" s="55">
        <v>21194</v>
      </c>
      <c r="E124" s="55">
        <f t="shared" si="1"/>
        <v>927933</v>
      </c>
    </row>
    <row r="125" spans="1:5">
      <c r="A125" t="s">
        <v>291</v>
      </c>
      <c r="B125" t="s">
        <v>292</v>
      </c>
      <c r="C125" s="55">
        <v>125752</v>
      </c>
      <c r="D125" s="55">
        <v>2568</v>
      </c>
      <c r="E125" s="55">
        <f t="shared" si="1"/>
        <v>128320</v>
      </c>
    </row>
    <row r="126" spans="1:5">
      <c r="A126" t="s">
        <v>293</v>
      </c>
      <c r="B126" t="s">
        <v>294</v>
      </c>
      <c r="C126" s="55">
        <v>147076</v>
      </c>
      <c r="D126" s="55">
        <v>8361</v>
      </c>
      <c r="E126" s="55">
        <f t="shared" si="1"/>
        <v>155437</v>
      </c>
    </row>
    <row r="127" spans="1:5">
      <c r="A127" t="s">
        <v>295</v>
      </c>
      <c r="B127" t="s">
        <v>296</v>
      </c>
      <c r="C127" s="55">
        <v>2308016</v>
      </c>
      <c r="D127" s="55">
        <v>70393</v>
      </c>
      <c r="E127" s="55">
        <f t="shared" si="1"/>
        <v>2378409</v>
      </c>
    </row>
    <row r="128" spans="1:5">
      <c r="A128" t="s">
        <v>297</v>
      </c>
      <c r="B128" t="s">
        <v>1320</v>
      </c>
      <c r="C128" s="55">
        <v>65276</v>
      </c>
      <c r="D128" s="55">
        <v>3710</v>
      </c>
      <c r="E128" s="55">
        <f t="shared" si="1"/>
        <v>68986</v>
      </c>
    </row>
    <row r="129" spans="1:5">
      <c r="A129" t="s">
        <v>299</v>
      </c>
      <c r="B129" t="s">
        <v>300</v>
      </c>
      <c r="C129" s="55">
        <v>2117909</v>
      </c>
      <c r="D129" s="55">
        <v>34124</v>
      </c>
      <c r="E129" s="55">
        <f t="shared" si="1"/>
        <v>2152033</v>
      </c>
    </row>
    <row r="130" spans="1:5">
      <c r="A130" t="s">
        <v>301</v>
      </c>
      <c r="B130" t="s">
        <v>302</v>
      </c>
      <c r="C130" s="55">
        <v>411616</v>
      </c>
      <c r="D130" s="55">
        <v>22090</v>
      </c>
      <c r="E130" s="55">
        <f t="shared" si="1"/>
        <v>433706</v>
      </c>
    </row>
    <row r="131" spans="1:5">
      <c r="A131" t="s">
        <v>303</v>
      </c>
      <c r="B131" t="s">
        <v>304</v>
      </c>
      <c r="C131" s="55">
        <v>784398</v>
      </c>
      <c r="D131" s="55">
        <v>8591</v>
      </c>
      <c r="E131" s="55">
        <f t="shared" si="1"/>
        <v>792989</v>
      </c>
    </row>
    <row r="132" spans="1:5">
      <c r="A132" t="s">
        <v>305</v>
      </c>
      <c r="B132" t="s">
        <v>306</v>
      </c>
      <c r="C132" s="55">
        <v>369895</v>
      </c>
      <c r="D132" s="55">
        <v>10830</v>
      </c>
      <c r="E132" s="55">
        <f t="shared" si="1"/>
        <v>380725</v>
      </c>
    </row>
    <row r="133" spans="1:5">
      <c r="A133" t="s">
        <v>311</v>
      </c>
      <c r="B133" t="s">
        <v>312</v>
      </c>
      <c r="C133" s="55">
        <v>1182975</v>
      </c>
      <c r="D133" s="55">
        <v>29772</v>
      </c>
      <c r="E133" s="55">
        <f t="shared" si="1"/>
        <v>1212747</v>
      </c>
    </row>
    <row r="134" spans="1:5">
      <c r="A134" t="s">
        <v>313</v>
      </c>
      <c r="B134" t="s">
        <v>314</v>
      </c>
      <c r="C134" s="55">
        <v>318128</v>
      </c>
      <c r="D134" s="55">
        <v>4584</v>
      </c>
      <c r="E134" s="55">
        <f t="shared" ref="E134:E197" si="2">C134+D134</f>
        <v>322712</v>
      </c>
    </row>
    <row r="135" spans="1:5">
      <c r="A135" t="s">
        <v>315</v>
      </c>
      <c r="B135" t="s">
        <v>316</v>
      </c>
      <c r="C135" s="55">
        <v>116239</v>
      </c>
      <c r="D135" s="55">
        <v>7766</v>
      </c>
      <c r="E135" s="55">
        <f t="shared" si="2"/>
        <v>124005</v>
      </c>
    </row>
    <row r="136" spans="1:5">
      <c r="A136" t="s">
        <v>317</v>
      </c>
      <c r="B136" t="s">
        <v>318</v>
      </c>
      <c r="C136" s="55">
        <v>1773067</v>
      </c>
      <c r="D136" s="55">
        <v>68355</v>
      </c>
      <c r="E136" s="55">
        <f t="shared" si="2"/>
        <v>1841422</v>
      </c>
    </row>
    <row r="137" spans="1:5">
      <c r="A137" t="s">
        <v>319</v>
      </c>
      <c r="B137" t="s">
        <v>320</v>
      </c>
      <c r="C137" s="55">
        <v>149444</v>
      </c>
      <c r="D137" s="55">
        <v>5463</v>
      </c>
      <c r="E137" s="55">
        <f t="shared" si="2"/>
        <v>154907</v>
      </c>
    </row>
    <row r="138" spans="1:5">
      <c r="A138" t="s">
        <v>321</v>
      </c>
      <c r="B138" t="s">
        <v>322</v>
      </c>
      <c r="C138" s="55">
        <v>232266</v>
      </c>
      <c r="D138" s="55">
        <v>10614</v>
      </c>
      <c r="E138" s="55">
        <f t="shared" si="2"/>
        <v>242880</v>
      </c>
    </row>
    <row r="139" spans="1:5">
      <c r="A139" t="s">
        <v>323</v>
      </c>
      <c r="B139" t="s">
        <v>698</v>
      </c>
      <c r="C139" s="55">
        <v>381927</v>
      </c>
      <c r="D139" s="55">
        <v>14077</v>
      </c>
      <c r="E139" s="55">
        <f t="shared" si="2"/>
        <v>396004</v>
      </c>
    </row>
    <row r="140" spans="1:5">
      <c r="A140" t="s">
        <v>327</v>
      </c>
      <c r="B140" t="s">
        <v>328</v>
      </c>
      <c r="C140" s="55">
        <v>1508035</v>
      </c>
      <c r="D140" s="55">
        <v>52709</v>
      </c>
      <c r="E140" s="55">
        <f t="shared" si="2"/>
        <v>1560744</v>
      </c>
    </row>
    <row r="141" spans="1:5">
      <c r="A141" t="s">
        <v>329</v>
      </c>
      <c r="B141" t="s">
        <v>330</v>
      </c>
      <c r="C141" s="55">
        <v>3177126</v>
      </c>
      <c r="D141" s="55">
        <v>111190</v>
      </c>
      <c r="E141" s="55">
        <f t="shared" si="2"/>
        <v>3288316</v>
      </c>
    </row>
    <row r="142" spans="1:5">
      <c r="A142" t="s">
        <v>331</v>
      </c>
      <c r="B142" t="s">
        <v>332</v>
      </c>
      <c r="C142" s="55">
        <v>290480</v>
      </c>
      <c r="D142" s="55">
        <v>10420</v>
      </c>
      <c r="E142" s="55">
        <f t="shared" si="2"/>
        <v>300900</v>
      </c>
    </row>
    <row r="143" spans="1:5">
      <c r="A143" t="s">
        <v>333</v>
      </c>
      <c r="B143" t="s">
        <v>334</v>
      </c>
      <c r="C143" s="55">
        <v>172728</v>
      </c>
      <c r="D143" s="55">
        <v>10984</v>
      </c>
      <c r="E143" s="55">
        <f t="shared" si="2"/>
        <v>183712</v>
      </c>
    </row>
    <row r="144" spans="1:5">
      <c r="A144" t="s">
        <v>337</v>
      </c>
      <c r="B144" t="s">
        <v>338</v>
      </c>
      <c r="C144" s="55">
        <v>54658</v>
      </c>
      <c r="D144" s="55">
        <v>8040</v>
      </c>
      <c r="E144" s="55">
        <f t="shared" si="2"/>
        <v>62698</v>
      </c>
    </row>
    <row r="145" spans="1:5">
      <c r="A145" t="s">
        <v>339</v>
      </c>
      <c r="B145" t="s">
        <v>340</v>
      </c>
      <c r="C145" s="55">
        <v>299344</v>
      </c>
      <c r="D145" s="55">
        <v>31996</v>
      </c>
      <c r="E145" s="55">
        <f t="shared" si="2"/>
        <v>331340</v>
      </c>
    </row>
    <row r="146" spans="1:5">
      <c r="A146" t="s">
        <v>341</v>
      </c>
      <c r="B146" t="s">
        <v>342</v>
      </c>
      <c r="C146" s="55">
        <v>313539</v>
      </c>
      <c r="D146" s="55">
        <v>10427</v>
      </c>
      <c r="E146" s="55">
        <f t="shared" si="2"/>
        <v>323966</v>
      </c>
    </row>
    <row r="147" spans="1:5">
      <c r="A147" t="s">
        <v>343</v>
      </c>
      <c r="B147" t="s">
        <v>344</v>
      </c>
      <c r="C147" s="55">
        <v>429842</v>
      </c>
      <c r="D147" s="55">
        <v>12943</v>
      </c>
      <c r="E147" s="55">
        <f t="shared" si="2"/>
        <v>442785</v>
      </c>
    </row>
    <row r="148" spans="1:5">
      <c r="A148" t="s">
        <v>345</v>
      </c>
      <c r="B148" t="s">
        <v>346</v>
      </c>
      <c r="C148" s="55">
        <v>144247</v>
      </c>
      <c r="D148" s="55">
        <v>2997</v>
      </c>
      <c r="E148" s="55">
        <f t="shared" si="2"/>
        <v>147244</v>
      </c>
    </row>
    <row r="149" spans="1:5">
      <c r="A149" t="s">
        <v>347</v>
      </c>
      <c r="B149" t="s">
        <v>348</v>
      </c>
      <c r="C149" s="55">
        <v>445850</v>
      </c>
      <c r="D149" s="55">
        <v>16051</v>
      </c>
      <c r="E149" s="55">
        <f t="shared" si="2"/>
        <v>461901</v>
      </c>
    </row>
    <row r="150" spans="1:5">
      <c r="A150" t="s">
        <v>349</v>
      </c>
      <c r="B150" t="s">
        <v>350</v>
      </c>
      <c r="C150" s="55">
        <v>1191819</v>
      </c>
      <c r="D150" s="55">
        <v>36133</v>
      </c>
      <c r="E150" s="55">
        <f t="shared" si="2"/>
        <v>1227952</v>
      </c>
    </row>
    <row r="151" spans="1:5">
      <c r="A151" t="s">
        <v>351</v>
      </c>
      <c r="B151" t="s">
        <v>352</v>
      </c>
      <c r="C151" s="55">
        <v>519323</v>
      </c>
      <c r="D151" s="55">
        <v>14148</v>
      </c>
      <c r="E151" s="55">
        <f t="shared" si="2"/>
        <v>533471</v>
      </c>
    </row>
    <row r="152" spans="1:5">
      <c r="A152" t="s">
        <v>353</v>
      </c>
      <c r="B152" t="s">
        <v>354</v>
      </c>
      <c r="C152" s="55">
        <v>9521</v>
      </c>
      <c r="D152" s="55">
        <v>545</v>
      </c>
      <c r="E152" s="55">
        <f t="shared" si="2"/>
        <v>10066</v>
      </c>
    </row>
    <row r="153" spans="1:5">
      <c r="A153" t="s">
        <v>355</v>
      </c>
      <c r="B153" t="s">
        <v>356</v>
      </c>
      <c r="C153" s="55">
        <v>3202417</v>
      </c>
      <c r="D153" s="55">
        <v>91184</v>
      </c>
      <c r="E153" s="55">
        <f t="shared" si="2"/>
        <v>3293601</v>
      </c>
    </row>
    <row r="154" spans="1:5">
      <c r="A154" t="s">
        <v>357</v>
      </c>
      <c r="B154" t="s">
        <v>358</v>
      </c>
      <c r="C154" s="55">
        <v>54899</v>
      </c>
      <c r="D154" s="55">
        <v>745</v>
      </c>
      <c r="E154" s="55">
        <f t="shared" si="2"/>
        <v>55644</v>
      </c>
    </row>
    <row r="155" spans="1:5">
      <c r="A155" t="s">
        <v>359</v>
      </c>
      <c r="B155" t="s">
        <v>360</v>
      </c>
      <c r="C155" s="55">
        <v>4689662</v>
      </c>
      <c r="D155" s="55">
        <v>95831</v>
      </c>
      <c r="E155" s="55">
        <f t="shared" si="2"/>
        <v>4785493</v>
      </c>
    </row>
    <row r="156" spans="1:5">
      <c r="A156" t="s">
        <v>361</v>
      </c>
      <c r="B156" t="s">
        <v>362</v>
      </c>
      <c r="C156" s="55">
        <v>1236461</v>
      </c>
      <c r="D156" s="55">
        <v>56643</v>
      </c>
      <c r="E156" s="55">
        <f t="shared" si="2"/>
        <v>1293104</v>
      </c>
    </row>
    <row r="157" spans="1:5">
      <c r="A157" t="s">
        <v>363</v>
      </c>
      <c r="B157" t="s">
        <v>364</v>
      </c>
      <c r="C157" s="55">
        <v>30129</v>
      </c>
      <c r="D157" s="55">
        <v>1607</v>
      </c>
      <c r="E157" s="55">
        <f t="shared" si="2"/>
        <v>31736</v>
      </c>
    </row>
    <row r="158" spans="1:5">
      <c r="A158" t="s">
        <v>365</v>
      </c>
      <c r="B158" t="s">
        <v>366</v>
      </c>
      <c r="C158" s="55">
        <v>73429</v>
      </c>
      <c r="D158" s="55">
        <v>2755</v>
      </c>
      <c r="E158" s="55">
        <f t="shared" si="2"/>
        <v>76184</v>
      </c>
    </row>
    <row r="159" spans="1:5">
      <c r="A159" t="s">
        <v>369</v>
      </c>
      <c r="B159" t="s">
        <v>370</v>
      </c>
      <c r="C159" s="55">
        <v>170380</v>
      </c>
      <c r="D159" s="55">
        <v>8396</v>
      </c>
      <c r="E159" s="55">
        <f t="shared" si="2"/>
        <v>178776</v>
      </c>
    </row>
    <row r="160" spans="1:5">
      <c r="A160" t="s">
        <v>371</v>
      </c>
      <c r="B160" t="s">
        <v>372</v>
      </c>
      <c r="C160" s="55">
        <v>53662</v>
      </c>
      <c r="D160" s="55">
        <v>2158</v>
      </c>
      <c r="E160" s="55">
        <f t="shared" si="2"/>
        <v>55820</v>
      </c>
    </row>
    <row r="161" spans="1:5">
      <c r="A161" t="s">
        <v>373</v>
      </c>
      <c r="B161" t="s">
        <v>374</v>
      </c>
      <c r="C161" s="55">
        <v>232318</v>
      </c>
      <c r="D161" s="55">
        <v>8743</v>
      </c>
      <c r="E161" s="55">
        <f t="shared" si="2"/>
        <v>241061</v>
      </c>
    </row>
    <row r="162" spans="1:5">
      <c r="A162" t="s">
        <v>375</v>
      </c>
      <c r="B162" t="s">
        <v>376</v>
      </c>
      <c r="C162" s="55">
        <v>2124346</v>
      </c>
      <c r="D162" s="55">
        <v>69957</v>
      </c>
      <c r="E162" s="55">
        <f t="shared" si="2"/>
        <v>2194303</v>
      </c>
    </row>
    <row r="163" spans="1:5">
      <c r="A163" t="s">
        <v>377</v>
      </c>
      <c r="B163" t="s">
        <v>378</v>
      </c>
      <c r="C163" s="55">
        <v>1147197</v>
      </c>
      <c r="D163" s="55">
        <v>35646</v>
      </c>
      <c r="E163" s="55">
        <f t="shared" si="2"/>
        <v>1182843</v>
      </c>
    </row>
    <row r="164" spans="1:5">
      <c r="A164" t="s">
        <v>379</v>
      </c>
      <c r="B164" t="s">
        <v>380</v>
      </c>
      <c r="C164" s="55">
        <v>201169</v>
      </c>
      <c r="D164" s="55">
        <v>9095</v>
      </c>
      <c r="E164" s="55">
        <f t="shared" si="2"/>
        <v>210264</v>
      </c>
    </row>
    <row r="165" spans="1:5">
      <c r="A165" t="s">
        <v>381</v>
      </c>
      <c r="B165" t="s">
        <v>382</v>
      </c>
      <c r="C165" s="55">
        <v>10183</v>
      </c>
      <c r="D165" s="55">
        <v>1033</v>
      </c>
      <c r="E165" s="55">
        <f t="shared" si="2"/>
        <v>11216</v>
      </c>
    </row>
    <row r="166" spans="1:5">
      <c r="A166" t="s">
        <v>383</v>
      </c>
      <c r="B166" t="s">
        <v>384</v>
      </c>
      <c r="C166" s="55">
        <v>166482</v>
      </c>
      <c r="D166" s="55">
        <v>2641</v>
      </c>
      <c r="E166" s="55">
        <f t="shared" si="2"/>
        <v>169123</v>
      </c>
    </row>
    <row r="167" spans="1:5">
      <c r="A167" t="s">
        <v>385</v>
      </c>
      <c r="B167" t="s">
        <v>386</v>
      </c>
      <c r="C167" s="55">
        <v>37373</v>
      </c>
      <c r="D167" s="55">
        <v>2149</v>
      </c>
      <c r="E167" s="55">
        <f t="shared" si="2"/>
        <v>39522</v>
      </c>
    </row>
    <row r="168" spans="1:5">
      <c r="A168" t="s">
        <v>387</v>
      </c>
      <c r="B168" t="s">
        <v>388</v>
      </c>
      <c r="C168" s="55">
        <v>13146</v>
      </c>
      <c r="D168" s="55">
        <v>540</v>
      </c>
      <c r="E168" s="55">
        <f t="shared" si="2"/>
        <v>13686</v>
      </c>
    </row>
    <row r="169" spans="1:5">
      <c r="A169" t="s">
        <v>391</v>
      </c>
      <c r="B169" t="s">
        <v>392</v>
      </c>
      <c r="C169" s="55">
        <v>137682</v>
      </c>
      <c r="D169" s="55">
        <v>8326</v>
      </c>
      <c r="E169" s="55">
        <f t="shared" si="2"/>
        <v>146008</v>
      </c>
    </row>
    <row r="170" spans="1:5">
      <c r="A170" t="s">
        <v>393</v>
      </c>
      <c r="B170" t="s">
        <v>394</v>
      </c>
      <c r="C170" s="55">
        <v>528522</v>
      </c>
      <c r="D170" s="55">
        <v>11524</v>
      </c>
      <c r="E170" s="55">
        <f t="shared" si="2"/>
        <v>540046</v>
      </c>
    </row>
    <row r="171" spans="1:5">
      <c r="A171" t="s">
        <v>395</v>
      </c>
      <c r="B171" t="s">
        <v>396</v>
      </c>
      <c r="C171" s="55">
        <v>919300</v>
      </c>
      <c r="D171" s="55">
        <v>16386</v>
      </c>
      <c r="E171" s="55">
        <f t="shared" si="2"/>
        <v>935686</v>
      </c>
    </row>
    <row r="172" spans="1:5">
      <c r="A172" t="s">
        <v>399</v>
      </c>
      <c r="B172" t="s">
        <v>400</v>
      </c>
      <c r="C172" s="55">
        <v>48097</v>
      </c>
      <c r="D172" s="55">
        <v>2126</v>
      </c>
      <c r="E172" s="55">
        <f t="shared" si="2"/>
        <v>50223</v>
      </c>
    </row>
    <row r="173" spans="1:5">
      <c r="A173" t="s">
        <v>401</v>
      </c>
      <c r="B173" t="s">
        <v>402</v>
      </c>
      <c r="C173" s="55">
        <v>3668856</v>
      </c>
      <c r="D173" s="55">
        <v>61190</v>
      </c>
      <c r="E173" s="55">
        <f t="shared" si="2"/>
        <v>3730046</v>
      </c>
    </row>
    <row r="174" spans="1:5">
      <c r="A174" t="s">
        <v>403</v>
      </c>
      <c r="B174" t="s">
        <v>404</v>
      </c>
      <c r="C174" s="55">
        <v>49124</v>
      </c>
      <c r="D174" s="55">
        <v>1191</v>
      </c>
      <c r="E174" s="55">
        <f t="shared" si="2"/>
        <v>50315</v>
      </c>
    </row>
    <row r="175" spans="1:5">
      <c r="A175" t="s">
        <v>405</v>
      </c>
      <c r="B175" t="s">
        <v>406</v>
      </c>
      <c r="C175" s="55">
        <v>22228</v>
      </c>
      <c r="D175" s="55">
        <v>606</v>
      </c>
      <c r="E175" s="55">
        <f t="shared" si="2"/>
        <v>22834</v>
      </c>
    </row>
    <row r="176" spans="1:5">
      <c r="A176" t="s">
        <v>407</v>
      </c>
      <c r="B176" t="s">
        <v>408</v>
      </c>
      <c r="C176" s="55">
        <v>63949</v>
      </c>
      <c r="D176" s="55">
        <v>3192</v>
      </c>
      <c r="E176" s="55">
        <f t="shared" si="2"/>
        <v>67141</v>
      </c>
    </row>
    <row r="177" spans="1:5">
      <c r="A177" t="s">
        <v>409</v>
      </c>
      <c r="B177" t="s">
        <v>410</v>
      </c>
      <c r="C177" s="55">
        <v>1956774</v>
      </c>
      <c r="D177" s="55">
        <v>60708</v>
      </c>
      <c r="E177" s="55">
        <f t="shared" si="2"/>
        <v>2017482</v>
      </c>
    </row>
    <row r="178" spans="1:5">
      <c r="A178" t="s">
        <v>411</v>
      </c>
      <c r="B178" t="s">
        <v>761</v>
      </c>
      <c r="C178" s="55">
        <v>41336</v>
      </c>
      <c r="D178" s="55">
        <v>0</v>
      </c>
      <c r="E178" s="55">
        <f t="shared" si="2"/>
        <v>41336</v>
      </c>
    </row>
    <row r="179" spans="1:5">
      <c r="A179" t="s">
        <v>413</v>
      </c>
      <c r="B179" t="s">
        <v>414</v>
      </c>
      <c r="C179" s="55">
        <v>185652</v>
      </c>
      <c r="D179" s="55">
        <v>9467</v>
      </c>
      <c r="E179" s="55">
        <f t="shared" si="2"/>
        <v>195119</v>
      </c>
    </row>
    <row r="180" spans="1:5">
      <c r="A180" t="s">
        <v>415</v>
      </c>
      <c r="B180" t="s">
        <v>416</v>
      </c>
      <c r="C180" s="55">
        <v>79716</v>
      </c>
      <c r="D180" s="55">
        <v>3721</v>
      </c>
      <c r="E180" s="55">
        <f t="shared" si="2"/>
        <v>83437</v>
      </c>
    </row>
    <row r="181" spans="1:5">
      <c r="A181" t="s">
        <v>417</v>
      </c>
      <c r="B181" t="s">
        <v>418</v>
      </c>
      <c r="C181" s="55">
        <v>916978</v>
      </c>
      <c r="D181" s="55">
        <v>31954</v>
      </c>
      <c r="E181" s="55">
        <f t="shared" si="2"/>
        <v>948932</v>
      </c>
    </row>
    <row r="182" spans="1:5">
      <c r="A182" t="s">
        <v>419</v>
      </c>
      <c r="B182" t="s">
        <v>420</v>
      </c>
      <c r="C182" s="55">
        <v>306829</v>
      </c>
      <c r="D182" s="55">
        <v>17788</v>
      </c>
      <c r="E182" s="55">
        <f t="shared" si="2"/>
        <v>324617</v>
      </c>
    </row>
    <row r="183" spans="1:5">
      <c r="A183" t="s">
        <v>421</v>
      </c>
      <c r="B183" t="s">
        <v>422</v>
      </c>
      <c r="C183" s="55">
        <v>51116</v>
      </c>
      <c r="D183" s="55">
        <v>1672</v>
      </c>
      <c r="E183" s="55">
        <f t="shared" si="2"/>
        <v>52788</v>
      </c>
    </row>
    <row r="184" spans="1:5">
      <c r="A184" t="s">
        <v>423</v>
      </c>
      <c r="B184" t="s">
        <v>1373</v>
      </c>
      <c r="C184" s="55">
        <v>52661</v>
      </c>
      <c r="D184" s="55">
        <v>0</v>
      </c>
      <c r="E184" s="55">
        <f t="shared" si="2"/>
        <v>52661</v>
      </c>
    </row>
    <row r="185" spans="1:5">
      <c r="A185" t="s">
        <v>425</v>
      </c>
      <c r="B185" t="s">
        <v>426</v>
      </c>
      <c r="C185" s="55">
        <v>551654</v>
      </c>
      <c r="D185" s="55">
        <v>19365</v>
      </c>
      <c r="E185" s="55">
        <f t="shared" si="2"/>
        <v>571019</v>
      </c>
    </row>
    <row r="186" spans="1:5">
      <c r="A186" t="s">
        <v>427</v>
      </c>
      <c r="B186" t="s">
        <v>428</v>
      </c>
      <c r="C186" s="55">
        <v>528630</v>
      </c>
      <c r="D186" s="55">
        <v>10067</v>
      </c>
      <c r="E186" s="55">
        <f t="shared" si="2"/>
        <v>538697</v>
      </c>
    </row>
    <row r="187" spans="1:5">
      <c r="A187" t="s">
        <v>431</v>
      </c>
      <c r="B187" t="s">
        <v>432</v>
      </c>
      <c r="C187" s="55">
        <v>4827013</v>
      </c>
      <c r="D187" s="55">
        <v>120377</v>
      </c>
      <c r="E187" s="55">
        <f t="shared" si="2"/>
        <v>4947390</v>
      </c>
    </row>
    <row r="188" spans="1:5">
      <c r="A188" t="s">
        <v>433</v>
      </c>
      <c r="B188" t="s">
        <v>434</v>
      </c>
      <c r="C188" s="55">
        <v>9265</v>
      </c>
      <c r="D188" s="55">
        <v>536</v>
      </c>
      <c r="E188" s="55">
        <f t="shared" si="2"/>
        <v>9801</v>
      </c>
    </row>
    <row r="189" spans="1:5">
      <c r="A189" t="s">
        <v>435</v>
      </c>
      <c r="B189" t="s">
        <v>436</v>
      </c>
      <c r="C189" s="55">
        <v>131581</v>
      </c>
      <c r="D189" s="55">
        <v>2033</v>
      </c>
      <c r="E189" s="55">
        <f t="shared" si="2"/>
        <v>133614</v>
      </c>
    </row>
    <row r="190" spans="1:5">
      <c r="A190" t="s">
        <v>437</v>
      </c>
      <c r="B190" t="s">
        <v>438</v>
      </c>
      <c r="C190" s="55">
        <v>726417</v>
      </c>
      <c r="D190" s="55">
        <v>16027</v>
      </c>
      <c r="E190" s="55">
        <f t="shared" si="2"/>
        <v>742444</v>
      </c>
    </row>
    <row r="191" spans="1:5">
      <c r="A191" t="s">
        <v>439</v>
      </c>
      <c r="B191" t="s">
        <v>440</v>
      </c>
      <c r="C191" s="55">
        <v>643139</v>
      </c>
      <c r="D191" s="55">
        <v>17062</v>
      </c>
      <c r="E191" s="55">
        <f t="shared" si="2"/>
        <v>660201</v>
      </c>
    </row>
    <row r="192" spans="1:5">
      <c r="A192" t="s">
        <v>441</v>
      </c>
      <c r="B192" t="s">
        <v>442</v>
      </c>
      <c r="C192" s="55">
        <v>212339</v>
      </c>
      <c r="D192" s="55">
        <v>3266</v>
      </c>
      <c r="E192" s="55">
        <f t="shared" si="2"/>
        <v>215605</v>
      </c>
    </row>
    <row r="193" spans="1:5">
      <c r="A193" t="s">
        <v>443</v>
      </c>
      <c r="B193" t="s">
        <v>1374</v>
      </c>
      <c r="C193" s="55">
        <v>65800</v>
      </c>
      <c r="D193" s="55">
        <v>0</v>
      </c>
      <c r="E193" s="55">
        <f t="shared" si="2"/>
        <v>65800</v>
      </c>
    </row>
    <row r="194" spans="1:5">
      <c r="A194" t="s">
        <v>445</v>
      </c>
      <c r="B194" t="s">
        <v>1375</v>
      </c>
      <c r="C194" s="55">
        <v>86147</v>
      </c>
      <c r="D194" s="55">
        <v>0</v>
      </c>
      <c r="E194" s="55">
        <f t="shared" si="2"/>
        <v>86147</v>
      </c>
    </row>
    <row r="195" spans="1:5">
      <c r="A195" t="s">
        <v>447</v>
      </c>
      <c r="B195" t="s">
        <v>448</v>
      </c>
      <c r="C195" s="55">
        <v>133565</v>
      </c>
      <c r="D195" s="55">
        <v>5839</v>
      </c>
      <c r="E195" s="55">
        <f t="shared" si="2"/>
        <v>139404</v>
      </c>
    </row>
    <row r="196" spans="1:5">
      <c r="A196" t="s">
        <v>449</v>
      </c>
      <c r="B196" t="s">
        <v>450</v>
      </c>
      <c r="C196" s="55">
        <v>163143</v>
      </c>
      <c r="D196" s="55">
        <v>2164</v>
      </c>
      <c r="E196" s="55">
        <f t="shared" si="2"/>
        <v>165307</v>
      </c>
    </row>
    <row r="197" spans="1:5">
      <c r="A197" t="s">
        <v>451</v>
      </c>
      <c r="B197" t="s">
        <v>452</v>
      </c>
      <c r="C197" s="55">
        <v>3208563</v>
      </c>
      <c r="D197" s="55">
        <v>86835</v>
      </c>
      <c r="E197" s="55">
        <f t="shared" si="2"/>
        <v>3295398</v>
      </c>
    </row>
    <row r="198" spans="1:5">
      <c r="A198" t="s">
        <v>453</v>
      </c>
      <c r="B198" t="s">
        <v>454</v>
      </c>
      <c r="C198" s="55">
        <v>111473</v>
      </c>
      <c r="D198" s="55">
        <v>1438</v>
      </c>
      <c r="E198" s="55">
        <f t="shared" ref="E198:E261" si="3">C198+D198</f>
        <v>112911</v>
      </c>
    </row>
    <row r="199" spans="1:5">
      <c r="A199" t="s">
        <v>455</v>
      </c>
      <c r="B199" t="s">
        <v>456</v>
      </c>
      <c r="C199" s="55">
        <v>2848147</v>
      </c>
      <c r="D199" s="55">
        <v>61222</v>
      </c>
      <c r="E199" s="55">
        <f t="shared" si="3"/>
        <v>2909369</v>
      </c>
    </row>
    <row r="200" spans="1:5">
      <c r="A200" t="s">
        <v>457</v>
      </c>
      <c r="B200" t="s">
        <v>458</v>
      </c>
      <c r="C200" s="55">
        <v>712536</v>
      </c>
      <c r="D200" s="55">
        <v>9043</v>
      </c>
      <c r="E200" s="55">
        <f t="shared" si="3"/>
        <v>721579</v>
      </c>
    </row>
    <row r="201" spans="1:5">
      <c r="A201" t="s">
        <v>459</v>
      </c>
      <c r="B201" t="s">
        <v>460</v>
      </c>
      <c r="C201" s="55">
        <v>84354</v>
      </c>
      <c r="D201" s="55">
        <v>4272</v>
      </c>
      <c r="E201" s="55">
        <f t="shared" si="3"/>
        <v>88626</v>
      </c>
    </row>
    <row r="202" spans="1:5">
      <c r="A202" t="s">
        <v>461</v>
      </c>
      <c r="B202" t="s">
        <v>462</v>
      </c>
      <c r="C202" s="55">
        <v>405346</v>
      </c>
      <c r="D202" s="55">
        <v>16999</v>
      </c>
      <c r="E202" s="55">
        <f t="shared" si="3"/>
        <v>422345</v>
      </c>
    </row>
    <row r="203" spans="1:5">
      <c r="A203" t="s">
        <v>463</v>
      </c>
      <c r="B203" t="s">
        <v>464</v>
      </c>
      <c r="C203" s="55">
        <v>585798</v>
      </c>
      <c r="D203" s="55">
        <v>13999</v>
      </c>
      <c r="E203" s="55">
        <f t="shared" si="3"/>
        <v>599797</v>
      </c>
    </row>
    <row r="204" spans="1:5">
      <c r="A204" t="s">
        <v>465</v>
      </c>
      <c r="B204" t="s">
        <v>466</v>
      </c>
      <c r="C204" s="55">
        <v>539542</v>
      </c>
      <c r="D204" s="55">
        <v>17512</v>
      </c>
      <c r="E204" s="55">
        <f t="shared" si="3"/>
        <v>557054</v>
      </c>
    </row>
    <row r="205" spans="1:5">
      <c r="A205" t="s">
        <v>699</v>
      </c>
      <c r="B205" t="s">
        <v>1446</v>
      </c>
      <c r="C205" s="55">
        <v>12702</v>
      </c>
      <c r="D205" s="55">
        <v>0</v>
      </c>
      <c r="E205" s="55">
        <f t="shared" si="3"/>
        <v>12702</v>
      </c>
    </row>
    <row r="206" spans="1:5">
      <c r="A206" t="s">
        <v>469</v>
      </c>
      <c r="B206" t="s">
        <v>470</v>
      </c>
      <c r="C206" s="55">
        <v>42831</v>
      </c>
      <c r="D206" s="55">
        <v>1619</v>
      </c>
      <c r="E206" s="55">
        <f t="shared" si="3"/>
        <v>44450</v>
      </c>
    </row>
    <row r="207" spans="1:5">
      <c r="A207" t="s">
        <v>471</v>
      </c>
      <c r="B207" t="s">
        <v>472</v>
      </c>
      <c r="C207" s="55">
        <v>335893</v>
      </c>
      <c r="D207" s="55">
        <v>16203</v>
      </c>
      <c r="E207" s="55">
        <f t="shared" si="3"/>
        <v>352096</v>
      </c>
    </row>
    <row r="208" spans="1:5">
      <c r="A208" t="s">
        <v>475</v>
      </c>
      <c r="B208" t="s">
        <v>476</v>
      </c>
      <c r="C208" s="55">
        <v>198749</v>
      </c>
      <c r="D208" s="55">
        <v>6622</v>
      </c>
      <c r="E208" s="55">
        <f t="shared" si="3"/>
        <v>205371</v>
      </c>
    </row>
    <row r="209" spans="1:5">
      <c r="A209" t="s">
        <v>477</v>
      </c>
      <c r="B209" t="s">
        <v>478</v>
      </c>
      <c r="C209" s="55">
        <v>16073</v>
      </c>
      <c r="D209" s="55">
        <v>555</v>
      </c>
      <c r="E209" s="55">
        <f t="shared" si="3"/>
        <v>16628</v>
      </c>
    </row>
    <row r="210" spans="1:5">
      <c r="A210" t="s">
        <v>479</v>
      </c>
      <c r="B210" t="s">
        <v>480</v>
      </c>
      <c r="C210" s="55">
        <v>12049796</v>
      </c>
      <c r="D210" s="55">
        <v>292241</v>
      </c>
      <c r="E210" s="55">
        <f t="shared" si="3"/>
        <v>12342037</v>
      </c>
    </row>
    <row r="211" spans="1:5">
      <c r="A211" t="s">
        <v>481</v>
      </c>
      <c r="B211" t="s">
        <v>482</v>
      </c>
      <c r="C211" s="55">
        <v>996579</v>
      </c>
      <c r="D211" s="55">
        <v>46471</v>
      </c>
      <c r="E211" s="55">
        <f t="shared" si="3"/>
        <v>1043050</v>
      </c>
    </row>
    <row r="212" spans="1:5">
      <c r="A212" t="s">
        <v>483</v>
      </c>
      <c r="B212" t="s">
        <v>484</v>
      </c>
      <c r="C212" s="55">
        <v>839301</v>
      </c>
      <c r="D212" s="55">
        <v>17316</v>
      </c>
      <c r="E212" s="55">
        <f t="shared" si="3"/>
        <v>856617</v>
      </c>
    </row>
    <row r="213" spans="1:5">
      <c r="A213" t="s">
        <v>485</v>
      </c>
      <c r="B213" t="s">
        <v>486</v>
      </c>
      <c r="C213" s="55">
        <v>73882</v>
      </c>
      <c r="D213" s="55">
        <v>7601</v>
      </c>
      <c r="E213" s="55">
        <f t="shared" si="3"/>
        <v>81483</v>
      </c>
    </row>
    <row r="214" spans="1:5">
      <c r="A214" t="s">
        <v>487</v>
      </c>
      <c r="B214" t="s">
        <v>488</v>
      </c>
      <c r="C214" s="55">
        <v>539838</v>
      </c>
      <c r="D214" s="55">
        <v>12957</v>
      </c>
      <c r="E214" s="55">
        <f t="shared" si="3"/>
        <v>552795</v>
      </c>
    </row>
    <row r="215" spans="1:5">
      <c r="A215" t="s">
        <v>489</v>
      </c>
      <c r="B215" t="s">
        <v>490</v>
      </c>
      <c r="C215" s="55">
        <v>521</v>
      </c>
      <c r="D215" s="55">
        <v>504</v>
      </c>
      <c r="E215" s="55">
        <f t="shared" si="3"/>
        <v>1025</v>
      </c>
    </row>
    <row r="216" spans="1:5">
      <c r="A216" t="s">
        <v>491</v>
      </c>
      <c r="B216" t="s">
        <v>492</v>
      </c>
      <c r="C216" s="55">
        <v>987100</v>
      </c>
      <c r="D216" s="55">
        <v>34415</v>
      </c>
      <c r="E216" s="55">
        <f t="shared" si="3"/>
        <v>1021515</v>
      </c>
    </row>
    <row r="217" spans="1:5">
      <c r="A217" t="s">
        <v>493</v>
      </c>
      <c r="B217" t="s">
        <v>494</v>
      </c>
      <c r="C217" s="55">
        <v>2510598</v>
      </c>
      <c r="D217" s="55">
        <v>77591</v>
      </c>
      <c r="E217" s="55">
        <f t="shared" si="3"/>
        <v>2588189</v>
      </c>
    </row>
    <row r="218" spans="1:5">
      <c r="A218" t="s">
        <v>497</v>
      </c>
      <c r="B218" t="s">
        <v>498</v>
      </c>
      <c r="C218" s="55">
        <v>13302</v>
      </c>
      <c r="D218" s="55">
        <v>1038</v>
      </c>
      <c r="E218" s="55">
        <f t="shared" si="3"/>
        <v>14340</v>
      </c>
    </row>
    <row r="219" spans="1:5">
      <c r="A219" t="s">
        <v>499</v>
      </c>
      <c r="B219" t="s">
        <v>500</v>
      </c>
      <c r="C219" s="55">
        <v>1901548</v>
      </c>
      <c r="D219" s="55">
        <v>73179</v>
      </c>
      <c r="E219" s="55">
        <f t="shared" si="3"/>
        <v>1974727</v>
      </c>
    </row>
    <row r="220" spans="1:5">
      <c r="A220" t="s">
        <v>501</v>
      </c>
      <c r="B220" t="s">
        <v>502</v>
      </c>
      <c r="C220" s="55">
        <v>1210987</v>
      </c>
      <c r="D220" s="55">
        <v>30551</v>
      </c>
      <c r="E220" s="55">
        <f t="shared" si="3"/>
        <v>1241538</v>
      </c>
    </row>
    <row r="221" spans="1:5">
      <c r="A221" t="s">
        <v>503</v>
      </c>
      <c r="B221" t="s">
        <v>504</v>
      </c>
      <c r="C221" s="55">
        <v>127052</v>
      </c>
      <c r="D221" s="55">
        <v>2480</v>
      </c>
      <c r="E221" s="55">
        <f t="shared" si="3"/>
        <v>129532</v>
      </c>
    </row>
    <row r="222" spans="1:5">
      <c r="A222" t="s">
        <v>505</v>
      </c>
      <c r="B222" t="s">
        <v>506</v>
      </c>
      <c r="C222" s="55">
        <v>209939</v>
      </c>
      <c r="D222" s="55">
        <v>3382</v>
      </c>
      <c r="E222" s="55">
        <f t="shared" si="3"/>
        <v>213321</v>
      </c>
    </row>
    <row r="223" spans="1:5">
      <c r="A223" t="s">
        <v>507</v>
      </c>
      <c r="B223" t="s">
        <v>508</v>
      </c>
      <c r="C223" s="55">
        <v>2176316</v>
      </c>
      <c r="D223" s="55">
        <v>52991</v>
      </c>
      <c r="E223" s="55">
        <f t="shared" si="3"/>
        <v>2229307</v>
      </c>
    </row>
    <row r="224" spans="1:5">
      <c r="A224" t="s">
        <v>509</v>
      </c>
      <c r="B224" t="s">
        <v>510</v>
      </c>
      <c r="C224" s="55">
        <v>368204</v>
      </c>
      <c r="D224" s="55">
        <v>10505</v>
      </c>
      <c r="E224" s="55">
        <f t="shared" si="3"/>
        <v>378709</v>
      </c>
    </row>
    <row r="225" spans="1:5">
      <c r="A225" t="s">
        <v>511</v>
      </c>
      <c r="B225" t="s">
        <v>512</v>
      </c>
      <c r="C225" s="55">
        <v>45703</v>
      </c>
      <c r="D225" s="55">
        <v>1155</v>
      </c>
      <c r="E225" s="55">
        <f t="shared" si="3"/>
        <v>46858</v>
      </c>
    </row>
    <row r="226" spans="1:5">
      <c r="A226" t="s">
        <v>513</v>
      </c>
      <c r="B226" t="s">
        <v>514</v>
      </c>
      <c r="C226" s="55">
        <v>6992517</v>
      </c>
      <c r="D226" s="55">
        <v>176116</v>
      </c>
      <c r="E226" s="55">
        <f t="shared" si="3"/>
        <v>7168633</v>
      </c>
    </row>
    <row r="227" spans="1:5">
      <c r="A227" t="s">
        <v>515</v>
      </c>
      <c r="B227" t="s">
        <v>1447</v>
      </c>
      <c r="C227" s="55">
        <v>131926</v>
      </c>
      <c r="D227" s="55">
        <v>995</v>
      </c>
      <c r="E227" s="55">
        <f t="shared" si="3"/>
        <v>132921</v>
      </c>
    </row>
    <row r="228" spans="1:5">
      <c r="A228" t="s">
        <v>517</v>
      </c>
      <c r="B228" t="s">
        <v>518</v>
      </c>
      <c r="C228" s="55">
        <v>17520</v>
      </c>
      <c r="D228" s="55">
        <v>549</v>
      </c>
      <c r="E228" s="55">
        <f t="shared" si="3"/>
        <v>18069</v>
      </c>
    </row>
    <row r="229" spans="1:5">
      <c r="A229" t="s">
        <v>473</v>
      </c>
      <c r="B229" t="s">
        <v>1321</v>
      </c>
      <c r="C229" s="55">
        <v>31373</v>
      </c>
      <c r="D229" s="55">
        <v>2580</v>
      </c>
      <c r="E229" s="55">
        <f t="shared" si="3"/>
        <v>33953</v>
      </c>
    </row>
    <row r="230" spans="1:5">
      <c r="A230" t="s">
        <v>519</v>
      </c>
      <c r="B230" t="s">
        <v>520</v>
      </c>
      <c r="C230" s="55">
        <v>980296</v>
      </c>
      <c r="D230" s="55">
        <v>36118</v>
      </c>
      <c r="E230" s="55">
        <f t="shared" si="3"/>
        <v>1016414</v>
      </c>
    </row>
    <row r="231" spans="1:5">
      <c r="A231" t="s">
        <v>521</v>
      </c>
      <c r="B231" t="s">
        <v>522</v>
      </c>
      <c r="C231" s="55">
        <v>521</v>
      </c>
      <c r="D231" s="55">
        <v>996</v>
      </c>
      <c r="E231" s="55">
        <f t="shared" si="3"/>
        <v>1517</v>
      </c>
    </row>
    <row r="232" spans="1:5">
      <c r="A232" t="s">
        <v>523</v>
      </c>
      <c r="B232" t="s">
        <v>524</v>
      </c>
      <c r="C232" s="55">
        <v>105606</v>
      </c>
      <c r="D232" s="55">
        <v>1526</v>
      </c>
      <c r="E232" s="55">
        <f t="shared" si="3"/>
        <v>107132</v>
      </c>
    </row>
    <row r="233" spans="1:5">
      <c r="A233" t="s">
        <v>525</v>
      </c>
      <c r="B233" t="s">
        <v>526</v>
      </c>
      <c r="C233" s="55">
        <v>1527</v>
      </c>
      <c r="D233" s="55">
        <v>20</v>
      </c>
      <c r="E233" s="55">
        <f t="shared" si="3"/>
        <v>1547</v>
      </c>
    </row>
    <row r="234" spans="1:5">
      <c r="A234" t="s">
        <v>527</v>
      </c>
      <c r="B234" t="s">
        <v>1322</v>
      </c>
      <c r="C234" s="55">
        <v>541923</v>
      </c>
      <c r="D234" s="55">
        <v>19455</v>
      </c>
      <c r="E234" s="55">
        <f t="shared" si="3"/>
        <v>561378</v>
      </c>
    </row>
    <row r="235" spans="1:5">
      <c r="A235" t="s">
        <v>529</v>
      </c>
      <c r="B235" t="s">
        <v>530</v>
      </c>
      <c r="C235" s="55">
        <v>8578</v>
      </c>
      <c r="D235" s="55">
        <v>535</v>
      </c>
      <c r="E235" s="55">
        <f t="shared" si="3"/>
        <v>9113</v>
      </c>
    </row>
    <row r="236" spans="1:5">
      <c r="A236" t="s">
        <v>533</v>
      </c>
      <c r="B236" t="s">
        <v>534</v>
      </c>
      <c r="C236" s="55">
        <v>509640</v>
      </c>
      <c r="D236" s="55">
        <v>23882</v>
      </c>
      <c r="E236" s="55">
        <f t="shared" si="3"/>
        <v>533522</v>
      </c>
    </row>
    <row r="237" spans="1:5">
      <c r="A237" t="s">
        <v>535</v>
      </c>
      <c r="B237" t="s">
        <v>1376</v>
      </c>
      <c r="C237" s="55">
        <v>164403</v>
      </c>
      <c r="D237" s="55">
        <v>0</v>
      </c>
      <c r="E237" s="55">
        <f t="shared" si="3"/>
        <v>164403</v>
      </c>
    </row>
    <row r="238" spans="1:5">
      <c r="A238" t="s">
        <v>537</v>
      </c>
      <c r="B238" t="s">
        <v>1377</v>
      </c>
      <c r="C238" s="55">
        <v>32383</v>
      </c>
      <c r="D238" s="55">
        <v>0</v>
      </c>
      <c r="E238" s="55">
        <f t="shared" si="3"/>
        <v>32383</v>
      </c>
    </row>
    <row r="239" spans="1:5">
      <c r="A239" t="s">
        <v>539</v>
      </c>
      <c r="B239" t="s">
        <v>1378</v>
      </c>
      <c r="C239" s="55">
        <v>42175</v>
      </c>
      <c r="D239" s="55">
        <v>0</v>
      </c>
      <c r="E239" s="55">
        <f t="shared" si="3"/>
        <v>42175</v>
      </c>
    </row>
    <row r="240" spans="1:5">
      <c r="A240" t="s">
        <v>541</v>
      </c>
      <c r="B240" t="s">
        <v>542</v>
      </c>
      <c r="C240" s="55">
        <v>22613</v>
      </c>
      <c r="D240" s="55">
        <v>600</v>
      </c>
      <c r="E240" s="55">
        <f t="shared" si="3"/>
        <v>23213</v>
      </c>
    </row>
    <row r="241" spans="1:5">
      <c r="A241" t="s">
        <v>543</v>
      </c>
      <c r="B241" t="s">
        <v>1323</v>
      </c>
      <c r="C241" s="55">
        <v>2090589</v>
      </c>
      <c r="D241" s="55">
        <v>46845</v>
      </c>
      <c r="E241" s="55">
        <f t="shared" si="3"/>
        <v>2137434</v>
      </c>
    </row>
    <row r="242" spans="1:5">
      <c r="A242" t="s">
        <v>545</v>
      </c>
      <c r="B242" t="s">
        <v>546</v>
      </c>
      <c r="C242" s="55">
        <v>1426158</v>
      </c>
      <c r="D242" s="55">
        <v>39619</v>
      </c>
      <c r="E242" s="55">
        <f t="shared" si="3"/>
        <v>1465777</v>
      </c>
    </row>
    <row r="243" spans="1:5">
      <c r="A243" t="s">
        <v>836</v>
      </c>
      <c r="B243" t="s">
        <v>1379</v>
      </c>
      <c r="C243" s="55">
        <v>60470</v>
      </c>
      <c r="D243" s="55">
        <v>0</v>
      </c>
      <c r="E243" s="55">
        <f t="shared" si="3"/>
        <v>60470</v>
      </c>
    </row>
    <row r="244" spans="1:5">
      <c r="A244" t="s">
        <v>549</v>
      </c>
      <c r="B244" t="s">
        <v>550</v>
      </c>
      <c r="C244" s="55">
        <v>7287788</v>
      </c>
      <c r="D244" s="55">
        <v>239023</v>
      </c>
      <c r="E244" s="55">
        <f t="shared" si="3"/>
        <v>7526811</v>
      </c>
    </row>
    <row r="245" spans="1:5">
      <c r="A245" t="s">
        <v>551</v>
      </c>
      <c r="B245" t="s">
        <v>552</v>
      </c>
      <c r="C245" s="55">
        <v>53861</v>
      </c>
      <c r="D245" s="55">
        <v>2145</v>
      </c>
      <c r="E245" s="55">
        <f t="shared" si="3"/>
        <v>56006</v>
      </c>
    </row>
    <row r="246" spans="1:5">
      <c r="A246" t="s">
        <v>553</v>
      </c>
      <c r="B246" t="s">
        <v>554</v>
      </c>
      <c r="C246" s="55">
        <v>1699000</v>
      </c>
      <c r="D246" s="55">
        <v>42057</v>
      </c>
      <c r="E246" s="55">
        <f t="shared" si="3"/>
        <v>1741057</v>
      </c>
    </row>
    <row r="247" spans="1:5">
      <c r="A247" t="s">
        <v>555</v>
      </c>
      <c r="B247" t="s">
        <v>556</v>
      </c>
      <c r="C247" s="55">
        <v>39316</v>
      </c>
      <c r="D247" s="55">
        <v>1157</v>
      </c>
      <c r="E247" s="55">
        <f t="shared" si="3"/>
        <v>40473</v>
      </c>
    </row>
    <row r="248" spans="1:5">
      <c r="A248" t="s">
        <v>557</v>
      </c>
      <c r="B248" t="s">
        <v>558</v>
      </c>
      <c r="C248" s="55">
        <v>305543</v>
      </c>
      <c r="D248" s="55">
        <v>10872</v>
      </c>
      <c r="E248" s="55">
        <f t="shared" si="3"/>
        <v>316415</v>
      </c>
    </row>
    <row r="249" spans="1:5">
      <c r="A249" t="s">
        <v>559</v>
      </c>
      <c r="B249" t="s">
        <v>560</v>
      </c>
      <c r="C249" s="55">
        <v>52961</v>
      </c>
      <c r="D249" s="55">
        <v>2181</v>
      </c>
      <c r="E249" s="55">
        <f t="shared" si="3"/>
        <v>55142</v>
      </c>
    </row>
    <row r="250" spans="1:5">
      <c r="A250" t="s">
        <v>561</v>
      </c>
      <c r="B250" t="s">
        <v>562</v>
      </c>
      <c r="C250" s="55">
        <v>212520</v>
      </c>
      <c r="D250" s="55">
        <v>6621</v>
      </c>
      <c r="E250" s="55">
        <f t="shared" si="3"/>
        <v>219141</v>
      </c>
    </row>
    <row r="251" spans="1:5">
      <c r="A251" t="s">
        <v>563</v>
      </c>
      <c r="B251" t="s">
        <v>564</v>
      </c>
      <c r="C251" s="55">
        <v>252181</v>
      </c>
      <c r="D251" s="55">
        <v>10784</v>
      </c>
      <c r="E251" s="55">
        <f t="shared" si="3"/>
        <v>262965</v>
      </c>
    </row>
    <row r="252" spans="1:5">
      <c r="A252" t="s">
        <v>565</v>
      </c>
      <c r="B252" t="s">
        <v>566</v>
      </c>
      <c r="C252" s="55">
        <v>783392</v>
      </c>
      <c r="D252" s="55">
        <v>23731</v>
      </c>
      <c r="E252" s="55">
        <f t="shared" si="3"/>
        <v>807123</v>
      </c>
    </row>
    <row r="253" spans="1:5">
      <c r="A253" t="s">
        <v>567</v>
      </c>
      <c r="B253" t="s">
        <v>568</v>
      </c>
      <c r="C253" s="55">
        <v>54684</v>
      </c>
      <c r="D253" s="55">
        <v>1198</v>
      </c>
      <c r="E253" s="55">
        <f t="shared" si="3"/>
        <v>55882</v>
      </c>
    </row>
    <row r="254" spans="1:5">
      <c r="A254" t="s">
        <v>573</v>
      </c>
      <c r="B254" t="s">
        <v>574</v>
      </c>
      <c r="C254" s="55">
        <v>647622</v>
      </c>
      <c r="D254" s="55">
        <v>19792</v>
      </c>
      <c r="E254" s="55">
        <f t="shared" si="3"/>
        <v>667414</v>
      </c>
    </row>
    <row r="255" spans="1:5">
      <c r="A255" t="s">
        <v>575</v>
      </c>
      <c r="B255" t="s">
        <v>576</v>
      </c>
      <c r="C255" s="55">
        <v>1346803</v>
      </c>
      <c r="D255" s="55">
        <v>44279</v>
      </c>
      <c r="E255" s="55">
        <f t="shared" si="3"/>
        <v>1391082</v>
      </c>
    </row>
    <row r="256" spans="1:5">
      <c r="A256" t="s">
        <v>577</v>
      </c>
      <c r="B256" t="s">
        <v>578</v>
      </c>
      <c r="C256" s="55">
        <v>140751</v>
      </c>
      <c r="D256" s="55">
        <v>12804</v>
      </c>
      <c r="E256" s="55">
        <f t="shared" si="3"/>
        <v>153555</v>
      </c>
    </row>
    <row r="257" spans="1:5">
      <c r="A257" t="s">
        <v>579</v>
      </c>
      <c r="B257" t="s">
        <v>580</v>
      </c>
      <c r="C257" s="55">
        <v>1183696</v>
      </c>
      <c r="D257" s="55">
        <v>28425</v>
      </c>
      <c r="E257" s="55">
        <f t="shared" si="3"/>
        <v>1212121</v>
      </c>
    </row>
    <row r="258" spans="1:5">
      <c r="A258" t="s">
        <v>581</v>
      </c>
      <c r="B258" t="s">
        <v>582</v>
      </c>
      <c r="C258" s="55">
        <v>164262</v>
      </c>
      <c r="D258" s="55">
        <v>1799</v>
      </c>
      <c r="E258" s="55">
        <f t="shared" si="3"/>
        <v>166061</v>
      </c>
    </row>
    <row r="259" spans="1:5">
      <c r="A259" t="s">
        <v>583</v>
      </c>
      <c r="B259" t="s">
        <v>584</v>
      </c>
      <c r="C259" s="55">
        <v>4906949</v>
      </c>
      <c r="D259" s="55">
        <v>117140</v>
      </c>
      <c r="E259" s="55">
        <f t="shared" si="3"/>
        <v>5024089</v>
      </c>
    </row>
    <row r="260" spans="1:5">
      <c r="A260" t="s">
        <v>585</v>
      </c>
      <c r="B260" t="s">
        <v>586</v>
      </c>
      <c r="C260" s="55">
        <v>305647</v>
      </c>
      <c r="D260" s="55">
        <v>8035</v>
      </c>
      <c r="E260" s="55">
        <f t="shared" si="3"/>
        <v>313682</v>
      </c>
    </row>
    <row r="261" spans="1:5">
      <c r="A261" t="s">
        <v>702</v>
      </c>
      <c r="B261" t="s">
        <v>1380</v>
      </c>
      <c r="C261" s="55">
        <v>112330</v>
      </c>
      <c r="D261" s="55">
        <v>1104</v>
      </c>
      <c r="E261" s="55">
        <f t="shared" si="3"/>
        <v>113434</v>
      </c>
    </row>
    <row r="262" spans="1:5">
      <c r="A262" t="s">
        <v>701</v>
      </c>
      <c r="B262" t="s">
        <v>587</v>
      </c>
      <c r="C262" s="55">
        <v>41925</v>
      </c>
      <c r="D262" s="55">
        <v>1033</v>
      </c>
      <c r="E262" s="55">
        <f t="shared" ref="E262:E285" si="4">C262+D262</f>
        <v>42958</v>
      </c>
    </row>
    <row r="263" spans="1:5">
      <c r="A263" t="s">
        <v>591</v>
      </c>
      <c r="B263" t="s">
        <v>592</v>
      </c>
      <c r="C263" s="55">
        <v>499141</v>
      </c>
      <c r="D263" s="55">
        <v>17480</v>
      </c>
      <c r="E263" s="55">
        <f t="shared" si="4"/>
        <v>516621</v>
      </c>
    </row>
    <row r="264" spans="1:5">
      <c r="A264" t="s">
        <v>595</v>
      </c>
      <c r="B264" t="s">
        <v>596</v>
      </c>
      <c r="C264" s="55">
        <v>1272191</v>
      </c>
      <c r="D264" s="55">
        <v>29814</v>
      </c>
      <c r="E264" s="55">
        <f t="shared" si="4"/>
        <v>1302005</v>
      </c>
    </row>
    <row r="265" spans="1:5">
      <c r="A265" t="s">
        <v>597</v>
      </c>
      <c r="B265" t="s">
        <v>598</v>
      </c>
      <c r="C265" s="55">
        <v>744283</v>
      </c>
      <c r="D265" s="55">
        <v>37771</v>
      </c>
      <c r="E265" s="55">
        <f t="shared" si="4"/>
        <v>782054</v>
      </c>
    </row>
    <row r="266" spans="1:5">
      <c r="A266" t="s">
        <v>599</v>
      </c>
      <c r="B266" t="s">
        <v>600</v>
      </c>
      <c r="C266" s="55">
        <v>214934</v>
      </c>
      <c r="D266" s="55">
        <v>12144</v>
      </c>
      <c r="E266" s="55">
        <f t="shared" si="4"/>
        <v>227078</v>
      </c>
    </row>
    <row r="267" spans="1:5">
      <c r="A267" t="s">
        <v>601</v>
      </c>
      <c r="B267" t="s">
        <v>602</v>
      </c>
      <c r="C267" s="55">
        <v>580248</v>
      </c>
      <c r="D267" s="55">
        <v>29153</v>
      </c>
      <c r="E267" s="55">
        <f t="shared" si="4"/>
        <v>609401</v>
      </c>
    </row>
    <row r="268" spans="1:5">
      <c r="A268" t="s">
        <v>603</v>
      </c>
      <c r="B268" t="s">
        <v>604</v>
      </c>
      <c r="C268" s="55">
        <v>18814</v>
      </c>
      <c r="D268" s="55">
        <v>1053</v>
      </c>
      <c r="E268" s="55">
        <f t="shared" si="4"/>
        <v>19867</v>
      </c>
    </row>
    <row r="269" spans="1:5">
      <c r="A269" t="s">
        <v>607</v>
      </c>
      <c r="B269" t="s">
        <v>608</v>
      </c>
      <c r="C269" s="55">
        <v>95437</v>
      </c>
      <c r="D269" s="55">
        <v>1355</v>
      </c>
      <c r="E269" s="55">
        <f t="shared" si="4"/>
        <v>96792</v>
      </c>
    </row>
    <row r="270" spans="1:5">
      <c r="A270" t="s">
        <v>609</v>
      </c>
      <c r="B270" t="s">
        <v>610</v>
      </c>
      <c r="C270" s="55">
        <v>1632108</v>
      </c>
      <c r="D270" s="55">
        <v>58791</v>
      </c>
      <c r="E270" s="55">
        <f t="shared" si="4"/>
        <v>1690899</v>
      </c>
    </row>
    <row r="271" spans="1:5">
      <c r="A271" t="s">
        <v>613</v>
      </c>
      <c r="B271" t="s">
        <v>1391</v>
      </c>
      <c r="C271" s="55">
        <v>763685</v>
      </c>
      <c r="D271" s="55">
        <v>31346</v>
      </c>
      <c r="E271" s="55">
        <f t="shared" si="4"/>
        <v>795031</v>
      </c>
    </row>
    <row r="272" spans="1:5">
      <c r="A272" t="s">
        <v>611</v>
      </c>
      <c r="B272" t="s">
        <v>1392</v>
      </c>
      <c r="C272" s="55">
        <v>1168162</v>
      </c>
      <c r="D272" s="55">
        <v>34017</v>
      </c>
      <c r="E272" s="55">
        <f t="shared" si="4"/>
        <v>1202179</v>
      </c>
    </row>
    <row r="273" spans="1:5">
      <c r="A273" t="s">
        <v>615</v>
      </c>
      <c r="B273" t="s">
        <v>952</v>
      </c>
      <c r="C273" s="55">
        <v>18203</v>
      </c>
      <c r="D273" s="55">
        <v>0</v>
      </c>
      <c r="E273" s="55">
        <f t="shared" si="4"/>
        <v>18203</v>
      </c>
    </row>
    <row r="274" spans="1:5">
      <c r="A274" t="s">
        <v>617</v>
      </c>
      <c r="B274" t="s">
        <v>618</v>
      </c>
      <c r="C274" s="55">
        <v>129027</v>
      </c>
      <c r="D274" s="55">
        <v>6227</v>
      </c>
      <c r="E274" s="55">
        <f t="shared" si="4"/>
        <v>135254</v>
      </c>
    </row>
    <row r="275" spans="1:5">
      <c r="A275" t="s">
        <v>619</v>
      </c>
      <c r="B275" t="s">
        <v>620</v>
      </c>
      <c r="C275" s="55">
        <v>905399</v>
      </c>
      <c r="D275" s="55">
        <v>22560</v>
      </c>
      <c r="E275" s="55">
        <f t="shared" si="4"/>
        <v>927959</v>
      </c>
    </row>
    <row r="276" spans="1:5">
      <c r="A276" t="s">
        <v>623</v>
      </c>
      <c r="B276" t="s">
        <v>1393</v>
      </c>
      <c r="C276" s="55">
        <v>34465</v>
      </c>
      <c r="D276" s="55">
        <v>0</v>
      </c>
      <c r="E276" s="55">
        <f t="shared" si="4"/>
        <v>34465</v>
      </c>
    </row>
    <row r="277" spans="1:5">
      <c r="A277" t="s">
        <v>625</v>
      </c>
      <c r="B277" t="s">
        <v>626</v>
      </c>
      <c r="C277" s="55">
        <v>52945</v>
      </c>
      <c r="D277" s="55">
        <v>678</v>
      </c>
      <c r="E277" s="55">
        <f t="shared" si="4"/>
        <v>53623</v>
      </c>
    </row>
    <row r="278" spans="1:5">
      <c r="A278" t="s">
        <v>627</v>
      </c>
      <c r="B278" t="s">
        <v>628</v>
      </c>
      <c r="C278" s="55">
        <v>81788</v>
      </c>
      <c r="D278" s="55">
        <v>2268</v>
      </c>
      <c r="E278" s="55">
        <f t="shared" si="4"/>
        <v>84056</v>
      </c>
    </row>
    <row r="279" spans="1:5">
      <c r="A279" t="s">
        <v>629</v>
      </c>
      <c r="B279" t="s">
        <v>630</v>
      </c>
      <c r="C279" s="55">
        <v>25403</v>
      </c>
      <c r="D279" s="55">
        <v>1095</v>
      </c>
      <c r="E279" s="55">
        <f t="shared" si="4"/>
        <v>26498</v>
      </c>
    </row>
    <row r="280" spans="1:5">
      <c r="A280" t="s">
        <v>631</v>
      </c>
      <c r="B280" t="s">
        <v>632</v>
      </c>
      <c r="C280" s="55">
        <v>186940</v>
      </c>
      <c r="D280" s="55">
        <v>10020</v>
      </c>
      <c r="E280" s="55">
        <f t="shared" si="4"/>
        <v>196960</v>
      </c>
    </row>
    <row r="281" spans="1:5">
      <c r="A281" t="s">
        <v>633</v>
      </c>
      <c r="B281" t="s">
        <v>634</v>
      </c>
      <c r="C281" s="55">
        <v>38528</v>
      </c>
      <c r="D281" s="55">
        <v>3109</v>
      </c>
      <c r="E281" s="55">
        <f t="shared" si="4"/>
        <v>41637</v>
      </c>
    </row>
    <row r="282" spans="1:5">
      <c r="A282" t="s">
        <v>637</v>
      </c>
      <c r="B282" t="s">
        <v>638</v>
      </c>
      <c r="C282" s="55">
        <v>467017</v>
      </c>
      <c r="D282" s="55">
        <v>15216</v>
      </c>
      <c r="E282" s="55">
        <f t="shared" si="4"/>
        <v>482233</v>
      </c>
    </row>
    <row r="283" spans="1:5">
      <c r="A283" t="s">
        <v>639</v>
      </c>
      <c r="B283" t="s">
        <v>640</v>
      </c>
      <c r="C283" s="55">
        <v>3587187</v>
      </c>
      <c r="D283" s="55">
        <v>118100</v>
      </c>
      <c r="E283" s="55">
        <f t="shared" si="4"/>
        <v>3705287</v>
      </c>
    </row>
    <row r="284" spans="1:5">
      <c r="A284" t="s">
        <v>641</v>
      </c>
      <c r="B284" t="s">
        <v>642</v>
      </c>
      <c r="C284" s="55">
        <v>1160161</v>
      </c>
      <c r="D284" s="55">
        <v>27720</v>
      </c>
      <c r="E284" s="55">
        <f t="shared" si="4"/>
        <v>1187881</v>
      </c>
    </row>
    <row r="285" spans="1:5">
      <c r="A285" t="s">
        <v>643</v>
      </c>
      <c r="B285" t="s">
        <v>644</v>
      </c>
      <c r="C285" s="55">
        <v>269078</v>
      </c>
      <c r="D285" s="55">
        <v>7047</v>
      </c>
      <c r="E285" s="55">
        <f t="shared" si="4"/>
        <v>276125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04956-0317-437C-A8BE-7CCC477CAA93}">
  <sheetPr>
    <tabColor rgb="FF92D050"/>
  </sheetPr>
  <dimension ref="A1:I280"/>
  <sheetViews>
    <sheetView topLeftCell="A231" workbookViewId="0">
      <selection activeCell="I16" sqref="I16"/>
    </sheetView>
  </sheetViews>
  <sheetFormatPr defaultRowHeight="12.75"/>
  <cols>
    <col min="2" max="2" width="47.28515625" bestFit="1" customWidth="1"/>
    <col min="3" max="3" width="15.42578125" customWidth="1"/>
    <col min="4" max="4" width="17" customWidth="1"/>
    <col min="5" max="5" width="12.5703125" customWidth="1"/>
  </cols>
  <sheetData>
    <row r="1" spans="1:9" ht="30">
      <c r="A1" s="131" t="s">
        <v>1307</v>
      </c>
      <c r="B1" s="131" t="s">
        <v>681</v>
      </c>
      <c r="C1" s="132" t="s">
        <v>1474</v>
      </c>
      <c r="D1" s="132" t="s">
        <v>1475</v>
      </c>
      <c r="E1" s="132" t="s">
        <v>1477</v>
      </c>
      <c r="H1" s="132" t="s">
        <v>1478</v>
      </c>
      <c r="I1" s="132" t="s">
        <v>1479</v>
      </c>
    </row>
    <row r="2" spans="1:9">
      <c r="A2" t="s">
        <v>6</v>
      </c>
      <c r="B2" t="s">
        <v>794</v>
      </c>
      <c r="C2" s="133">
        <v>24</v>
      </c>
      <c r="D2" s="133">
        <v>1471</v>
      </c>
      <c r="E2" s="133">
        <f>C2+D2</f>
        <v>1495</v>
      </c>
    </row>
    <row r="3" spans="1:9">
      <c r="A3" t="s">
        <v>9</v>
      </c>
      <c r="B3" t="s">
        <v>842</v>
      </c>
      <c r="C3" s="133">
        <v>0</v>
      </c>
      <c r="D3" s="133">
        <v>0</v>
      </c>
      <c r="E3" s="133">
        <f t="shared" ref="E3:E66" si="0">C3+D3</f>
        <v>0</v>
      </c>
    </row>
    <row r="4" spans="1:9">
      <c r="A4" t="s">
        <v>11</v>
      </c>
      <c r="B4" t="s">
        <v>848</v>
      </c>
      <c r="C4" s="133">
        <v>0</v>
      </c>
      <c r="D4" s="133">
        <v>0</v>
      </c>
      <c r="E4" s="133">
        <f t="shared" si="0"/>
        <v>0</v>
      </c>
    </row>
    <row r="5" spans="1:9">
      <c r="A5" t="s">
        <v>14</v>
      </c>
      <c r="B5" t="s">
        <v>890</v>
      </c>
      <c r="C5" s="133">
        <v>0</v>
      </c>
      <c r="D5" s="133">
        <v>0</v>
      </c>
      <c r="E5" s="133">
        <f t="shared" si="0"/>
        <v>0</v>
      </c>
    </row>
    <row r="6" spans="1:9">
      <c r="A6" t="s">
        <v>17</v>
      </c>
      <c r="B6" t="s">
        <v>897</v>
      </c>
      <c r="C6" s="133">
        <v>1993</v>
      </c>
      <c r="D6" s="133">
        <v>796</v>
      </c>
      <c r="E6" s="133">
        <f t="shared" si="0"/>
        <v>2789</v>
      </c>
    </row>
    <row r="7" spans="1:9">
      <c r="A7" t="s">
        <v>19</v>
      </c>
      <c r="B7" t="s">
        <v>752</v>
      </c>
      <c r="C7" s="133">
        <v>0</v>
      </c>
      <c r="D7" s="133">
        <v>0</v>
      </c>
      <c r="E7" s="133">
        <f t="shared" si="0"/>
        <v>0</v>
      </c>
    </row>
    <row r="8" spans="1:9">
      <c r="A8" t="s">
        <v>22</v>
      </c>
      <c r="B8" t="s">
        <v>818</v>
      </c>
      <c r="C8" s="133">
        <v>266225</v>
      </c>
      <c r="D8" s="133">
        <v>44890</v>
      </c>
      <c r="E8" s="133">
        <f t="shared" si="0"/>
        <v>311115</v>
      </c>
    </row>
    <row r="9" spans="1:9">
      <c r="A9" t="s">
        <v>25</v>
      </c>
      <c r="B9" t="s">
        <v>832</v>
      </c>
      <c r="C9" s="133">
        <v>0</v>
      </c>
      <c r="D9" s="133">
        <v>0</v>
      </c>
      <c r="E9" s="133">
        <f t="shared" si="0"/>
        <v>0</v>
      </c>
    </row>
    <row r="10" spans="1:9">
      <c r="A10" t="s">
        <v>27</v>
      </c>
      <c r="B10" t="s">
        <v>703</v>
      </c>
      <c r="C10" s="133">
        <v>33276</v>
      </c>
      <c r="D10" s="133">
        <v>199</v>
      </c>
      <c r="E10" s="133">
        <f t="shared" si="0"/>
        <v>33475</v>
      </c>
    </row>
    <row r="11" spans="1:9">
      <c r="A11" t="s">
        <v>30</v>
      </c>
      <c r="B11" t="s">
        <v>704</v>
      </c>
      <c r="C11" s="133">
        <v>34218</v>
      </c>
      <c r="D11" s="133">
        <v>0</v>
      </c>
      <c r="E11" s="133">
        <f t="shared" si="0"/>
        <v>34218</v>
      </c>
    </row>
    <row r="12" spans="1:9">
      <c r="A12" t="s">
        <v>32</v>
      </c>
      <c r="B12" t="s">
        <v>945</v>
      </c>
      <c r="C12" s="133">
        <v>0</v>
      </c>
      <c r="D12" s="133">
        <v>0</v>
      </c>
      <c r="E12" s="133">
        <f t="shared" si="0"/>
        <v>0</v>
      </c>
    </row>
    <row r="13" spans="1:9">
      <c r="A13" t="s">
        <v>34</v>
      </c>
      <c r="B13" t="s">
        <v>1476</v>
      </c>
      <c r="C13" s="133">
        <v>1375</v>
      </c>
      <c r="D13" s="133">
        <v>41</v>
      </c>
      <c r="E13" s="133">
        <f t="shared" si="0"/>
        <v>1416</v>
      </c>
    </row>
    <row r="14" spans="1:9">
      <c r="A14" t="s">
        <v>36</v>
      </c>
      <c r="B14" t="s">
        <v>705</v>
      </c>
      <c r="C14" s="133">
        <v>0</v>
      </c>
      <c r="D14" s="133">
        <v>24171</v>
      </c>
      <c r="E14" s="133">
        <f t="shared" si="0"/>
        <v>24171</v>
      </c>
    </row>
    <row r="15" spans="1:9">
      <c r="A15" t="s">
        <v>41</v>
      </c>
      <c r="B15" t="s">
        <v>947</v>
      </c>
      <c r="C15" s="133">
        <v>1152</v>
      </c>
      <c r="D15" s="133">
        <v>4</v>
      </c>
      <c r="E15" s="133">
        <f t="shared" si="0"/>
        <v>1156</v>
      </c>
    </row>
    <row r="16" spans="1:9">
      <c r="A16" t="s">
        <v>43</v>
      </c>
      <c r="B16" t="s">
        <v>706</v>
      </c>
      <c r="C16" s="133">
        <v>1</v>
      </c>
      <c r="D16" s="133">
        <v>0</v>
      </c>
      <c r="E16" s="133">
        <f t="shared" si="0"/>
        <v>1</v>
      </c>
    </row>
    <row r="17" spans="1:5">
      <c r="A17" t="s">
        <v>45</v>
      </c>
      <c r="B17" t="s">
        <v>831</v>
      </c>
      <c r="C17" s="133">
        <v>0</v>
      </c>
      <c r="D17" s="133">
        <v>0</v>
      </c>
      <c r="E17" s="133">
        <f t="shared" si="0"/>
        <v>0</v>
      </c>
    </row>
    <row r="18" spans="1:5">
      <c r="A18" t="s">
        <v>48</v>
      </c>
      <c r="B18" t="s">
        <v>861</v>
      </c>
      <c r="C18" s="133">
        <v>104934</v>
      </c>
      <c r="D18" s="133">
        <v>3532</v>
      </c>
      <c r="E18" s="133">
        <f t="shared" si="0"/>
        <v>108466</v>
      </c>
    </row>
    <row r="19" spans="1:5">
      <c r="A19" t="s">
        <v>51</v>
      </c>
      <c r="B19" t="s">
        <v>778</v>
      </c>
      <c r="C19" s="133">
        <v>15298</v>
      </c>
      <c r="D19" s="133">
        <v>0</v>
      </c>
      <c r="E19" s="133">
        <f t="shared" si="0"/>
        <v>15298</v>
      </c>
    </row>
    <row r="20" spans="1:5">
      <c r="A20" t="s">
        <v>53</v>
      </c>
      <c r="B20" t="s">
        <v>807</v>
      </c>
      <c r="C20" s="133">
        <v>0</v>
      </c>
      <c r="D20" s="133">
        <v>0</v>
      </c>
      <c r="E20" s="133">
        <f t="shared" si="0"/>
        <v>0</v>
      </c>
    </row>
    <row r="21" spans="1:5">
      <c r="A21" t="s">
        <v>55</v>
      </c>
      <c r="B21" t="s">
        <v>889</v>
      </c>
      <c r="C21" s="133">
        <v>11604</v>
      </c>
      <c r="D21" s="133">
        <v>2750</v>
      </c>
      <c r="E21" s="133">
        <f t="shared" si="0"/>
        <v>14354</v>
      </c>
    </row>
    <row r="22" spans="1:5">
      <c r="A22" t="s">
        <v>57</v>
      </c>
      <c r="B22" t="s">
        <v>770</v>
      </c>
      <c r="C22" s="133">
        <v>0</v>
      </c>
      <c r="D22" s="133">
        <v>0</v>
      </c>
      <c r="E22" s="133">
        <f t="shared" si="0"/>
        <v>0</v>
      </c>
    </row>
    <row r="23" spans="1:5">
      <c r="A23" t="s">
        <v>59</v>
      </c>
      <c r="B23" t="s">
        <v>764</v>
      </c>
      <c r="C23" s="133">
        <v>0</v>
      </c>
      <c r="D23" s="133">
        <v>0</v>
      </c>
      <c r="E23" s="133">
        <f t="shared" si="0"/>
        <v>0</v>
      </c>
    </row>
    <row r="24" spans="1:5">
      <c r="A24" t="s">
        <v>61</v>
      </c>
      <c r="B24" t="s">
        <v>873</v>
      </c>
      <c r="C24" s="133">
        <v>0</v>
      </c>
      <c r="D24" s="133">
        <v>0</v>
      </c>
      <c r="E24" s="133">
        <f t="shared" si="0"/>
        <v>0</v>
      </c>
    </row>
    <row r="25" spans="1:5">
      <c r="A25" t="s">
        <v>65</v>
      </c>
      <c r="B25" t="s">
        <v>1308</v>
      </c>
      <c r="C25" s="133">
        <v>0</v>
      </c>
      <c r="D25" s="133">
        <v>61</v>
      </c>
      <c r="E25" s="133">
        <f t="shared" si="0"/>
        <v>61</v>
      </c>
    </row>
    <row r="26" spans="1:5">
      <c r="A26" t="s">
        <v>67</v>
      </c>
      <c r="B26" t="s">
        <v>775</v>
      </c>
      <c r="C26" s="133">
        <v>0</v>
      </c>
      <c r="D26" s="133">
        <v>0</v>
      </c>
      <c r="E26" s="133">
        <f t="shared" si="0"/>
        <v>0</v>
      </c>
    </row>
    <row r="27" spans="1:5">
      <c r="A27" t="s">
        <v>69</v>
      </c>
      <c r="B27" t="s">
        <v>696</v>
      </c>
      <c r="C27" s="133">
        <v>0</v>
      </c>
      <c r="D27" s="133">
        <v>0</v>
      </c>
      <c r="E27" s="133">
        <f t="shared" si="0"/>
        <v>0</v>
      </c>
    </row>
    <row r="28" spans="1:5">
      <c r="A28" t="s">
        <v>73</v>
      </c>
      <c r="B28" t="s">
        <v>834</v>
      </c>
      <c r="C28" s="133">
        <v>1</v>
      </c>
      <c r="D28" s="133">
        <v>0</v>
      </c>
      <c r="E28" s="133">
        <f t="shared" si="0"/>
        <v>1</v>
      </c>
    </row>
    <row r="29" spans="1:5">
      <c r="A29" t="s">
        <v>75</v>
      </c>
      <c r="B29" t="s">
        <v>909</v>
      </c>
      <c r="C29" s="133">
        <v>0</v>
      </c>
      <c r="D29" s="133">
        <v>0</v>
      </c>
      <c r="E29" s="133">
        <f t="shared" si="0"/>
        <v>0</v>
      </c>
    </row>
    <row r="30" spans="1:5">
      <c r="A30" t="s">
        <v>77</v>
      </c>
      <c r="B30" t="s">
        <v>707</v>
      </c>
      <c r="C30" s="133">
        <v>0</v>
      </c>
      <c r="D30" s="133">
        <v>0</v>
      </c>
      <c r="E30" s="133">
        <f t="shared" si="0"/>
        <v>0</v>
      </c>
    </row>
    <row r="31" spans="1:5">
      <c r="A31" t="s">
        <v>79</v>
      </c>
      <c r="B31" t="s">
        <v>844</v>
      </c>
      <c r="C31" s="133">
        <v>0</v>
      </c>
      <c r="D31" s="133">
        <v>0</v>
      </c>
      <c r="E31" s="133">
        <f t="shared" si="0"/>
        <v>0</v>
      </c>
    </row>
    <row r="32" spans="1:5">
      <c r="A32" t="s">
        <v>81</v>
      </c>
      <c r="B32" t="s">
        <v>911</v>
      </c>
      <c r="C32" s="133">
        <v>0</v>
      </c>
      <c r="D32" s="133">
        <v>194</v>
      </c>
      <c r="E32" s="133">
        <f t="shared" si="0"/>
        <v>194</v>
      </c>
    </row>
    <row r="33" spans="1:5">
      <c r="A33" t="s">
        <v>83</v>
      </c>
      <c r="B33" t="s">
        <v>708</v>
      </c>
      <c r="C33" s="133">
        <v>0</v>
      </c>
      <c r="D33" s="133">
        <v>0</v>
      </c>
      <c r="E33" s="133">
        <f t="shared" si="0"/>
        <v>0</v>
      </c>
    </row>
    <row r="34" spans="1:5">
      <c r="A34" t="s">
        <v>85</v>
      </c>
      <c r="B34" t="s">
        <v>809</v>
      </c>
      <c r="C34" s="133">
        <v>0</v>
      </c>
      <c r="D34" s="133">
        <v>0</v>
      </c>
      <c r="E34" s="133">
        <f t="shared" si="0"/>
        <v>0</v>
      </c>
    </row>
    <row r="35" spans="1:5">
      <c r="A35" t="s">
        <v>87</v>
      </c>
      <c r="B35" t="s">
        <v>751</v>
      </c>
      <c r="C35" s="133">
        <v>0</v>
      </c>
      <c r="D35" s="133">
        <v>2</v>
      </c>
      <c r="E35" s="133">
        <f t="shared" si="0"/>
        <v>2</v>
      </c>
    </row>
    <row r="36" spans="1:5">
      <c r="A36" t="s">
        <v>89</v>
      </c>
      <c r="B36" t="s">
        <v>840</v>
      </c>
      <c r="C36" s="133">
        <v>0</v>
      </c>
      <c r="D36" s="133">
        <v>0</v>
      </c>
      <c r="E36" s="133">
        <f t="shared" si="0"/>
        <v>0</v>
      </c>
    </row>
    <row r="37" spans="1:5">
      <c r="A37" t="s">
        <v>91</v>
      </c>
      <c r="B37" t="s">
        <v>709</v>
      </c>
      <c r="C37" s="133">
        <v>11881</v>
      </c>
      <c r="D37" s="133">
        <v>0</v>
      </c>
      <c r="E37" s="133">
        <f t="shared" si="0"/>
        <v>11881</v>
      </c>
    </row>
    <row r="38" spans="1:5">
      <c r="A38" t="s">
        <v>93</v>
      </c>
      <c r="B38" t="s">
        <v>957</v>
      </c>
      <c r="C38" s="133">
        <v>0</v>
      </c>
      <c r="D38" s="133">
        <v>0</v>
      </c>
      <c r="E38" s="133">
        <f t="shared" si="0"/>
        <v>0</v>
      </c>
    </row>
    <row r="39" spans="1:5">
      <c r="A39" t="s">
        <v>95</v>
      </c>
      <c r="B39" t="s">
        <v>941</v>
      </c>
      <c r="C39" s="133">
        <v>0</v>
      </c>
      <c r="D39" s="133">
        <v>1</v>
      </c>
      <c r="E39" s="133">
        <f t="shared" si="0"/>
        <v>1</v>
      </c>
    </row>
    <row r="40" spans="1:5">
      <c r="A40" t="s">
        <v>97</v>
      </c>
      <c r="B40" t="s">
        <v>961</v>
      </c>
      <c r="C40" s="133">
        <v>0</v>
      </c>
      <c r="D40" s="133">
        <v>0</v>
      </c>
      <c r="E40" s="133">
        <f t="shared" si="0"/>
        <v>0</v>
      </c>
    </row>
    <row r="41" spans="1:5">
      <c r="A41" t="s">
        <v>99</v>
      </c>
      <c r="B41" t="s">
        <v>926</v>
      </c>
      <c r="C41" s="133">
        <v>0</v>
      </c>
      <c r="D41" s="133">
        <v>0</v>
      </c>
      <c r="E41" s="133">
        <f t="shared" si="0"/>
        <v>0</v>
      </c>
    </row>
    <row r="42" spans="1:5">
      <c r="A42" t="s">
        <v>101</v>
      </c>
      <c r="B42" t="s">
        <v>943</v>
      </c>
      <c r="C42" s="133">
        <v>120411</v>
      </c>
      <c r="D42" s="133">
        <v>2125</v>
      </c>
      <c r="E42" s="133">
        <f t="shared" si="0"/>
        <v>122536</v>
      </c>
    </row>
    <row r="43" spans="1:5">
      <c r="A43" t="s">
        <v>103</v>
      </c>
      <c r="B43" t="s">
        <v>922</v>
      </c>
      <c r="C43" s="133">
        <v>0</v>
      </c>
      <c r="D43" s="133">
        <v>0</v>
      </c>
      <c r="E43" s="133">
        <f t="shared" si="0"/>
        <v>0</v>
      </c>
    </row>
    <row r="44" spans="1:5">
      <c r="A44" t="s">
        <v>105</v>
      </c>
      <c r="B44" t="s">
        <v>888</v>
      </c>
      <c r="C44" s="133">
        <v>0</v>
      </c>
      <c r="D44" s="133">
        <v>0</v>
      </c>
      <c r="E44" s="133">
        <f t="shared" si="0"/>
        <v>0</v>
      </c>
    </row>
    <row r="45" spans="1:5">
      <c r="A45" t="s">
        <v>107</v>
      </c>
      <c r="B45" t="s">
        <v>892</v>
      </c>
      <c r="C45" s="133">
        <v>0</v>
      </c>
      <c r="D45" s="133">
        <v>0</v>
      </c>
      <c r="E45" s="133">
        <f t="shared" si="0"/>
        <v>0</v>
      </c>
    </row>
    <row r="46" spans="1:5">
      <c r="A46" t="s">
        <v>109</v>
      </c>
      <c r="B46" t="s">
        <v>799</v>
      </c>
      <c r="C46" s="133">
        <v>1466</v>
      </c>
      <c r="D46" s="133">
        <v>0</v>
      </c>
      <c r="E46" s="133">
        <f t="shared" si="0"/>
        <v>1466</v>
      </c>
    </row>
    <row r="47" spans="1:5">
      <c r="A47" t="s">
        <v>111</v>
      </c>
      <c r="B47" t="s">
        <v>787</v>
      </c>
      <c r="C47" s="133">
        <v>34</v>
      </c>
      <c r="D47" s="133">
        <v>0</v>
      </c>
      <c r="E47" s="133">
        <f t="shared" si="0"/>
        <v>34</v>
      </c>
    </row>
    <row r="48" spans="1:5">
      <c r="A48" t="s">
        <v>113</v>
      </c>
      <c r="B48" t="s">
        <v>804</v>
      </c>
      <c r="C48" s="133">
        <v>10509</v>
      </c>
      <c r="D48" s="133">
        <v>0</v>
      </c>
      <c r="E48" s="133">
        <f t="shared" si="0"/>
        <v>10509</v>
      </c>
    </row>
    <row r="49" spans="1:5">
      <c r="A49" t="s">
        <v>115</v>
      </c>
      <c r="B49" t="s">
        <v>762</v>
      </c>
      <c r="C49" s="133">
        <v>85</v>
      </c>
      <c r="D49" s="133">
        <v>1</v>
      </c>
      <c r="E49" s="133">
        <f t="shared" si="0"/>
        <v>86</v>
      </c>
    </row>
    <row r="50" spans="1:5">
      <c r="A50" t="s">
        <v>117</v>
      </c>
      <c r="B50" t="s">
        <v>849</v>
      </c>
      <c r="C50" s="133">
        <v>1</v>
      </c>
      <c r="D50" s="133">
        <v>0</v>
      </c>
      <c r="E50" s="133">
        <f t="shared" si="0"/>
        <v>1</v>
      </c>
    </row>
    <row r="51" spans="1:5">
      <c r="A51" t="s">
        <v>119</v>
      </c>
      <c r="B51" t="s">
        <v>780</v>
      </c>
      <c r="C51" s="133">
        <v>0</v>
      </c>
      <c r="D51" s="133">
        <v>0</v>
      </c>
      <c r="E51" s="133">
        <f t="shared" si="0"/>
        <v>0</v>
      </c>
    </row>
    <row r="52" spans="1:5">
      <c r="A52" t="s">
        <v>121</v>
      </c>
      <c r="B52" t="s">
        <v>869</v>
      </c>
      <c r="C52" s="133">
        <v>0</v>
      </c>
      <c r="D52" s="133">
        <v>1797</v>
      </c>
      <c r="E52" s="133">
        <f t="shared" si="0"/>
        <v>1797</v>
      </c>
    </row>
    <row r="53" spans="1:5">
      <c r="A53" t="s">
        <v>125</v>
      </c>
      <c r="B53" t="s">
        <v>902</v>
      </c>
      <c r="C53" s="133">
        <v>6285</v>
      </c>
      <c r="D53" s="133">
        <v>1868</v>
      </c>
      <c r="E53" s="133">
        <f t="shared" si="0"/>
        <v>8153</v>
      </c>
    </row>
    <row r="54" spans="1:5">
      <c r="A54" t="s">
        <v>127</v>
      </c>
      <c r="B54" t="s">
        <v>853</v>
      </c>
      <c r="C54" s="133">
        <v>2848</v>
      </c>
      <c r="D54" s="133">
        <v>1</v>
      </c>
      <c r="E54" s="133">
        <f t="shared" si="0"/>
        <v>2849</v>
      </c>
    </row>
    <row r="55" spans="1:5">
      <c r="A55" t="s">
        <v>131</v>
      </c>
      <c r="B55" t="s">
        <v>915</v>
      </c>
      <c r="C55" s="133">
        <v>105616</v>
      </c>
      <c r="D55" s="133">
        <v>0</v>
      </c>
      <c r="E55" s="133">
        <f t="shared" si="0"/>
        <v>105616</v>
      </c>
    </row>
    <row r="56" spans="1:5">
      <c r="A56" t="s">
        <v>133</v>
      </c>
      <c r="B56" t="s">
        <v>875</v>
      </c>
      <c r="C56" s="133">
        <v>0</v>
      </c>
      <c r="D56" s="133">
        <v>0</v>
      </c>
      <c r="E56" s="133">
        <f t="shared" si="0"/>
        <v>0</v>
      </c>
    </row>
    <row r="57" spans="1:5">
      <c r="A57" t="s">
        <v>137</v>
      </c>
      <c r="B57" t="s">
        <v>912</v>
      </c>
      <c r="C57" s="133">
        <v>0</v>
      </c>
      <c r="D57" s="133">
        <v>0</v>
      </c>
      <c r="E57" s="133">
        <f t="shared" si="0"/>
        <v>0</v>
      </c>
    </row>
    <row r="58" spans="1:5">
      <c r="A58" t="s">
        <v>139</v>
      </c>
      <c r="B58" t="s">
        <v>970</v>
      </c>
      <c r="C58" s="133">
        <v>195973</v>
      </c>
      <c r="D58" s="133">
        <v>954</v>
      </c>
      <c r="E58" s="133">
        <f t="shared" si="0"/>
        <v>196927</v>
      </c>
    </row>
    <row r="59" spans="1:5">
      <c r="A59" t="s">
        <v>141</v>
      </c>
      <c r="B59" t="s">
        <v>710</v>
      </c>
      <c r="C59" s="133">
        <v>0</v>
      </c>
      <c r="D59" s="133">
        <v>23</v>
      </c>
      <c r="E59" s="133">
        <f t="shared" si="0"/>
        <v>23</v>
      </c>
    </row>
    <row r="60" spans="1:5">
      <c r="A60" t="s">
        <v>143</v>
      </c>
      <c r="B60" t="s">
        <v>837</v>
      </c>
      <c r="C60" s="133">
        <v>6471</v>
      </c>
      <c r="D60" s="133">
        <v>596</v>
      </c>
      <c r="E60" s="133">
        <f t="shared" si="0"/>
        <v>7067</v>
      </c>
    </row>
    <row r="61" spans="1:5">
      <c r="A61" t="s">
        <v>145</v>
      </c>
      <c r="B61" t="s">
        <v>879</v>
      </c>
      <c r="C61" s="133">
        <v>116517</v>
      </c>
      <c r="D61" s="133">
        <v>8772</v>
      </c>
      <c r="E61" s="133">
        <f t="shared" si="0"/>
        <v>125289</v>
      </c>
    </row>
    <row r="62" spans="1:5">
      <c r="A62" t="s">
        <v>147</v>
      </c>
      <c r="B62" t="s">
        <v>711</v>
      </c>
      <c r="C62" s="133">
        <v>1</v>
      </c>
      <c r="D62" s="133">
        <v>9349</v>
      </c>
      <c r="E62" s="133">
        <f t="shared" si="0"/>
        <v>9350</v>
      </c>
    </row>
    <row r="63" spans="1:5">
      <c r="A63" t="s">
        <v>1309</v>
      </c>
      <c r="B63" t="s">
        <v>712</v>
      </c>
      <c r="C63" s="133">
        <v>0</v>
      </c>
      <c r="D63" s="133">
        <v>0</v>
      </c>
      <c r="E63" s="133">
        <f t="shared" si="0"/>
        <v>0</v>
      </c>
    </row>
    <row r="64" spans="1:5">
      <c r="A64" t="s">
        <v>149</v>
      </c>
      <c r="B64" t="s">
        <v>713</v>
      </c>
      <c r="C64" s="133">
        <v>0</v>
      </c>
      <c r="D64" s="133">
        <v>0</v>
      </c>
      <c r="E64" s="133">
        <f t="shared" si="0"/>
        <v>0</v>
      </c>
    </row>
    <row r="65" spans="1:5">
      <c r="A65" t="s">
        <v>151</v>
      </c>
      <c r="B65" t="s">
        <v>797</v>
      </c>
      <c r="C65" s="133">
        <v>84393</v>
      </c>
      <c r="D65" s="133">
        <v>8532</v>
      </c>
      <c r="E65" s="133">
        <f t="shared" si="0"/>
        <v>92925</v>
      </c>
    </row>
    <row r="66" spans="1:5">
      <c r="A66" t="s">
        <v>153</v>
      </c>
      <c r="B66" t="s">
        <v>962</v>
      </c>
      <c r="C66" s="133">
        <v>0</v>
      </c>
      <c r="D66" s="133">
        <v>0</v>
      </c>
      <c r="E66" s="133">
        <f t="shared" si="0"/>
        <v>0</v>
      </c>
    </row>
    <row r="67" spans="1:5">
      <c r="A67" t="s">
        <v>157</v>
      </c>
      <c r="B67" t="s">
        <v>810</v>
      </c>
      <c r="C67" s="133">
        <v>7778</v>
      </c>
      <c r="D67" s="133">
        <v>194</v>
      </c>
      <c r="E67" s="133">
        <f t="shared" ref="E67:E130" si="1">C67+D67</f>
        <v>7972</v>
      </c>
    </row>
    <row r="68" spans="1:5">
      <c r="A68" t="s">
        <v>159</v>
      </c>
      <c r="B68" t="s">
        <v>791</v>
      </c>
      <c r="C68" s="133">
        <v>26446</v>
      </c>
      <c r="D68" s="133">
        <v>2936</v>
      </c>
      <c r="E68" s="133">
        <f t="shared" si="1"/>
        <v>29382</v>
      </c>
    </row>
    <row r="69" spans="1:5">
      <c r="A69" t="s">
        <v>163</v>
      </c>
      <c r="B69" t="s">
        <v>841</v>
      </c>
      <c r="C69" s="133">
        <v>0</v>
      </c>
      <c r="D69" s="133">
        <v>1</v>
      </c>
      <c r="E69" s="133">
        <f t="shared" si="1"/>
        <v>1</v>
      </c>
    </row>
    <row r="70" spans="1:5">
      <c r="A70" t="s">
        <v>165</v>
      </c>
      <c r="B70" t="s">
        <v>894</v>
      </c>
      <c r="C70" s="133">
        <v>0</v>
      </c>
      <c r="D70" s="133">
        <v>0</v>
      </c>
      <c r="E70" s="133">
        <f t="shared" si="1"/>
        <v>0</v>
      </c>
    </row>
    <row r="71" spans="1:5">
      <c r="A71" t="s">
        <v>167</v>
      </c>
      <c r="B71" t="s">
        <v>769</v>
      </c>
      <c r="C71" s="133">
        <v>0</v>
      </c>
      <c r="D71" s="133">
        <v>0</v>
      </c>
      <c r="E71" s="133">
        <f t="shared" si="1"/>
        <v>0</v>
      </c>
    </row>
    <row r="72" spans="1:5">
      <c r="A72" t="s">
        <v>169</v>
      </c>
      <c r="B72" t="s">
        <v>925</v>
      </c>
      <c r="C72" s="133">
        <v>0</v>
      </c>
      <c r="D72" s="133">
        <v>0</v>
      </c>
      <c r="E72" s="133">
        <f t="shared" si="1"/>
        <v>0</v>
      </c>
    </row>
    <row r="73" spans="1:5">
      <c r="A73" t="s">
        <v>171</v>
      </c>
      <c r="B73" t="s">
        <v>714</v>
      </c>
      <c r="C73" s="133">
        <v>151041</v>
      </c>
      <c r="D73" s="133">
        <v>0</v>
      </c>
      <c r="E73" s="133">
        <f t="shared" si="1"/>
        <v>151041</v>
      </c>
    </row>
    <row r="74" spans="1:5">
      <c r="A74" t="s">
        <v>173</v>
      </c>
      <c r="B74" t="s">
        <v>946</v>
      </c>
      <c r="C74" s="133">
        <v>42290</v>
      </c>
      <c r="D74" s="133">
        <v>288</v>
      </c>
      <c r="E74" s="133">
        <f t="shared" si="1"/>
        <v>42578</v>
      </c>
    </row>
    <row r="75" spans="1:5">
      <c r="A75" t="s">
        <v>175</v>
      </c>
      <c r="B75" t="s">
        <v>881</v>
      </c>
      <c r="C75" s="133">
        <v>0</v>
      </c>
      <c r="D75" s="133">
        <v>0</v>
      </c>
      <c r="E75" s="133">
        <f t="shared" si="1"/>
        <v>0</v>
      </c>
    </row>
    <row r="76" spans="1:5">
      <c r="A76" t="s">
        <v>177</v>
      </c>
      <c r="B76" t="s">
        <v>755</v>
      </c>
      <c r="C76" s="133">
        <v>27514</v>
      </c>
      <c r="D76" s="133">
        <v>223</v>
      </c>
      <c r="E76" s="133">
        <f t="shared" si="1"/>
        <v>27737</v>
      </c>
    </row>
    <row r="77" spans="1:5">
      <c r="A77" t="s">
        <v>179</v>
      </c>
      <c r="B77" t="s">
        <v>878</v>
      </c>
      <c r="C77" s="133">
        <v>27060</v>
      </c>
      <c r="D77" s="133">
        <v>0</v>
      </c>
      <c r="E77" s="133">
        <f t="shared" si="1"/>
        <v>27060</v>
      </c>
    </row>
    <row r="78" spans="1:5">
      <c r="A78" t="s">
        <v>181</v>
      </c>
      <c r="B78" t="s">
        <v>910</v>
      </c>
      <c r="C78" s="133">
        <v>0</v>
      </c>
      <c r="D78" s="133">
        <v>0</v>
      </c>
      <c r="E78" s="133">
        <f t="shared" si="1"/>
        <v>0</v>
      </c>
    </row>
    <row r="79" spans="1:5">
      <c r="A79" t="s">
        <v>183</v>
      </c>
      <c r="B79" t="s">
        <v>959</v>
      </c>
      <c r="C79" s="133">
        <v>0</v>
      </c>
      <c r="D79" s="133">
        <v>0</v>
      </c>
      <c r="E79" s="133">
        <f t="shared" si="1"/>
        <v>0</v>
      </c>
    </row>
    <row r="80" spans="1:5">
      <c r="A80" t="s">
        <v>189</v>
      </c>
      <c r="B80" t="s">
        <v>793</v>
      </c>
      <c r="C80" s="133">
        <v>1167</v>
      </c>
      <c r="D80" s="133">
        <v>0</v>
      </c>
      <c r="E80" s="133">
        <f t="shared" si="1"/>
        <v>1167</v>
      </c>
    </row>
    <row r="81" spans="1:5">
      <c r="A81" t="s">
        <v>191</v>
      </c>
      <c r="B81" t="s">
        <v>973</v>
      </c>
      <c r="C81" s="133">
        <v>0</v>
      </c>
      <c r="D81" s="133">
        <v>0</v>
      </c>
      <c r="E81" s="133">
        <f t="shared" si="1"/>
        <v>0</v>
      </c>
    </row>
    <row r="82" spans="1:5">
      <c r="A82" t="s">
        <v>193</v>
      </c>
      <c r="B82" t="s">
        <v>977</v>
      </c>
      <c r="C82" s="133">
        <v>0</v>
      </c>
      <c r="D82" s="133">
        <v>2469</v>
      </c>
      <c r="E82" s="133">
        <f t="shared" si="1"/>
        <v>2469</v>
      </c>
    </row>
    <row r="83" spans="1:5">
      <c r="A83" t="s">
        <v>195</v>
      </c>
      <c r="B83" t="s">
        <v>715</v>
      </c>
      <c r="C83" s="133">
        <v>359</v>
      </c>
      <c r="D83" s="133">
        <v>0</v>
      </c>
      <c r="E83" s="133">
        <f t="shared" si="1"/>
        <v>359</v>
      </c>
    </row>
    <row r="84" spans="1:5">
      <c r="A84" t="s">
        <v>197</v>
      </c>
      <c r="B84" t="s">
        <v>855</v>
      </c>
      <c r="C84" s="133">
        <v>0</v>
      </c>
      <c r="D84" s="133">
        <v>0</v>
      </c>
      <c r="E84" s="133">
        <f t="shared" si="1"/>
        <v>0</v>
      </c>
    </row>
    <row r="85" spans="1:5">
      <c r="A85" t="s">
        <v>199</v>
      </c>
      <c r="B85" t="s">
        <v>906</v>
      </c>
      <c r="C85" s="133">
        <v>0</v>
      </c>
      <c r="D85" s="133">
        <v>0</v>
      </c>
      <c r="E85" s="133">
        <f t="shared" si="1"/>
        <v>0</v>
      </c>
    </row>
    <row r="86" spans="1:5">
      <c r="A86" t="s">
        <v>203</v>
      </c>
      <c r="B86" t="s">
        <v>934</v>
      </c>
      <c r="C86" s="133">
        <v>0</v>
      </c>
      <c r="D86" s="133">
        <v>0</v>
      </c>
      <c r="E86" s="133">
        <f t="shared" si="1"/>
        <v>0</v>
      </c>
    </row>
    <row r="87" spans="1:5">
      <c r="A87" t="s">
        <v>205</v>
      </c>
      <c r="B87" t="s">
        <v>852</v>
      </c>
      <c r="C87" s="133">
        <v>0</v>
      </c>
      <c r="D87" s="133">
        <v>1</v>
      </c>
      <c r="E87" s="133">
        <f t="shared" si="1"/>
        <v>1</v>
      </c>
    </row>
    <row r="88" spans="1:5">
      <c r="A88" t="s">
        <v>207</v>
      </c>
      <c r="B88" t="s">
        <v>976</v>
      </c>
      <c r="C88" s="133">
        <v>126798</v>
      </c>
      <c r="D88" s="133">
        <v>9399</v>
      </c>
      <c r="E88" s="133">
        <f t="shared" si="1"/>
        <v>136197</v>
      </c>
    </row>
    <row r="89" spans="1:5">
      <c r="A89" t="s">
        <v>209</v>
      </c>
      <c r="B89" t="s">
        <v>812</v>
      </c>
      <c r="C89" s="133">
        <v>221005</v>
      </c>
      <c r="D89" s="133">
        <v>0</v>
      </c>
      <c r="E89" s="133">
        <f t="shared" si="1"/>
        <v>221005</v>
      </c>
    </row>
    <row r="90" spans="1:5">
      <c r="A90" t="s">
        <v>211</v>
      </c>
      <c r="B90" t="s">
        <v>716</v>
      </c>
      <c r="C90" s="133">
        <v>0</v>
      </c>
      <c r="D90" s="133">
        <v>0</v>
      </c>
      <c r="E90" s="133">
        <f t="shared" si="1"/>
        <v>0</v>
      </c>
    </row>
    <row r="91" spans="1:5">
      <c r="A91" t="s">
        <v>213</v>
      </c>
      <c r="B91" t="s">
        <v>859</v>
      </c>
      <c r="C91" s="133">
        <v>1</v>
      </c>
      <c r="D91" s="133">
        <v>34</v>
      </c>
      <c r="E91" s="133">
        <f t="shared" si="1"/>
        <v>35</v>
      </c>
    </row>
    <row r="92" spans="1:5">
      <c r="A92" t="s">
        <v>215</v>
      </c>
      <c r="B92" t="s">
        <v>795</v>
      </c>
      <c r="C92" s="133">
        <v>4743</v>
      </c>
      <c r="D92" s="133">
        <v>0</v>
      </c>
      <c r="E92" s="133">
        <f t="shared" si="1"/>
        <v>4743</v>
      </c>
    </row>
    <row r="93" spans="1:5">
      <c r="A93" t="s">
        <v>829</v>
      </c>
      <c r="B93" t="s">
        <v>830</v>
      </c>
      <c r="C93" s="133">
        <v>0</v>
      </c>
      <c r="D93" s="133">
        <v>0</v>
      </c>
      <c r="E93" s="133">
        <f t="shared" si="1"/>
        <v>0</v>
      </c>
    </row>
    <row r="94" spans="1:5">
      <c r="A94" t="s">
        <v>217</v>
      </c>
      <c r="B94" t="s">
        <v>883</v>
      </c>
      <c r="C94" s="133">
        <v>0</v>
      </c>
      <c r="D94" s="133">
        <v>0</v>
      </c>
      <c r="E94" s="133">
        <f t="shared" si="1"/>
        <v>0</v>
      </c>
    </row>
    <row r="95" spans="1:5">
      <c r="A95" t="s">
        <v>219</v>
      </c>
      <c r="B95" t="s">
        <v>827</v>
      </c>
      <c r="C95" s="133">
        <v>0</v>
      </c>
      <c r="D95" s="133">
        <v>0</v>
      </c>
      <c r="E95" s="133">
        <f t="shared" si="1"/>
        <v>0</v>
      </c>
    </row>
    <row r="96" spans="1:5">
      <c r="A96" t="s">
        <v>221</v>
      </c>
      <c r="B96" t="s">
        <v>828</v>
      </c>
      <c r="C96" s="133">
        <v>0</v>
      </c>
      <c r="D96" s="133">
        <v>0</v>
      </c>
      <c r="E96" s="133">
        <f t="shared" si="1"/>
        <v>0</v>
      </c>
    </row>
    <row r="97" spans="1:5">
      <c r="A97" t="s">
        <v>223</v>
      </c>
      <c r="B97" t="s">
        <v>782</v>
      </c>
      <c r="C97" s="133">
        <v>0</v>
      </c>
      <c r="D97" s="133">
        <v>0</v>
      </c>
      <c r="E97" s="133">
        <f t="shared" si="1"/>
        <v>0</v>
      </c>
    </row>
    <row r="98" spans="1:5">
      <c r="A98" t="s">
        <v>225</v>
      </c>
      <c r="B98" t="s">
        <v>1404</v>
      </c>
      <c r="C98" s="133">
        <v>1</v>
      </c>
      <c r="D98" s="133">
        <v>0</v>
      </c>
      <c r="E98" s="133">
        <f t="shared" si="1"/>
        <v>1</v>
      </c>
    </row>
    <row r="99" spans="1:5">
      <c r="A99" t="s">
        <v>615</v>
      </c>
      <c r="B99" t="s">
        <v>1405</v>
      </c>
      <c r="C99" s="133">
        <v>4852</v>
      </c>
      <c r="D99" s="133">
        <v>0</v>
      </c>
      <c r="E99" s="133">
        <f t="shared" si="1"/>
        <v>4852</v>
      </c>
    </row>
    <row r="100" spans="1:5">
      <c r="A100" t="s">
        <v>229</v>
      </c>
      <c r="B100" t="s">
        <v>717</v>
      </c>
      <c r="C100" s="133">
        <v>7688</v>
      </c>
      <c r="D100" s="133">
        <v>0</v>
      </c>
      <c r="E100" s="133">
        <f t="shared" si="1"/>
        <v>7688</v>
      </c>
    </row>
    <row r="101" spans="1:5">
      <c r="A101" t="s">
        <v>235</v>
      </c>
      <c r="B101" t="s">
        <v>779</v>
      </c>
      <c r="C101" s="133">
        <v>0</v>
      </c>
      <c r="D101" s="133">
        <v>0</v>
      </c>
      <c r="E101" s="133">
        <f t="shared" si="1"/>
        <v>0</v>
      </c>
    </row>
    <row r="102" spans="1:5">
      <c r="A102" t="s">
        <v>237</v>
      </c>
      <c r="B102" t="s">
        <v>777</v>
      </c>
      <c r="C102" s="133">
        <v>1159</v>
      </c>
      <c r="D102" s="133">
        <v>126</v>
      </c>
      <c r="E102" s="133">
        <f t="shared" si="1"/>
        <v>1285</v>
      </c>
    </row>
    <row r="103" spans="1:5">
      <c r="A103" t="s">
        <v>239</v>
      </c>
      <c r="B103" t="s">
        <v>718</v>
      </c>
      <c r="C103" s="133">
        <v>1</v>
      </c>
      <c r="D103" s="133">
        <v>1</v>
      </c>
      <c r="E103" s="133">
        <f t="shared" si="1"/>
        <v>2</v>
      </c>
    </row>
    <row r="104" spans="1:5">
      <c r="A104" t="s">
        <v>241</v>
      </c>
      <c r="B104" t="s">
        <v>719</v>
      </c>
      <c r="C104" s="133">
        <v>1</v>
      </c>
      <c r="D104" s="133">
        <v>120229</v>
      </c>
      <c r="E104" s="133">
        <f t="shared" si="1"/>
        <v>120230</v>
      </c>
    </row>
    <row r="105" spans="1:5">
      <c r="A105" t="s">
        <v>243</v>
      </c>
      <c r="B105" t="s">
        <v>929</v>
      </c>
      <c r="C105" s="133">
        <v>1139</v>
      </c>
      <c r="D105" s="133">
        <v>0</v>
      </c>
      <c r="E105" s="133">
        <f t="shared" si="1"/>
        <v>1139</v>
      </c>
    </row>
    <row r="106" spans="1:5">
      <c r="A106" t="s">
        <v>245</v>
      </c>
      <c r="B106" t="s">
        <v>754</v>
      </c>
      <c r="C106" s="133">
        <v>89397</v>
      </c>
      <c r="D106" s="133">
        <v>15062</v>
      </c>
      <c r="E106" s="133">
        <f t="shared" si="1"/>
        <v>104459</v>
      </c>
    </row>
    <row r="107" spans="1:5">
      <c r="A107" t="s">
        <v>247</v>
      </c>
      <c r="B107" t="s">
        <v>839</v>
      </c>
      <c r="C107" s="133">
        <v>43691</v>
      </c>
      <c r="D107" s="133">
        <v>2921</v>
      </c>
      <c r="E107" s="133">
        <f t="shared" si="1"/>
        <v>46612</v>
      </c>
    </row>
    <row r="108" spans="1:5">
      <c r="A108" t="s">
        <v>251</v>
      </c>
      <c r="B108" t="s">
        <v>768</v>
      </c>
      <c r="C108" s="133">
        <v>637</v>
      </c>
      <c r="D108" s="133">
        <v>0</v>
      </c>
      <c r="E108" s="133">
        <f t="shared" si="1"/>
        <v>637</v>
      </c>
    </row>
    <row r="109" spans="1:5">
      <c r="A109" t="s">
        <v>253</v>
      </c>
      <c r="B109" t="s">
        <v>891</v>
      </c>
      <c r="C109" s="133">
        <v>0</v>
      </c>
      <c r="D109" s="133">
        <v>1062</v>
      </c>
      <c r="E109" s="133">
        <f t="shared" si="1"/>
        <v>1062</v>
      </c>
    </row>
    <row r="110" spans="1:5">
      <c r="A110" t="s">
        <v>255</v>
      </c>
      <c r="B110" t="s">
        <v>954</v>
      </c>
      <c r="C110" s="133">
        <v>0</v>
      </c>
      <c r="D110" s="133">
        <v>0</v>
      </c>
      <c r="E110" s="133">
        <f t="shared" si="1"/>
        <v>0</v>
      </c>
    </row>
    <row r="111" spans="1:5">
      <c r="A111" t="s">
        <v>257</v>
      </c>
      <c r="B111" t="s">
        <v>759</v>
      </c>
      <c r="C111" s="133">
        <v>0</v>
      </c>
      <c r="D111" s="133">
        <v>101</v>
      </c>
      <c r="E111" s="133">
        <f t="shared" si="1"/>
        <v>101</v>
      </c>
    </row>
    <row r="112" spans="1:5">
      <c r="A112" t="s">
        <v>261</v>
      </c>
      <c r="B112" t="s">
        <v>895</v>
      </c>
      <c r="C112" s="133">
        <v>46164</v>
      </c>
      <c r="D112" s="133">
        <v>6266</v>
      </c>
      <c r="E112" s="133">
        <f t="shared" si="1"/>
        <v>52430</v>
      </c>
    </row>
    <row r="113" spans="1:5">
      <c r="A113" t="s">
        <v>263</v>
      </c>
      <c r="B113" t="s">
        <v>822</v>
      </c>
      <c r="C113" s="133">
        <v>142591</v>
      </c>
      <c r="D113" s="133">
        <v>0</v>
      </c>
      <c r="E113" s="133">
        <f t="shared" si="1"/>
        <v>142591</v>
      </c>
    </row>
    <row r="114" spans="1:5">
      <c r="A114" t="s">
        <v>265</v>
      </c>
      <c r="B114" t="s">
        <v>900</v>
      </c>
      <c r="C114" s="133">
        <v>0</v>
      </c>
      <c r="D114" s="133">
        <v>0</v>
      </c>
      <c r="E114" s="133">
        <f t="shared" si="1"/>
        <v>0</v>
      </c>
    </row>
    <row r="115" spans="1:5">
      <c r="A115" t="s">
        <v>267</v>
      </c>
      <c r="B115" t="s">
        <v>955</v>
      </c>
      <c r="C115" s="133">
        <v>0</v>
      </c>
      <c r="D115" s="133">
        <v>0</v>
      </c>
      <c r="E115" s="133">
        <f t="shared" si="1"/>
        <v>0</v>
      </c>
    </row>
    <row r="116" spans="1:5">
      <c r="A116" t="s">
        <v>269</v>
      </c>
      <c r="B116" t="s">
        <v>913</v>
      </c>
      <c r="C116" s="133">
        <v>15845</v>
      </c>
      <c r="D116" s="133">
        <v>1</v>
      </c>
      <c r="E116" s="133">
        <f t="shared" si="1"/>
        <v>15846</v>
      </c>
    </row>
    <row r="117" spans="1:5">
      <c r="A117" t="s">
        <v>271</v>
      </c>
      <c r="B117" t="s">
        <v>749</v>
      </c>
      <c r="C117" s="133">
        <v>0</v>
      </c>
      <c r="D117" s="133">
        <v>0</v>
      </c>
      <c r="E117" s="133">
        <f t="shared" si="1"/>
        <v>0</v>
      </c>
    </row>
    <row r="118" spans="1:5">
      <c r="A118" t="s">
        <v>273</v>
      </c>
      <c r="B118" t="s">
        <v>774</v>
      </c>
      <c r="C118" s="133">
        <v>5158</v>
      </c>
      <c r="D118" s="133">
        <v>0</v>
      </c>
      <c r="E118" s="133">
        <f t="shared" si="1"/>
        <v>5158</v>
      </c>
    </row>
    <row r="119" spans="1:5">
      <c r="A119" t="s">
        <v>275</v>
      </c>
      <c r="B119" t="s">
        <v>923</v>
      </c>
      <c r="C119" s="133">
        <v>0</v>
      </c>
      <c r="D119" s="133">
        <v>0</v>
      </c>
      <c r="E119" s="133">
        <f t="shared" si="1"/>
        <v>0</v>
      </c>
    </row>
    <row r="120" spans="1:5">
      <c r="A120" t="s">
        <v>277</v>
      </c>
      <c r="B120" t="s">
        <v>886</v>
      </c>
      <c r="C120" s="133">
        <v>0</v>
      </c>
      <c r="D120" s="133">
        <v>0</v>
      </c>
      <c r="E120" s="133">
        <f t="shared" si="1"/>
        <v>0</v>
      </c>
    </row>
    <row r="121" spans="1:5">
      <c r="A121" t="s">
        <v>279</v>
      </c>
      <c r="B121" t="s">
        <v>918</v>
      </c>
      <c r="C121" s="133">
        <v>0</v>
      </c>
      <c r="D121" s="133">
        <v>0</v>
      </c>
      <c r="E121" s="133">
        <f t="shared" si="1"/>
        <v>0</v>
      </c>
    </row>
    <row r="122" spans="1:5">
      <c r="A122" t="s">
        <v>283</v>
      </c>
      <c r="B122" t="s">
        <v>948</v>
      </c>
      <c r="C122" s="133">
        <v>46486</v>
      </c>
      <c r="D122" s="133">
        <v>44</v>
      </c>
      <c r="E122" s="133">
        <f t="shared" si="1"/>
        <v>46530</v>
      </c>
    </row>
    <row r="123" spans="1:5">
      <c r="A123" t="s">
        <v>285</v>
      </c>
      <c r="B123" t="s">
        <v>972</v>
      </c>
      <c r="C123" s="133">
        <v>0</v>
      </c>
      <c r="D123" s="133">
        <v>515</v>
      </c>
      <c r="E123" s="133">
        <f t="shared" si="1"/>
        <v>515</v>
      </c>
    </row>
    <row r="124" spans="1:5">
      <c r="A124" t="s">
        <v>291</v>
      </c>
      <c r="B124" t="s">
        <v>857</v>
      </c>
      <c r="C124" s="133">
        <v>0</v>
      </c>
      <c r="D124" s="133">
        <v>493</v>
      </c>
      <c r="E124" s="133">
        <f t="shared" si="1"/>
        <v>493</v>
      </c>
    </row>
    <row r="125" spans="1:5">
      <c r="A125" t="s">
        <v>293</v>
      </c>
      <c r="B125" t="s">
        <v>927</v>
      </c>
      <c r="C125" s="133">
        <v>28049</v>
      </c>
      <c r="D125" s="133">
        <v>0</v>
      </c>
      <c r="E125" s="133">
        <f t="shared" si="1"/>
        <v>28049</v>
      </c>
    </row>
    <row r="126" spans="1:5">
      <c r="A126" t="s">
        <v>295</v>
      </c>
      <c r="B126" t="s">
        <v>898</v>
      </c>
      <c r="C126" s="133">
        <v>0</v>
      </c>
      <c r="D126" s="133">
        <v>0</v>
      </c>
      <c r="E126" s="133">
        <f t="shared" si="1"/>
        <v>0</v>
      </c>
    </row>
    <row r="127" spans="1:5">
      <c r="A127" t="s">
        <v>297</v>
      </c>
      <c r="B127" t="s">
        <v>796</v>
      </c>
      <c r="C127" s="133">
        <v>0</v>
      </c>
      <c r="D127" s="133">
        <v>0</v>
      </c>
      <c r="E127" s="133">
        <f t="shared" si="1"/>
        <v>0</v>
      </c>
    </row>
    <row r="128" spans="1:5">
      <c r="A128" t="s">
        <v>299</v>
      </c>
      <c r="B128" t="s">
        <v>908</v>
      </c>
      <c r="C128" s="133">
        <v>164080</v>
      </c>
      <c r="D128" s="133">
        <v>1</v>
      </c>
      <c r="E128" s="133">
        <f t="shared" si="1"/>
        <v>164081</v>
      </c>
    </row>
    <row r="129" spans="1:5">
      <c r="A129" t="s">
        <v>301</v>
      </c>
      <c r="B129" t="s">
        <v>720</v>
      </c>
      <c r="C129" s="133">
        <v>1</v>
      </c>
      <c r="D129" s="133">
        <v>0</v>
      </c>
      <c r="E129" s="133">
        <f t="shared" si="1"/>
        <v>1</v>
      </c>
    </row>
    <row r="130" spans="1:5">
      <c r="A130" t="s">
        <v>303</v>
      </c>
      <c r="B130" t="s">
        <v>811</v>
      </c>
      <c r="C130" s="133">
        <v>15159</v>
      </c>
      <c r="D130" s="133">
        <v>1</v>
      </c>
      <c r="E130" s="133">
        <f t="shared" si="1"/>
        <v>15160</v>
      </c>
    </row>
    <row r="131" spans="1:5">
      <c r="A131" t="s">
        <v>305</v>
      </c>
      <c r="B131" t="s">
        <v>949</v>
      </c>
      <c r="C131" s="133">
        <v>1</v>
      </c>
      <c r="D131" s="133">
        <v>0</v>
      </c>
      <c r="E131" s="133">
        <f t="shared" ref="E131:E194" si="2">C131+D131</f>
        <v>1</v>
      </c>
    </row>
    <row r="132" spans="1:5">
      <c r="A132" t="s">
        <v>311</v>
      </c>
      <c r="B132" t="s">
        <v>899</v>
      </c>
      <c r="C132" s="133">
        <v>0</v>
      </c>
      <c r="D132" s="133">
        <v>0</v>
      </c>
      <c r="E132" s="133">
        <f t="shared" si="2"/>
        <v>0</v>
      </c>
    </row>
    <row r="133" spans="1:5">
      <c r="A133" t="s">
        <v>313</v>
      </c>
      <c r="B133" t="s">
        <v>721</v>
      </c>
      <c r="C133" s="133">
        <v>0</v>
      </c>
      <c r="D133" s="133">
        <v>0</v>
      </c>
      <c r="E133" s="133">
        <f t="shared" si="2"/>
        <v>0</v>
      </c>
    </row>
    <row r="134" spans="1:5">
      <c r="A134" t="s">
        <v>315</v>
      </c>
      <c r="B134" t="s">
        <v>722</v>
      </c>
      <c r="C134" s="133">
        <v>0</v>
      </c>
      <c r="D134" s="133">
        <v>22</v>
      </c>
      <c r="E134" s="133">
        <f t="shared" si="2"/>
        <v>22</v>
      </c>
    </row>
    <row r="135" spans="1:5">
      <c r="A135" t="s">
        <v>317</v>
      </c>
      <c r="B135" t="s">
        <v>790</v>
      </c>
      <c r="C135" s="133">
        <v>5984</v>
      </c>
      <c r="D135" s="133">
        <v>35872</v>
      </c>
      <c r="E135" s="133">
        <f t="shared" si="2"/>
        <v>41856</v>
      </c>
    </row>
    <row r="136" spans="1:5">
      <c r="A136" t="s">
        <v>319</v>
      </c>
      <c r="B136" t="s">
        <v>723</v>
      </c>
      <c r="C136" s="133">
        <v>0</v>
      </c>
      <c r="D136" s="133">
        <v>353</v>
      </c>
      <c r="E136" s="133">
        <f t="shared" si="2"/>
        <v>353</v>
      </c>
    </row>
    <row r="137" spans="1:5">
      <c r="A137" t="s">
        <v>321</v>
      </c>
      <c r="B137" t="s">
        <v>981</v>
      </c>
      <c r="C137" s="133">
        <v>0</v>
      </c>
      <c r="D137" s="133">
        <v>0</v>
      </c>
      <c r="E137" s="133">
        <f t="shared" si="2"/>
        <v>0</v>
      </c>
    </row>
    <row r="138" spans="1:5">
      <c r="A138" t="s">
        <v>323</v>
      </c>
      <c r="B138" t="s">
        <v>951</v>
      </c>
      <c r="C138" s="133">
        <v>0</v>
      </c>
      <c r="D138" s="133">
        <v>0</v>
      </c>
      <c r="E138" s="133">
        <f t="shared" si="2"/>
        <v>0</v>
      </c>
    </row>
    <row r="139" spans="1:5">
      <c r="A139" t="s">
        <v>327</v>
      </c>
      <c r="B139" t="s">
        <v>893</v>
      </c>
      <c r="C139" s="133">
        <v>0</v>
      </c>
      <c r="D139" s="133">
        <v>0</v>
      </c>
      <c r="E139" s="133">
        <f t="shared" si="2"/>
        <v>0</v>
      </c>
    </row>
    <row r="140" spans="1:5">
      <c r="A140" t="s">
        <v>329</v>
      </c>
      <c r="B140" t="s">
        <v>896</v>
      </c>
      <c r="C140" s="133">
        <v>0</v>
      </c>
      <c r="D140" s="133">
        <v>0</v>
      </c>
      <c r="E140" s="133">
        <f t="shared" si="2"/>
        <v>0</v>
      </c>
    </row>
    <row r="141" spans="1:5">
      <c r="A141" t="s">
        <v>331</v>
      </c>
      <c r="B141" t="s">
        <v>968</v>
      </c>
      <c r="C141" s="133">
        <v>0</v>
      </c>
      <c r="D141" s="133">
        <v>0</v>
      </c>
      <c r="E141" s="133">
        <f t="shared" si="2"/>
        <v>0</v>
      </c>
    </row>
    <row r="142" spans="1:5">
      <c r="A142" t="s">
        <v>333</v>
      </c>
      <c r="B142" t="s">
        <v>724</v>
      </c>
      <c r="C142" s="133">
        <v>0</v>
      </c>
      <c r="D142" s="133">
        <v>0</v>
      </c>
      <c r="E142" s="133">
        <f t="shared" si="2"/>
        <v>0</v>
      </c>
    </row>
    <row r="143" spans="1:5">
      <c r="A143" t="s">
        <v>337</v>
      </c>
      <c r="B143" t="s">
        <v>1406</v>
      </c>
      <c r="C143" s="133">
        <v>2163</v>
      </c>
      <c r="D143" s="133">
        <v>3716</v>
      </c>
      <c r="E143" s="133">
        <f t="shared" si="2"/>
        <v>5879</v>
      </c>
    </row>
    <row r="144" spans="1:5">
      <c r="A144" t="s">
        <v>339</v>
      </c>
      <c r="B144" t="s">
        <v>868</v>
      </c>
      <c r="C144" s="133">
        <v>0</v>
      </c>
      <c r="D144" s="133">
        <v>2493</v>
      </c>
      <c r="E144" s="133">
        <f t="shared" si="2"/>
        <v>2493</v>
      </c>
    </row>
    <row r="145" spans="1:5">
      <c r="A145" t="s">
        <v>341</v>
      </c>
      <c r="B145" t="s">
        <v>907</v>
      </c>
      <c r="C145" s="133">
        <v>0</v>
      </c>
      <c r="D145" s="133">
        <v>0</v>
      </c>
      <c r="E145" s="133">
        <f t="shared" si="2"/>
        <v>0</v>
      </c>
    </row>
    <row r="146" spans="1:5">
      <c r="A146" t="s">
        <v>343</v>
      </c>
      <c r="B146" t="s">
        <v>950</v>
      </c>
      <c r="C146" s="133">
        <v>0</v>
      </c>
      <c r="D146" s="133">
        <v>0</v>
      </c>
      <c r="E146" s="133">
        <f t="shared" si="2"/>
        <v>0</v>
      </c>
    </row>
    <row r="147" spans="1:5">
      <c r="A147" t="s">
        <v>345</v>
      </c>
      <c r="B147" t="s">
        <v>1310</v>
      </c>
      <c r="C147" s="133">
        <v>16328</v>
      </c>
      <c r="D147" s="133">
        <v>3071</v>
      </c>
      <c r="E147" s="133">
        <f t="shared" si="2"/>
        <v>19399</v>
      </c>
    </row>
    <row r="148" spans="1:5">
      <c r="A148" t="s">
        <v>347</v>
      </c>
      <c r="B148" t="s">
        <v>725</v>
      </c>
      <c r="C148" s="133">
        <v>0</v>
      </c>
      <c r="D148" s="133">
        <v>0</v>
      </c>
      <c r="E148" s="133">
        <f t="shared" si="2"/>
        <v>0</v>
      </c>
    </row>
    <row r="149" spans="1:5">
      <c r="A149" t="s">
        <v>349</v>
      </c>
      <c r="B149" t="s">
        <v>833</v>
      </c>
      <c r="C149" s="133">
        <v>0</v>
      </c>
      <c r="D149" s="133">
        <v>0</v>
      </c>
      <c r="E149" s="133">
        <f t="shared" si="2"/>
        <v>0</v>
      </c>
    </row>
    <row r="150" spans="1:5">
      <c r="A150" t="s">
        <v>351</v>
      </c>
      <c r="B150" t="s">
        <v>726</v>
      </c>
      <c r="C150" s="133">
        <v>0</v>
      </c>
      <c r="D150" s="133">
        <v>0</v>
      </c>
      <c r="E150" s="133">
        <f t="shared" si="2"/>
        <v>0</v>
      </c>
    </row>
    <row r="151" spans="1:5">
      <c r="A151" t="s">
        <v>353</v>
      </c>
      <c r="B151" t="s">
        <v>867</v>
      </c>
      <c r="C151" s="133">
        <v>0</v>
      </c>
      <c r="D151" s="133">
        <v>557</v>
      </c>
      <c r="E151" s="133">
        <f t="shared" si="2"/>
        <v>557</v>
      </c>
    </row>
    <row r="152" spans="1:5">
      <c r="A152" t="s">
        <v>355</v>
      </c>
      <c r="B152" t="s">
        <v>727</v>
      </c>
      <c r="C152" s="133">
        <v>15139</v>
      </c>
      <c r="D152" s="133">
        <v>6</v>
      </c>
      <c r="E152" s="133">
        <f t="shared" si="2"/>
        <v>15145</v>
      </c>
    </row>
    <row r="153" spans="1:5">
      <c r="A153" t="s">
        <v>357</v>
      </c>
      <c r="B153" t="s">
        <v>928</v>
      </c>
      <c r="C153" s="133">
        <v>1751</v>
      </c>
      <c r="D153" s="133">
        <v>1</v>
      </c>
      <c r="E153" s="133">
        <f t="shared" si="2"/>
        <v>1752</v>
      </c>
    </row>
    <row r="154" spans="1:5">
      <c r="A154" t="s">
        <v>359</v>
      </c>
      <c r="B154" t="s">
        <v>823</v>
      </c>
      <c r="C154" s="133">
        <v>174121</v>
      </c>
      <c r="D154" s="133">
        <v>30463</v>
      </c>
      <c r="E154" s="133">
        <f t="shared" si="2"/>
        <v>204584</v>
      </c>
    </row>
    <row r="155" spans="1:5">
      <c r="A155" t="s">
        <v>361</v>
      </c>
      <c r="B155" t="s">
        <v>803</v>
      </c>
      <c r="C155" s="133">
        <v>636554</v>
      </c>
      <c r="D155" s="133">
        <v>0</v>
      </c>
      <c r="E155" s="133">
        <f t="shared" si="2"/>
        <v>636554</v>
      </c>
    </row>
    <row r="156" spans="1:5">
      <c r="A156" t="s">
        <v>363</v>
      </c>
      <c r="B156" t="s">
        <v>965</v>
      </c>
      <c r="C156" s="133">
        <v>0</v>
      </c>
      <c r="D156" s="133">
        <v>0</v>
      </c>
      <c r="E156" s="133">
        <f t="shared" si="2"/>
        <v>0</v>
      </c>
    </row>
    <row r="157" spans="1:5">
      <c r="A157" t="s">
        <v>365</v>
      </c>
      <c r="B157" t="s">
        <v>802</v>
      </c>
      <c r="C157" s="133">
        <v>0</v>
      </c>
      <c r="D157" s="133">
        <v>0</v>
      </c>
      <c r="E157" s="133">
        <f t="shared" si="2"/>
        <v>0</v>
      </c>
    </row>
    <row r="158" spans="1:5">
      <c r="A158" t="s">
        <v>369</v>
      </c>
      <c r="B158" t="s">
        <v>728</v>
      </c>
      <c r="C158" s="133">
        <v>16427</v>
      </c>
      <c r="D158" s="133">
        <v>8397</v>
      </c>
      <c r="E158" s="133">
        <f t="shared" si="2"/>
        <v>24824</v>
      </c>
    </row>
    <row r="159" spans="1:5">
      <c r="A159" t="s">
        <v>371</v>
      </c>
      <c r="B159" t="s">
        <v>850</v>
      </c>
      <c r="C159" s="133">
        <v>0</v>
      </c>
      <c r="D159" s="133">
        <v>0</v>
      </c>
      <c r="E159" s="133">
        <f t="shared" si="2"/>
        <v>0</v>
      </c>
    </row>
    <row r="160" spans="1:5">
      <c r="A160" t="s">
        <v>701</v>
      </c>
      <c r="B160" t="s">
        <v>938</v>
      </c>
      <c r="C160" s="133">
        <v>0</v>
      </c>
      <c r="D160" s="133">
        <v>3</v>
      </c>
      <c r="E160" s="133">
        <f t="shared" si="2"/>
        <v>3</v>
      </c>
    </row>
    <row r="161" spans="1:5">
      <c r="A161" t="s">
        <v>373</v>
      </c>
      <c r="B161" t="s">
        <v>860</v>
      </c>
      <c r="C161" s="133">
        <v>0</v>
      </c>
      <c r="D161" s="133">
        <v>0</v>
      </c>
      <c r="E161" s="133">
        <f t="shared" si="2"/>
        <v>0</v>
      </c>
    </row>
    <row r="162" spans="1:5">
      <c r="A162" t="s">
        <v>375</v>
      </c>
      <c r="B162" t="s">
        <v>932</v>
      </c>
      <c r="C162" s="133">
        <v>327895</v>
      </c>
      <c r="D162" s="133">
        <v>37805</v>
      </c>
      <c r="E162" s="133">
        <f t="shared" si="2"/>
        <v>365700</v>
      </c>
    </row>
    <row r="163" spans="1:5">
      <c r="A163" t="s">
        <v>377</v>
      </c>
      <c r="B163" t="s">
        <v>729</v>
      </c>
      <c r="C163" s="133">
        <v>79883</v>
      </c>
      <c r="D163" s="133">
        <v>0</v>
      </c>
      <c r="E163" s="133">
        <f t="shared" si="2"/>
        <v>79883</v>
      </c>
    </row>
    <row r="164" spans="1:5">
      <c r="A164" t="s">
        <v>379</v>
      </c>
      <c r="B164" t="s">
        <v>843</v>
      </c>
      <c r="C164" s="133">
        <v>0</v>
      </c>
      <c r="D164" s="133">
        <v>3842</v>
      </c>
      <c r="E164" s="133">
        <f t="shared" si="2"/>
        <v>3842</v>
      </c>
    </row>
    <row r="165" spans="1:5">
      <c r="A165" t="s">
        <v>381</v>
      </c>
      <c r="B165" t="s">
        <v>920</v>
      </c>
      <c r="C165" s="133">
        <v>0</v>
      </c>
      <c r="D165" s="133">
        <v>0</v>
      </c>
      <c r="E165" s="133">
        <f t="shared" si="2"/>
        <v>0</v>
      </c>
    </row>
    <row r="166" spans="1:5">
      <c r="A166" t="s">
        <v>383</v>
      </c>
      <c r="B166" t="s">
        <v>885</v>
      </c>
      <c r="C166" s="133">
        <v>0</v>
      </c>
      <c r="D166" s="133">
        <v>0</v>
      </c>
      <c r="E166" s="133">
        <f t="shared" si="2"/>
        <v>0</v>
      </c>
    </row>
    <row r="167" spans="1:5">
      <c r="A167" t="s">
        <v>385</v>
      </c>
      <c r="B167" t="s">
        <v>905</v>
      </c>
      <c r="C167" s="133">
        <v>0</v>
      </c>
      <c r="D167" s="133">
        <v>0</v>
      </c>
      <c r="E167" s="133">
        <f t="shared" si="2"/>
        <v>0</v>
      </c>
    </row>
    <row r="168" spans="1:5">
      <c r="A168" t="s">
        <v>387</v>
      </c>
      <c r="B168" t="s">
        <v>781</v>
      </c>
      <c r="C168" s="133">
        <v>0</v>
      </c>
      <c r="D168" s="133">
        <v>0</v>
      </c>
      <c r="E168" s="133">
        <f t="shared" si="2"/>
        <v>0</v>
      </c>
    </row>
    <row r="169" spans="1:5">
      <c r="A169" t="s">
        <v>391</v>
      </c>
      <c r="B169" t="s">
        <v>730</v>
      </c>
      <c r="C169" s="133">
        <v>0</v>
      </c>
      <c r="D169" s="133">
        <v>0</v>
      </c>
      <c r="E169" s="133">
        <f t="shared" si="2"/>
        <v>0</v>
      </c>
    </row>
    <row r="170" spans="1:5">
      <c r="A170" t="s">
        <v>393</v>
      </c>
      <c r="B170" t="s">
        <v>876</v>
      </c>
      <c r="C170" s="133">
        <v>85507</v>
      </c>
      <c r="D170" s="133">
        <v>0</v>
      </c>
      <c r="E170" s="133">
        <f t="shared" si="2"/>
        <v>85507</v>
      </c>
    </row>
    <row r="171" spans="1:5">
      <c r="A171" t="s">
        <v>395</v>
      </c>
      <c r="B171" t="s">
        <v>731</v>
      </c>
      <c r="C171" s="133">
        <v>57697</v>
      </c>
      <c r="D171" s="133">
        <v>5446</v>
      </c>
      <c r="E171" s="133">
        <f t="shared" si="2"/>
        <v>63143</v>
      </c>
    </row>
    <row r="172" spans="1:5">
      <c r="A172" t="s">
        <v>399</v>
      </c>
      <c r="B172" t="s">
        <v>958</v>
      </c>
      <c r="C172" s="133">
        <v>0</v>
      </c>
      <c r="D172" s="133">
        <v>0</v>
      </c>
      <c r="E172" s="133">
        <f t="shared" si="2"/>
        <v>0</v>
      </c>
    </row>
    <row r="173" spans="1:5">
      <c r="A173" t="s">
        <v>401</v>
      </c>
      <c r="B173" t="s">
        <v>732</v>
      </c>
      <c r="C173" s="133">
        <v>95642</v>
      </c>
      <c r="D173" s="133">
        <v>11446</v>
      </c>
      <c r="E173" s="133">
        <f t="shared" si="2"/>
        <v>107088</v>
      </c>
    </row>
    <row r="174" spans="1:5">
      <c r="A174" t="s">
        <v>403</v>
      </c>
      <c r="B174" t="s">
        <v>862</v>
      </c>
      <c r="C174" s="133">
        <v>3</v>
      </c>
      <c r="D174" s="133">
        <v>1</v>
      </c>
      <c r="E174" s="133">
        <f t="shared" si="2"/>
        <v>4</v>
      </c>
    </row>
    <row r="175" spans="1:5">
      <c r="A175" t="s">
        <v>405</v>
      </c>
      <c r="B175" t="s">
        <v>753</v>
      </c>
      <c r="C175" s="133">
        <v>0</v>
      </c>
      <c r="D175" s="133">
        <v>635</v>
      </c>
      <c r="E175" s="133">
        <f t="shared" si="2"/>
        <v>635</v>
      </c>
    </row>
    <row r="176" spans="1:5">
      <c r="A176" t="s">
        <v>407</v>
      </c>
      <c r="B176" t="s">
        <v>733</v>
      </c>
      <c r="C176" s="133">
        <v>1</v>
      </c>
      <c r="D176" s="133">
        <v>1</v>
      </c>
      <c r="E176" s="133">
        <f t="shared" si="2"/>
        <v>2</v>
      </c>
    </row>
    <row r="177" spans="1:5">
      <c r="A177" t="s">
        <v>409</v>
      </c>
      <c r="B177" t="s">
        <v>877</v>
      </c>
      <c r="C177" s="133">
        <v>0</v>
      </c>
      <c r="D177" s="133">
        <v>0</v>
      </c>
      <c r="E177" s="133">
        <f t="shared" si="2"/>
        <v>0</v>
      </c>
    </row>
    <row r="178" spans="1:5">
      <c r="A178" t="s">
        <v>411</v>
      </c>
      <c r="B178" t="s">
        <v>1407</v>
      </c>
      <c r="C178" s="133">
        <v>0</v>
      </c>
      <c r="D178" s="133">
        <v>0</v>
      </c>
      <c r="E178" s="133">
        <f t="shared" si="2"/>
        <v>0</v>
      </c>
    </row>
    <row r="179" spans="1:5">
      <c r="A179" t="s">
        <v>413</v>
      </c>
      <c r="B179" t="s">
        <v>858</v>
      </c>
      <c r="C179" s="133">
        <v>784</v>
      </c>
      <c r="D179" s="133">
        <v>0</v>
      </c>
      <c r="E179" s="133">
        <f t="shared" si="2"/>
        <v>784</v>
      </c>
    </row>
    <row r="180" spans="1:5">
      <c r="A180" t="s">
        <v>415</v>
      </c>
      <c r="B180" t="s">
        <v>784</v>
      </c>
      <c r="C180" s="133">
        <v>0</v>
      </c>
      <c r="D180" s="133">
        <v>0</v>
      </c>
      <c r="E180" s="133">
        <f t="shared" si="2"/>
        <v>0</v>
      </c>
    </row>
    <row r="181" spans="1:5">
      <c r="A181" t="s">
        <v>417</v>
      </c>
      <c r="B181" t="s">
        <v>734</v>
      </c>
      <c r="C181" s="133">
        <v>20405</v>
      </c>
      <c r="D181" s="133">
        <v>80</v>
      </c>
      <c r="E181" s="133">
        <f t="shared" si="2"/>
        <v>20485</v>
      </c>
    </row>
    <row r="182" spans="1:5">
      <c r="A182" t="s">
        <v>419</v>
      </c>
      <c r="B182" t="s">
        <v>735</v>
      </c>
      <c r="C182" s="133">
        <v>0</v>
      </c>
      <c r="D182" s="133">
        <v>0</v>
      </c>
      <c r="E182" s="133">
        <f t="shared" si="2"/>
        <v>0</v>
      </c>
    </row>
    <row r="183" spans="1:5">
      <c r="A183" t="s">
        <v>421</v>
      </c>
      <c r="B183" t="s">
        <v>944</v>
      </c>
      <c r="C183" s="133">
        <v>0</v>
      </c>
      <c r="D183" s="133">
        <v>1679</v>
      </c>
      <c r="E183" s="133">
        <f t="shared" si="2"/>
        <v>1679</v>
      </c>
    </row>
    <row r="184" spans="1:5">
      <c r="A184" t="s">
        <v>423</v>
      </c>
      <c r="B184" t="s">
        <v>919</v>
      </c>
      <c r="C184" s="133">
        <v>0</v>
      </c>
      <c r="D184" s="133">
        <v>0</v>
      </c>
      <c r="E184" s="133">
        <f t="shared" si="2"/>
        <v>0</v>
      </c>
    </row>
    <row r="185" spans="1:5">
      <c r="A185" t="s">
        <v>425</v>
      </c>
      <c r="B185" t="s">
        <v>736</v>
      </c>
      <c r="C185" s="133">
        <v>59651</v>
      </c>
      <c r="D185" s="133">
        <v>0</v>
      </c>
      <c r="E185" s="133">
        <f t="shared" si="2"/>
        <v>59651</v>
      </c>
    </row>
    <row r="186" spans="1:5">
      <c r="A186" t="s">
        <v>427</v>
      </c>
      <c r="B186" t="s">
        <v>737</v>
      </c>
      <c r="C186" s="133">
        <v>1</v>
      </c>
      <c r="D186" s="133">
        <v>0</v>
      </c>
      <c r="E186" s="133">
        <f t="shared" si="2"/>
        <v>1</v>
      </c>
    </row>
    <row r="187" spans="1:5">
      <c r="A187" t="s">
        <v>431</v>
      </c>
      <c r="B187" t="s">
        <v>738</v>
      </c>
      <c r="C187" s="133">
        <v>10919</v>
      </c>
      <c r="D187" s="133">
        <v>0</v>
      </c>
      <c r="E187" s="133">
        <f t="shared" si="2"/>
        <v>10919</v>
      </c>
    </row>
    <row r="188" spans="1:5">
      <c r="A188" t="s">
        <v>433</v>
      </c>
      <c r="B188" t="s">
        <v>806</v>
      </c>
      <c r="C188" s="133">
        <v>1</v>
      </c>
      <c r="D188" s="133">
        <v>1</v>
      </c>
      <c r="E188" s="133">
        <f t="shared" si="2"/>
        <v>2</v>
      </c>
    </row>
    <row r="189" spans="1:5">
      <c r="A189" t="s">
        <v>435</v>
      </c>
      <c r="B189" t="s">
        <v>808</v>
      </c>
      <c r="C189" s="133">
        <v>0</v>
      </c>
      <c r="D189" s="133">
        <v>0</v>
      </c>
      <c r="E189" s="133">
        <f t="shared" si="2"/>
        <v>0</v>
      </c>
    </row>
    <row r="190" spans="1:5">
      <c r="A190" t="s">
        <v>437</v>
      </c>
      <c r="B190" t="s">
        <v>765</v>
      </c>
      <c r="C190" s="133">
        <v>0</v>
      </c>
      <c r="D190" s="133">
        <v>0</v>
      </c>
      <c r="E190" s="133">
        <f t="shared" si="2"/>
        <v>0</v>
      </c>
    </row>
    <row r="191" spans="1:5">
      <c r="A191" t="s">
        <v>439</v>
      </c>
      <c r="B191" t="s">
        <v>785</v>
      </c>
      <c r="C191" s="133">
        <v>0</v>
      </c>
      <c r="D191" s="133">
        <v>0</v>
      </c>
      <c r="E191" s="133">
        <f t="shared" si="2"/>
        <v>0</v>
      </c>
    </row>
    <row r="192" spans="1:5">
      <c r="A192" t="s">
        <v>443</v>
      </c>
      <c r="B192" t="s">
        <v>826</v>
      </c>
      <c r="C192" s="133">
        <v>1</v>
      </c>
      <c r="D192" s="133">
        <v>0</v>
      </c>
      <c r="E192" s="133">
        <f t="shared" si="2"/>
        <v>1</v>
      </c>
    </row>
    <row r="193" spans="1:5">
      <c r="A193" t="s">
        <v>441</v>
      </c>
      <c r="B193" t="s">
        <v>933</v>
      </c>
      <c r="C193" s="133">
        <v>18237</v>
      </c>
      <c r="D193" s="133">
        <v>0</v>
      </c>
      <c r="E193" s="133">
        <f t="shared" si="2"/>
        <v>18237</v>
      </c>
    </row>
    <row r="194" spans="1:5">
      <c r="A194" t="s">
        <v>445</v>
      </c>
      <c r="B194" t="s">
        <v>1375</v>
      </c>
      <c r="C194" s="133">
        <v>0</v>
      </c>
      <c r="D194" s="133">
        <v>0</v>
      </c>
      <c r="E194" s="133">
        <f t="shared" si="2"/>
        <v>0</v>
      </c>
    </row>
    <row r="195" spans="1:5">
      <c r="A195" t="s">
        <v>447</v>
      </c>
      <c r="B195" t="s">
        <v>865</v>
      </c>
      <c r="C195" s="133">
        <v>1</v>
      </c>
      <c r="D195" s="133">
        <v>0</v>
      </c>
      <c r="E195" s="133">
        <f t="shared" ref="E195:E258" si="3">C195+D195</f>
        <v>1</v>
      </c>
    </row>
    <row r="196" spans="1:5">
      <c r="A196" t="s">
        <v>449</v>
      </c>
      <c r="B196" t="s">
        <v>847</v>
      </c>
      <c r="C196" s="133">
        <v>0</v>
      </c>
      <c r="D196" s="133">
        <v>0</v>
      </c>
      <c r="E196" s="133">
        <f t="shared" si="3"/>
        <v>0</v>
      </c>
    </row>
    <row r="197" spans="1:5">
      <c r="A197" t="s">
        <v>451</v>
      </c>
      <c r="B197" t="s">
        <v>814</v>
      </c>
      <c r="C197" s="133">
        <v>0</v>
      </c>
      <c r="D197" s="133">
        <v>1</v>
      </c>
      <c r="E197" s="133">
        <f t="shared" si="3"/>
        <v>1</v>
      </c>
    </row>
    <row r="198" spans="1:5">
      <c r="A198" t="s">
        <v>453</v>
      </c>
      <c r="B198" t="s">
        <v>783</v>
      </c>
      <c r="C198" s="133">
        <v>0</v>
      </c>
      <c r="D198" s="133">
        <v>1344</v>
      </c>
      <c r="E198" s="133">
        <f t="shared" si="3"/>
        <v>1344</v>
      </c>
    </row>
    <row r="199" spans="1:5">
      <c r="A199" t="s">
        <v>455</v>
      </c>
      <c r="B199" t="s">
        <v>756</v>
      </c>
      <c r="C199" s="133">
        <v>384</v>
      </c>
      <c r="D199" s="133">
        <v>1645</v>
      </c>
      <c r="E199" s="133">
        <f t="shared" si="3"/>
        <v>2029</v>
      </c>
    </row>
    <row r="200" spans="1:5">
      <c r="A200" t="s">
        <v>457</v>
      </c>
      <c r="B200" t="s">
        <v>771</v>
      </c>
      <c r="C200" s="133">
        <v>38416</v>
      </c>
      <c r="D200" s="133">
        <v>495</v>
      </c>
      <c r="E200" s="133">
        <f t="shared" si="3"/>
        <v>38911</v>
      </c>
    </row>
    <row r="201" spans="1:5">
      <c r="A201" t="s">
        <v>459</v>
      </c>
      <c r="B201" t="s">
        <v>750</v>
      </c>
      <c r="C201" s="133">
        <v>1</v>
      </c>
      <c r="D201" s="133">
        <v>0</v>
      </c>
      <c r="E201" s="133">
        <f t="shared" si="3"/>
        <v>1</v>
      </c>
    </row>
    <row r="202" spans="1:5">
      <c r="A202" t="s">
        <v>461</v>
      </c>
      <c r="B202" t="s">
        <v>916</v>
      </c>
      <c r="C202" s="133">
        <v>2183</v>
      </c>
      <c r="D202" s="133">
        <v>3</v>
      </c>
      <c r="E202" s="133">
        <f t="shared" si="3"/>
        <v>2186</v>
      </c>
    </row>
    <row r="203" spans="1:5">
      <c r="A203" t="s">
        <v>463</v>
      </c>
      <c r="B203" t="s">
        <v>817</v>
      </c>
      <c r="C203" s="133">
        <v>0</v>
      </c>
      <c r="D203" s="133">
        <v>0</v>
      </c>
      <c r="E203" s="133">
        <f t="shared" si="3"/>
        <v>0</v>
      </c>
    </row>
    <row r="204" spans="1:5">
      <c r="A204" t="s">
        <v>465</v>
      </c>
      <c r="B204" t="s">
        <v>935</v>
      </c>
      <c r="C204" s="133">
        <v>7354</v>
      </c>
      <c r="D204" s="133">
        <v>2575</v>
      </c>
      <c r="E204" s="133">
        <f t="shared" si="3"/>
        <v>9929</v>
      </c>
    </row>
    <row r="205" spans="1:5">
      <c r="A205" t="s">
        <v>699</v>
      </c>
      <c r="B205" t="s">
        <v>1408</v>
      </c>
      <c r="C205" s="133">
        <v>0</v>
      </c>
      <c r="D205" s="133">
        <v>0</v>
      </c>
      <c r="E205" s="133">
        <f t="shared" si="3"/>
        <v>0</v>
      </c>
    </row>
    <row r="206" spans="1:5">
      <c r="A206" t="s">
        <v>469</v>
      </c>
      <c r="B206" t="s">
        <v>963</v>
      </c>
      <c r="C206" s="133">
        <v>729</v>
      </c>
      <c r="D206" s="133">
        <v>86</v>
      </c>
      <c r="E206" s="133">
        <f t="shared" si="3"/>
        <v>815</v>
      </c>
    </row>
    <row r="207" spans="1:5">
      <c r="A207" t="s">
        <v>471</v>
      </c>
      <c r="B207" t="s">
        <v>789</v>
      </c>
      <c r="C207" s="133">
        <v>13465</v>
      </c>
      <c r="D207" s="133">
        <v>600</v>
      </c>
      <c r="E207" s="133">
        <f t="shared" si="3"/>
        <v>14065</v>
      </c>
    </row>
    <row r="208" spans="1:5">
      <c r="A208" t="s">
        <v>475</v>
      </c>
      <c r="B208" t="s">
        <v>887</v>
      </c>
      <c r="C208" s="133">
        <v>0</v>
      </c>
      <c r="D208" s="133">
        <v>0</v>
      </c>
      <c r="E208" s="133">
        <f t="shared" si="3"/>
        <v>0</v>
      </c>
    </row>
    <row r="209" spans="1:5">
      <c r="A209" t="s">
        <v>477</v>
      </c>
      <c r="B209" t="s">
        <v>800</v>
      </c>
      <c r="C209" s="133">
        <v>210</v>
      </c>
      <c r="D209" s="133">
        <v>550</v>
      </c>
      <c r="E209" s="133">
        <f t="shared" si="3"/>
        <v>760</v>
      </c>
    </row>
    <row r="210" spans="1:5">
      <c r="A210" t="s">
        <v>479</v>
      </c>
      <c r="B210" t="s">
        <v>1311</v>
      </c>
      <c r="C210" s="133">
        <v>244233</v>
      </c>
      <c r="D210" s="133">
        <v>0</v>
      </c>
      <c r="E210" s="133">
        <f t="shared" si="3"/>
        <v>244233</v>
      </c>
    </row>
    <row r="211" spans="1:5">
      <c r="A211" t="s">
        <v>481</v>
      </c>
      <c r="B211" t="s">
        <v>739</v>
      </c>
      <c r="C211" s="133">
        <v>286</v>
      </c>
      <c r="D211" s="133">
        <v>0</v>
      </c>
      <c r="E211" s="133">
        <f t="shared" si="3"/>
        <v>286</v>
      </c>
    </row>
    <row r="212" spans="1:5">
      <c r="A212" t="s">
        <v>483</v>
      </c>
      <c r="B212" t="s">
        <v>971</v>
      </c>
      <c r="C212" s="133">
        <v>34719</v>
      </c>
      <c r="D212" s="133">
        <v>3075</v>
      </c>
      <c r="E212" s="133">
        <f t="shared" si="3"/>
        <v>37794</v>
      </c>
    </row>
    <row r="213" spans="1:5">
      <c r="A213" t="s">
        <v>485</v>
      </c>
      <c r="B213" t="s">
        <v>870</v>
      </c>
      <c r="C213" s="133">
        <v>0</v>
      </c>
      <c r="D213" s="133">
        <v>0</v>
      </c>
      <c r="E213" s="133">
        <f t="shared" si="3"/>
        <v>0</v>
      </c>
    </row>
    <row r="214" spans="1:5">
      <c r="A214" t="s">
        <v>487</v>
      </c>
      <c r="B214" t="s">
        <v>763</v>
      </c>
      <c r="C214" s="133">
        <v>0</v>
      </c>
      <c r="D214" s="133">
        <v>0</v>
      </c>
      <c r="E214" s="133">
        <f t="shared" si="3"/>
        <v>0</v>
      </c>
    </row>
    <row r="215" spans="1:5">
      <c r="A215" t="s">
        <v>491</v>
      </c>
      <c r="B215" t="s">
        <v>856</v>
      </c>
      <c r="C215" s="133">
        <v>91416</v>
      </c>
      <c r="D215" s="133">
        <v>12091</v>
      </c>
      <c r="E215" s="133">
        <f t="shared" si="3"/>
        <v>103507</v>
      </c>
    </row>
    <row r="216" spans="1:5">
      <c r="A216" t="s">
        <v>493</v>
      </c>
      <c r="B216" t="s">
        <v>821</v>
      </c>
      <c r="C216" s="133">
        <v>0</v>
      </c>
      <c r="D216" s="133">
        <v>0</v>
      </c>
      <c r="E216" s="133">
        <f t="shared" si="3"/>
        <v>0</v>
      </c>
    </row>
    <row r="217" spans="1:5">
      <c r="A217" t="s">
        <v>497</v>
      </c>
      <c r="B217" t="s">
        <v>815</v>
      </c>
      <c r="C217" s="133">
        <v>1798</v>
      </c>
      <c r="D217" s="133">
        <v>72</v>
      </c>
      <c r="E217" s="133">
        <f t="shared" si="3"/>
        <v>1870</v>
      </c>
    </row>
    <row r="218" spans="1:5">
      <c r="A218" t="s">
        <v>499</v>
      </c>
      <c r="B218" t="s">
        <v>740</v>
      </c>
      <c r="C218" s="133">
        <v>0</v>
      </c>
      <c r="D218" s="133">
        <v>0</v>
      </c>
      <c r="E218" s="133">
        <f t="shared" si="3"/>
        <v>0</v>
      </c>
    </row>
    <row r="219" spans="1:5">
      <c r="A219" t="s">
        <v>501</v>
      </c>
      <c r="B219" t="s">
        <v>820</v>
      </c>
      <c r="C219" s="133">
        <v>0</v>
      </c>
      <c r="D219" s="133">
        <v>0</v>
      </c>
      <c r="E219" s="133">
        <f t="shared" si="3"/>
        <v>0</v>
      </c>
    </row>
    <row r="220" spans="1:5">
      <c r="A220" t="s">
        <v>503</v>
      </c>
      <c r="B220" t="s">
        <v>788</v>
      </c>
      <c r="C220" s="133">
        <v>34125</v>
      </c>
      <c r="D220" s="133">
        <v>2460</v>
      </c>
      <c r="E220" s="133">
        <f t="shared" si="3"/>
        <v>36585</v>
      </c>
    </row>
    <row r="221" spans="1:5">
      <c r="A221" t="s">
        <v>505</v>
      </c>
      <c r="B221" t="s">
        <v>741</v>
      </c>
      <c r="C221" s="133">
        <v>6372</v>
      </c>
      <c r="D221" s="133">
        <v>0</v>
      </c>
      <c r="E221" s="133">
        <f t="shared" si="3"/>
        <v>6372</v>
      </c>
    </row>
    <row r="222" spans="1:5">
      <c r="A222" t="s">
        <v>507</v>
      </c>
      <c r="B222" t="s">
        <v>835</v>
      </c>
      <c r="C222" s="133">
        <v>0</v>
      </c>
      <c r="D222" s="133">
        <v>0</v>
      </c>
      <c r="E222" s="133">
        <f t="shared" si="3"/>
        <v>0</v>
      </c>
    </row>
    <row r="223" spans="1:5">
      <c r="A223" t="s">
        <v>509</v>
      </c>
      <c r="B223" t="s">
        <v>805</v>
      </c>
      <c r="C223" s="133">
        <v>419</v>
      </c>
      <c r="D223" s="133">
        <v>0</v>
      </c>
      <c r="E223" s="133">
        <f t="shared" si="3"/>
        <v>419</v>
      </c>
    </row>
    <row r="224" spans="1:5">
      <c r="A224" t="s">
        <v>511</v>
      </c>
      <c r="B224" t="s">
        <v>854</v>
      </c>
      <c r="C224" s="133">
        <v>0</v>
      </c>
      <c r="D224" s="133">
        <v>2</v>
      </c>
      <c r="E224" s="133">
        <f t="shared" si="3"/>
        <v>2</v>
      </c>
    </row>
    <row r="225" spans="1:5">
      <c r="A225" t="s">
        <v>515</v>
      </c>
      <c r="B225" t="s">
        <v>917</v>
      </c>
      <c r="C225" s="133">
        <v>1</v>
      </c>
      <c r="D225" s="133">
        <v>957</v>
      </c>
      <c r="E225" s="133">
        <f t="shared" si="3"/>
        <v>958</v>
      </c>
    </row>
    <row r="226" spans="1:5">
      <c r="A226" t="s">
        <v>513</v>
      </c>
      <c r="B226" t="s">
        <v>904</v>
      </c>
      <c r="C226" s="133">
        <v>124073</v>
      </c>
      <c r="D226" s="133">
        <v>0</v>
      </c>
      <c r="E226" s="133">
        <f t="shared" si="3"/>
        <v>124073</v>
      </c>
    </row>
    <row r="227" spans="1:5">
      <c r="A227" t="s">
        <v>517</v>
      </c>
      <c r="B227" t="s">
        <v>846</v>
      </c>
      <c r="C227" s="133">
        <v>0</v>
      </c>
      <c r="D227" s="133">
        <v>226</v>
      </c>
      <c r="E227" s="133">
        <f t="shared" si="3"/>
        <v>226</v>
      </c>
    </row>
    <row r="228" spans="1:5">
      <c r="A228" t="s">
        <v>473</v>
      </c>
      <c r="B228" t="s">
        <v>964</v>
      </c>
      <c r="C228" s="133">
        <v>0</v>
      </c>
      <c r="D228" s="133">
        <v>0</v>
      </c>
      <c r="E228" s="133">
        <f t="shared" si="3"/>
        <v>0</v>
      </c>
    </row>
    <row r="229" spans="1:5">
      <c r="A229" t="s">
        <v>519</v>
      </c>
      <c r="B229" t="s">
        <v>903</v>
      </c>
      <c r="C229" s="133">
        <v>0</v>
      </c>
      <c r="D229" s="133">
        <v>0</v>
      </c>
      <c r="E229" s="133">
        <f t="shared" si="3"/>
        <v>0</v>
      </c>
    </row>
    <row r="230" spans="1:5">
      <c r="A230" t="s">
        <v>523</v>
      </c>
      <c r="B230" t="s">
        <v>773</v>
      </c>
      <c r="C230" s="133">
        <v>60103</v>
      </c>
      <c r="D230" s="133">
        <v>1016</v>
      </c>
      <c r="E230" s="133">
        <f t="shared" si="3"/>
        <v>61119</v>
      </c>
    </row>
    <row r="231" spans="1:5">
      <c r="A231" t="s">
        <v>527</v>
      </c>
      <c r="B231" t="s">
        <v>871</v>
      </c>
      <c r="C231" s="133">
        <v>8997</v>
      </c>
      <c r="D231" s="133">
        <v>0</v>
      </c>
      <c r="E231" s="133">
        <f t="shared" si="3"/>
        <v>8997</v>
      </c>
    </row>
    <row r="232" spans="1:5">
      <c r="A232" t="s">
        <v>529</v>
      </c>
      <c r="B232" t="s">
        <v>960</v>
      </c>
      <c r="C232" s="133">
        <v>0</v>
      </c>
      <c r="D232" s="133">
        <v>0</v>
      </c>
      <c r="E232" s="133">
        <f t="shared" si="3"/>
        <v>0</v>
      </c>
    </row>
    <row r="233" spans="1:5">
      <c r="A233" t="s">
        <v>533</v>
      </c>
      <c r="B233" t="s">
        <v>901</v>
      </c>
      <c r="C233" s="133">
        <v>0</v>
      </c>
      <c r="D233" s="133">
        <v>8238</v>
      </c>
      <c r="E233" s="133">
        <f t="shared" si="3"/>
        <v>8238</v>
      </c>
    </row>
    <row r="234" spans="1:5">
      <c r="A234" t="s">
        <v>535</v>
      </c>
      <c r="B234" t="s">
        <v>700</v>
      </c>
      <c r="C234" s="133">
        <v>0</v>
      </c>
      <c r="D234" s="133">
        <v>0</v>
      </c>
      <c r="E234" s="133">
        <f t="shared" si="3"/>
        <v>0</v>
      </c>
    </row>
    <row r="235" spans="1:5">
      <c r="A235" t="s">
        <v>537</v>
      </c>
      <c r="B235" t="s">
        <v>884</v>
      </c>
      <c r="C235" s="133">
        <v>0</v>
      </c>
      <c r="D235" s="133">
        <v>0</v>
      </c>
      <c r="E235" s="133">
        <f t="shared" si="3"/>
        <v>0</v>
      </c>
    </row>
    <row r="236" spans="1:5">
      <c r="A236" t="s">
        <v>539</v>
      </c>
      <c r="B236" t="s">
        <v>824</v>
      </c>
      <c r="C236" s="133">
        <v>0</v>
      </c>
      <c r="D236" s="133">
        <v>0</v>
      </c>
      <c r="E236" s="133">
        <f t="shared" si="3"/>
        <v>0</v>
      </c>
    </row>
    <row r="237" spans="1:5">
      <c r="A237" t="s">
        <v>541</v>
      </c>
      <c r="B237" t="s">
        <v>924</v>
      </c>
      <c r="C237" s="133">
        <v>0</v>
      </c>
      <c r="D237" s="133">
        <v>0</v>
      </c>
      <c r="E237" s="133">
        <f t="shared" si="3"/>
        <v>0</v>
      </c>
    </row>
    <row r="238" spans="1:5">
      <c r="A238" t="s">
        <v>543</v>
      </c>
      <c r="B238" t="s">
        <v>874</v>
      </c>
      <c r="C238" s="133">
        <v>0</v>
      </c>
      <c r="D238" s="133">
        <v>2485</v>
      </c>
      <c r="E238" s="133">
        <f t="shared" si="3"/>
        <v>2485</v>
      </c>
    </row>
    <row r="239" spans="1:5">
      <c r="A239" t="s">
        <v>545</v>
      </c>
      <c r="B239" t="s">
        <v>974</v>
      </c>
      <c r="C239" s="133">
        <v>955</v>
      </c>
      <c r="D239" s="133">
        <v>0</v>
      </c>
      <c r="E239" s="133">
        <f t="shared" si="3"/>
        <v>955</v>
      </c>
    </row>
    <row r="240" spans="1:5">
      <c r="A240" t="s">
        <v>836</v>
      </c>
      <c r="B240" t="s">
        <v>548</v>
      </c>
      <c r="C240" s="133">
        <v>26776</v>
      </c>
      <c r="D240" s="133">
        <v>0</v>
      </c>
      <c r="E240" s="133">
        <f t="shared" si="3"/>
        <v>26776</v>
      </c>
    </row>
    <row r="241" spans="1:5">
      <c r="A241" t="s">
        <v>549</v>
      </c>
      <c r="B241" t="s">
        <v>872</v>
      </c>
      <c r="C241" s="133">
        <v>0</v>
      </c>
      <c r="D241" s="133">
        <v>0</v>
      </c>
      <c r="E241" s="133">
        <f t="shared" si="3"/>
        <v>0</v>
      </c>
    </row>
    <row r="242" spans="1:5">
      <c r="A242" t="s">
        <v>551</v>
      </c>
      <c r="B242" t="s">
        <v>798</v>
      </c>
      <c r="C242" s="133">
        <v>0</v>
      </c>
      <c r="D242" s="133">
        <v>2131</v>
      </c>
      <c r="E242" s="133">
        <f t="shared" si="3"/>
        <v>2131</v>
      </c>
    </row>
    <row r="243" spans="1:5">
      <c r="A243" t="s">
        <v>553</v>
      </c>
      <c r="B243" t="s">
        <v>819</v>
      </c>
      <c r="C243" s="133">
        <v>163934</v>
      </c>
      <c r="D243" s="133">
        <v>0</v>
      </c>
      <c r="E243" s="133">
        <f t="shared" si="3"/>
        <v>163934</v>
      </c>
    </row>
    <row r="244" spans="1:5">
      <c r="A244" t="s">
        <v>555</v>
      </c>
      <c r="B244" t="s">
        <v>956</v>
      </c>
      <c r="C244" s="133">
        <v>0</v>
      </c>
      <c r="D244" s="133">
        <v>0</v>
      </c>
      <c r="E244" s="133">
        <f t="shared" si="3"/>
        <v>0</v>
      </c>
    </row>
    <row r="245" spans="1:5">
      <c r="A245" t="s">
        <v>557</v>
      </c>
      <c r="B245" t="s">
        <v>936</v>
      </c>
      <c r="C245" s="133">
        <v>20622</v>
      </c>
      <c r="D245" s="133">
        <v>2852</v>
      </c>
      <c r="E245" s="133">
        <f t="shared" si="3"/>
        <v>23474</v>
      </c>
    </row>
    <row r="246" spans="1:5">
      <c r="A246" t="s">
        <v>559</v>
      </c>
      <c r="B246" t="s">
        <v>838</v>
      </c>
      <c r="C246" s="133">
        <v>3819</v>
      </c>
      <c r="D246" s="133">
        <v>2170</v>
      </c>
      <c r="E246" s="133">
        <f t="shared" si="3"/>
        <v>5989</v>
      </c>
    </row>
    <row r="247" spans="1:5">
      <c r="A247" t="s">
        <v>561</v>
      </c>
      <c r="B247" t="s">
        <v>742</v>
      </c>
      <c r="C247" s="133">
        <v>0</v>
      </c>
      <c r="D247" s="133">
        <v>0</v>
      </c>
      <c r="E247" s="133">
        <f t="shared" si="3"/>
        <v>0</v>
      </c>
    </row>
    <row r="248" spans="1:5">
      <c r="A248" t="s">
        <v>563</v>
      </c>
      <c r="B248" t="s">
        <v>863</v>
      </c>
      <c r="C248" s="133">
        <v>0</v>
      </c>
      <c r="D248" s="133">
        <v>774</v>
      </c>
      <c r="E248" s="133">
        <f t="shared" si="3"/>
        <v>774</v>
      </c>
    </row>
    <row r="249" spans="1:5">
      <c r="A249" t="s">
        <v>565</v>
      </c>
      <c r="B249" t="s">
        <v>975</v>
      </c>
      <c r="C249" s="133">
        <v>0</v>
      </c>
      <c r="D249" s="133">
        <v>0</v>
      </c>
      <c r="E249" s="133">
        <f t="shared" si="3"/>
        <v>0</v>
      </c>
    </row>
    <row r="250" spans="1:5">
      <c r="A250" t="s">
        <v>567</v>
      </c>
      <c r="B250" t="s">
        <v>942</v>
      </c>
      <c r="C250" s="133">
        <v>0</v>
      </c>
      <c r="D250" s="133">
        <v>0</v>
      </c>
      <c r="E250" s="133">
        <f t="shared" si="3"/>
        <v>0</v>
      </c>
    </row>
    <row r="251" spans="1:5">
      <c r="A251" t="s">
        <v>573</v>
      </c>
      <c r="B251" t="s">
        <v>816</v>
      </c>
      <c r="C251" s="133">
        <v>0</v>
      </c>
      <c r="D251" s="133">
        <v>0</v>
      </c>
      <c r="E251" s="133">
        <f t="shared" si="3"/>
        <v>0</v>
      </c>
    </row>
    <row r="252" spans="1:5">
      <c r="A252" t="s">
        <v>575</v>
      </c>
      <c r="B252" t="s">
        <v>931</v>
      </c>
      <c r="C252" s="133">
        <v>147015</v>
      </c>
      <c r="D252" s="133">
        <v>24</v>
      </c>
      <c r="E252" s="133">
        <f t="shared" si="3"/>
        <v>147039</v>
      </c>
    </row>
    <row r="253" spans="1:5">
      <c r="A253" t="s">
        <v>577</v>
      </c>
      <c r="B253" t="s">
        <v>967</v>
      </c>
      <c r="C253" s="133">
        <v>117858</v>
      </c>
      <c r="D253" s="133">
        <v>8815</v>
      </c>
      <c r="E253" s="133">
        <f t="shared" si="3"/>
        <v>126673</v>
      </c>
    </row>
    <row r="254" spans="1:5">
      <c r="A254" t="s">
        <v>579</v>
      </c>
      <c r="B254" t="s">
        <v>743</v>
      </c>
      <c r="C254" s="133">
        <v>0</v>
      </c>
      <c r="D254" s="133">
        <v>0</v>
      </c>
      <c r="E254" s="133">
        <f t="shared" si="3"/>
        <v>0</v>
      </c>
    </row>
    <row r="255" spans="1:5">
      <c r="A255" t="s">
        <v>581</v>
      </c>
      <c r="B255" t="s">
        <v>921</v>
      </c>
      <c r="C255" s="133">
        <v>23634</v>
      </c>
      <c r="D255" s="133">
        <v>0</v>
      </c>
      <c r="E255" s="133">
        <f t="shared" si="3"/>
        <v>23634</v>
      </c>
    </row>
    <row r="256" spans="1:5">
      <c r="A256" t="s">
        <v>583</v>
      </c>
      <c r="B256" t="s">
        <v>767</v>
      </c>
      <c r="C256" s="133">
        <v>0</v>
      </c>
      <c r="D256" s="133">
        <v>0</v>
      </c>
      <c r="E256" s="133">
        <f t="shared" si="3"/>
        <v>0</v>
      </c>
    </row>
    <row r="257" spans="1:5">
      <c r="A257" t="s">
        <v>585</v>
      </c>
      <c r="B257" t="s">
        <v>813</v>
      </c>
      <c r="C257" s="133">
        <v>0</v>
      </c>
      <c r="D257" s="133">
        <v>0</v>
      </c>
      <c r="E257" s="133">
        <f t="shared" si="3"/>
        <v>0</v>
      </c>
    </row>
    <row r="258" spans="1:5">
      <c r="A258" t="s">
        <v>591</v>
      </c>
      <c r="B258" t="s">
        <v>744</v>
      </c>
      <c r="C258" s="133">
        <v>61</v>
      </c>
      <c r="D258" s="133">
        <v>104</v>
      </c>
      <c r="E258" s="133">
        <f t="shared" si="3"/>
        <v>165</v>
      </c>
    </row>
    <row r="259" spans="1:5">
      <c r="A259" t="s">
        <v>595</v>
      </c>
      <c r="B259" t="s">
        <v>940</v>
      </c>
      <c r="C259" s="133">
        <v>17738</v>
      </c>
      <c r="D259" s="133">
        <v>2144</v>
      </c>
      <c r="E259" s="133">
        <f t="shared" ref="E259:E280" si="4">C259+D259</f>
        <v>19882</v>
      </c>
    </row>
    <row r="260" spans="1:5">
      <c r="A260" t="s">
        <v>597</v>
      </c>
      <c r="B260" t="s">
        <v>979</v>
      </c>
      <c r="C260" s="133">
        <v>63834</v>
      </c>
      <c r="D260" s="133">
        <v>3806</v>
      </c>
      <c r="E260" s="133">
        <f t="shared" si="4"/>
        <v>67640</v>
      </c>
    </row>
    <row r="261" spans="1:5">
      <c r="A261" t="s">
        <v>599</v>
      </c>
      <c r="B261" t="s">
        <v>786</v>
      </c>
      <c r="C261" s="133">
        <v>63159</v>
      </c>
      <c r="D261" s="133">
        <v>12142</v>
      </c>
      <c r="E261" s="133">
        <f t="shared" si="4"/>
        <v>75301</v>
      </c>
    </row>
    <row r="262" spans="1:5">
      <c r="A262" t="s">
        <v>702</v>
      </c>
      <c r="B262" t="s">
        <v>939</v>
      </c>
      <c r="C262" s="133">
        <v>96</v>
      </c>
      <c r="D262" s="133">
        <v>0</v>
      </c>
      <c r="E262" s="133">
        <f t="shared" si="4"/>
        <v>96</v>
      </c>
    </row>
    <row r="263" spans="1:5">
      <c r="A263" t="s">
        <v>601</v>
      </c>
      <c r="B263" t="s">
        <v>745</v>
      </c>
      <c r="C263" s="133">
        <v>0</v>
      </c>
      <c r="D263" s="133">
        <v>0</v>
      </c>
      <c r="E263" s="133">
        <f t="shared" si="4"/>
        <v>0</v>
      </c>
    </row>
    <row r="264" spans="1:5">
      <c r="A264" t="s">
        <v>603</v>
      </c>
      <c r="B264" t="s">
        <v>748</v>
      </c>
      <c r="C264" s="133">
        <v>0</v>
      </c>
      <c r="D264" s="133">
        <v>0</v>
      </c>
      <c r="E264" s="133">
        <f t="shared" si="4"/>
        <v>0</v>
      </c>
    </row>
    <row r="265" spans="1:5">
      <c r="A265" t="s">
        <v>607</v>
      </c>
      <c r="B265" t="s">
        <v>1409</v>
      </c>
      <c r="C265" s="133">
        <v>37877</v>
      </c>
      <c r="D265" s="133">
        <v>0</v>
      </c>
      <c r="E265" s="133">
        <f t="shared" si="4"/>
        <v>37877</v>
      </c>
    </row>
    <row r="266" spans="1:5">
      <c r="A266" t="s">
        <v>609</v>
      </c>
      <c r="B266" t="s">
        <v>746</v>
      </c>
      <c r="C266" s="133">
        <v>77006</v>
      </c>
      <c r="D266" s="133">
        <v>0</v>
      </c>
      <c r="E266" s="133">
        <f t="shared" si="4"/>
        <v>77006</v>
      </c>
    </row>
    <row r="267" spans="1:5">
      <c r="A267" t="s">
        <v>613</v>
      </c>
      <c r="B267" t="s">
        <v>914</v>
      </c>
      <c r="C267" s="133">
        <v>0</v>
      </c>
      <c r="D267" s="133">
        <v>0</v>
      </c>
      <c r="E267" s="133">
        <f t="shared" si="4"/>
        <v>0</v>
      </c>
    </row>
    <row r="268" spans="1:5">
      <c r="A268" t="s">
        <v>611</v>
      </c>
      <c r="B268" t="s">
        <v>980</v>
      </c>
      <c r="C268" s="133">
        <v>0</v>
      </c>
      <c r="D268" s="133">
        <v>735</v>
      </c>
      <c r="E268" s="133">
        <f t="shared" si="4"/>
        <v>735</v>
      </c>
    </row>
    <row r="269" spans="1:5">
      <c r="A269" t="s">
        <v>617</v>
      </c>
      <c r="B269" t="s">
        <v>845</v>
      </c>
      <c r="C269" s="133">
        <v>0</v>
      </c>
      <c r="D269" s="133">
        <v>0</v>
      </c>
      <c r="E269" s="133">
        <f t="shared" si="4"/>
        <v>0</v>
      </c>
    </row>
    <row r="270" spans="1:5">
      <c r="A270" t="s">
        <v>619</v>
      </c>
      <c r="B270" t="s">
        <v>880</v>
      </c>
      <c r="C270" s="133">
        <v>0</v>
      </c>
      <c r="D270" s="133">
        <v>0</v>
      </c>
      <c r="E270" s="133">
        <f t="shared" si="4"/>
        <v>0</v>
      </c>
    </row>
    <row r="271" spans="1:5">
      <c r="A271" t="s">
        <v>623</v>
      </c>
      <c r="B271" t="s">
        <v>1381</v>
      </c>
      <c r="C271" s="133">
        <v>0</v>
      </c>
      <c r="D271" s="133">
        <v>0</v>
      </c>
      <c r="E271" s="133">
        <f t="shared" si="4"/>
        <v>0</v>
      </c>
    </row>
    <row r="272" spans="1:5">
      <c r="A272" t="s">
        <v>625</v>
      </c>
      <c r="B272" t="s">
        <v>851</v>
      </c>
      <c r="C272" s="133">
        <v>0</v>
      </c>
      <c r="D272" s="133">
        <v>0</v>
      </c>
      <c r="E272" s="133">
        <f t="shared" si="4"/>
        <v>0</v>
      </c>
    </row>
    <row r="273" spans="1:5">
      <c r="A273" t="s">
        <v>627</v>
      </c>
      <c r="B273" t="s">
        <v>866</v>
      </c>
      <c r="C273" s="133">
        <v>0</v>
      </c>
      <c r="D273" s="133">
        <v>0</v>
      </c>
      <c r="E273" s="133">
        <f t="shared" si="4"/>
        <v>0</v>
      </c>
    </row>
    <row r="274" spans="1:5">
      <c r="A274" t="s">
        <v>629</v>
      </c>
      <c r="B274" t="s">
        <v>792</v>
      </c>
      <c r="C274" s="133">
        <v>0</v>
      </c>
      <c r="D274" s="133">
        <v>1076</v>
      </c>
      <c r="E274" s="133">
        <f t="shared" si="4"/>
        <v>1076</v>
      </c>
    </row>
    <row r="275" spans="1:5">
      <c r="A275" t="s">
        <v>631</v>
      </c>
      <c r="B275" t="s">
        <v>747</v>
      </c>
      <c r="C275" s="133">
        <v>0</v>
      </c>
      <c r="D275" s="133">
        <v>369</v>
      </c>
      <c r="E275" s="133">
        <f t="shared" si="4"/>
        <v>369</v>
      </c>
    </row>
    <row r="276" spans="1:5">
      <c r="A276" t="s">
        <v>633</v>
      </c>
      <c r="B276" t="s">
        <v>801</v>
      </c>
      <c r="C276" s="133">
        <v>0</v>
      </c>
      <c r="D276" s="133">
        <v>182</v>
      </c>
      <c r="E276" s="133">
        <f t="shared" si="4"/>
        <v>182</v>
      </c>
    </row>
    <row r="277" spans="1:5">
      <c r="A277" t="s">
        <v>637</v>
      </c>
      <c r="B277" t="s">
        <v>776</v>
      </c>
      <c r="C277" s="133">
        <v>0</v>
      </c>
      <c r="D277" s="133">
        <v>0</v>
      </c>
      <c r="E277" s="133">
        <f t="shared" si="4"/>
        <v>0</v>
      </c>
    </row>
    <row r="278" spans="1:5">
      <c r="A278" t="s">
        <v>639</v>
      </c>
      <c r="B278" t="s">
        <v>969</v>
      </c>
      <c r="C278" s="133">
        <v>0</v>
      </c>
      <c r="D278" s="133">
        <v>27061</v>
      </c>
      <c r="E278" s="133">
        <f t="shared" si="4"/>
        <v>27061</v>
      </c>
    </row>
    <row r="279" spans="1:5">
      <c r="A279" t="s">
        <v>641</v>
      </c>
      <c r="B279" t="s">
        <v>930</v>
      </c>
      <c r="C279" s="133">
        <v>270</v>
      </c>
      <c r="D279" s="133">
        <v>0</v>
      </c>
      <c r="E279" s="133">
        <f t="shared" si="4"/>
        <v>270</v>
      </c>
    </row>
    <row r="280" spans="1:5">
      <c r="A280" t="s">
        <v>643</v>
      </c>
      <c r="B280" t="s">
        <v>978</v>
      </c>
      <c r="C280" s="133">
        <v>9659</v>
      </c>
      <c r="D280" s="133">
        <v>0</v>
      </c>
      <c r="E280" s="133">
        <f t="shared" si="4"/>
        <v>9659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6" tint="0.59999389629810485"/>
  </sheetPr>
  <dimension ref="A1:C320"/>
  <sheetViews>
    <sheetView workbookViewId="0">
      <selection activeCell="C2" sqref="C2"/>
    </sheetView>
  </sheetViews>
  <sheetFormatPr defaultRowHeight="12.75"/>
  <cols>
    <col min="1" max="1" width="9.42578125" customWidth="1"/>
    <col min="2" max="2" width="7.140625" bestFit="1" customWidth="1"/>
    <col min="3" max="3" width="45.28515625" style="14" customWidth="1"/>
  </cols>
  <sheetData>
    <row r="1" spans="1:3">
      <c r="A1">
        <v>1</v>
      </c>
      <c r="B1">
        <v>2</v>
      </c>
      <c r="C1" s="14">
        <v>3</v>
      </c>
    </row>
    <row r="2" spans="1:3" s="2" customFormat="1" ht="16.5">
      <c r="A2" s="17" t="s">
        <v>3</v>
      </c>
      <c r="B2" s="18" t="s">
        <v>4</v>
      </c>
      <c r="C2" s="19" t="s">
        <v>5</v>
      </c>
    </row>
    <row r="3" spans="1:3" ht="16.5">
      <c r="A3" s="57" t="s">
        <v>6</v>
      </c>
      <c r="B3" s="58" t="s">
        <v>7</v>
      </c>
      <c r="C3" s="59" t="s">
        <v>8</v>
      </c>
    </row>
    <row r="4" spans="1:3" ht="16.5">
      <c r="A4" s="57" t="s">
        <v>9</v>
      </c>
      <c r="B4" s="58" t="s">
        <v>7</v>
      </c>
      <c r="C4" s="59" t="s">
        <v>10</v>
      </c>
    </row>
    <row r="5" spans="1:3" ht="16.5">
      <c r="A5" s="57" t="s">
        <v>11</v>
      </c>
      <c r="B5" s="60" t="s">
        <v>12</v>
      </c>
      <c r="C5" s="59" t="s">
        <v>13</v>
      </c>
    </row>
    <row r="6" spans="1:3" ht="16.5">
      <c r="A6" s="57" t="s">
        <v>14</v>
      </c>
      <c r="B6" s="58" t="s">
        <v>15</v>
      </c>
      <c r="C6" s="59" t="s">
        <v>16</v>
      </c>
    </row>
    <row r="7" spans="1:3" ht="16.5">
      <c r="A7" s="57" t="s">
        <v>17</v>
      </c>
      <c r="B7" s="58" t="s">
        <v>15</v>
      </c>
      <c r="C7" s="59" t="s">
        <v>18</v>
      </c>
    </row>
    <row r="8" spans="1:3" ht="16.5">
      <c r="A8" s="57" t="s">
        <v>19</v>
      </c>
      <c r="B8" s="58" t="s">
        <v>20</v>
      </c>
      <c r="C8" s="59" t="s">
        <v>21</v>
      </c>
    </row>
    <row r="9" spans="1:3" ht="16.5">
      <c r="A9" s="57" t="s">
        <v>22</v>
      </c>
      <c r="B9" s="58" t="s">
        <v>23</v>
      </c>
      <c r="C9" s="59" t="s">
        <v>24</v>
      </c>
    </row>
    <row r="10" spans="1:3" ht="16.5">
      <c r="A10" s="57" t="s">
        <v>25</v>
      </c>
      <c r="B10" s="58" t="s">
        <v>23</v>
      </c>
      <c r="C10" s="59" t="s">
        <v>26</v>
      </c>
    </row>
    <row r="11" spans="1:3" ht="16.5">
      <c r="A11" s="57" t="s">
        <v>27</v>
      </c>
      <c r="B11" s="58" t="s">
        <v>28</v>
      </c>
      <c r="C11" s="59" t="s">
        <v>29</v>
      </c>
    </row>
    <row r="12" spans="1:3" ht="16.5">
      <c r="A12" s="57" t="s">
        <v>30</v>
      </c>
      <c r="B12" s="58" t="s">
        <v>23</v>
      </c>
      <c r="C12" s="59" t="s">
        <v>31</v>
      </c>
    </row>
    <row r="13" spans="1:3" ht="16.5">
      <c r="A13" s="57" t="s">
        <v>32</v>
      </c>
      <c r="B13" s="58" t="s">
        <v>15</v>
      </c>
      <c r="C13" s="59" t="s">
        <v>33</v>
      </c>
    </row>
    <row r="14" spans="1:3" ht="16.5">
      <c r="A14" s="57" t="s">
        <v>34</v>
      </c>
      <c r="B14" s="58" t="s">
        <v>12</v>
      </c>
      <c r="C14" s="59" t="s">
        <v>35</v>
      </c>
    </row>
    <row r="15" spans="1:3" ht="16.5">
      <c r="A15" s="57" t="s">
        <v>36</v>
      </c>
      <c r="B15" s="58" t="s">
        <v>23</v>
      </c>
      <c r="C15" s="59" t="s">
        <v>37</v>
      </c>
    </row>
    <row r="16" spans="1:3" ht="16.5">
      <c r="A16" s="57" t="s">
        <v>38</v>
      </c>
      <c r="B16" s="58" t="s">
        <v>39</v>
      </c>
      <c r="C16" s="59" t="s">
        <v>40</v>
      </c>
    </row>
    <row r="17" spans="1:3" ht="16.5">
      <c r="A17" s="57" t="s">
        <v>41</v>
      </c>
      <c r="B17" s="58" t="s">
        <v>15</v>
      </c>
      <c r="C17" s="59" t="s">
        <v>42</v>
      </c>
    </row>
    <row r="18" spans="1:3" ht="16.5">
      <c r="A18" s="57" t="s">
        <v>43</v>
      </c>
      <c r="B18" s="58" t="s">
        <v>7</v>
      </c>
      <c r="C18" s="59" t="s">
        <v>44</v>
      </c>
    </row>
    <row r="19" spans="1:3" ht="16.5">
      <c r="A19" s="57" t="s">
        <v>45</v>
      </c>
      <c r="B19" s="58" t="s">
        <v>46</v>
      </c>
      <c r="C19" s="59" t="s">
        <v>47</v>
      </c>
    </row>
    <row r="20" spans="1:3" ht="16.5">
      <c r="A20" s="57" t="s">
        <v>48</v>
      </c>
      <c r="B20" s="60" t="s">
        <v>49</v>
      </c>
      <c r="C20" s="59" t="s">
        <v>50</v>
      </c>
    </row>
    <row r="21" spans="1:3" ht="16.5">
      <c r="A21" s="57" t="s">
        <v>51</v>
      </c>
      <c r="B21" s="58" t="s">
        <v>49</v>
      </c>
      <c r="C21" s="59" t="s">
        <v>52</v>
      </c>
    </row>
    <row r="22" spans="1:3" ht="16.5">
      <c r="A22" s="57" t="s">
        <v>53</v>
      </c>
      <c r="B22" s="58" t="s">
        <v>46</v>
      </c>
      <c r="C22" s="59" t="s">
        <v>54</v>
      </c>
    </row>
    <row r="23" spans="1:3" ht="16.5">
      <c r="A23" s="57" t="s">
        <v>55</v>
      </c>
      <c r="B23" s="58" t="s">
        <v>15</v>
      </c>
      <c r="C23" s="59" t="s">
        <v>56</v>
      </c>
    </row>
    <row r="24" spans="1:3" ht="16.5">
      <c r="A24" s="57" t="s">
        <v>57</v>
      </c>
      <c r="B24" s="58" t="s">
        <v>28</v>
      </c>
      <c r="C24" s="59" t="s">
        <v>58</v>
      </c>
    </row>
    <row r="25" spans="1:3" ht="16.5">
      <c r="A25" s="57" t="s">
        <v>59</v>
      </c>
      <c r="B25" s="58" t="s">
        <v>46</v>
      </c>
      <c r="C25" s="59" t="s">
        <v>60</v>
      </c>
    </row>
    <row r="26" spans="1:3" ht="16.5">
      <c r="A26" s="61" t="s">
        <v>61</v>
      </c>
      <c r="B26" s="58" t="s">
        <v>23</v>
      </c>
      <c r="C26" s="59" t="s">
        <v>62</v>
      </c>
    </row>
    <row r="27" spans="1:3" ht="16.5">
      <c r="A27" s="57" t="s">
        <v>63</v>
      </c>
      <c r="B27" s="58" t="s">
        <v>49</v>
      </c>
      <c r="C27" s="59" t="s">
        <v>64</v>
      </c>
    </row>
    <row r="28" spans="1:3" ht="16.5">
      <c r="A28" s="61" t="s">
        <v>65</v>
      </c>
      <c r="B28" s="58" t="s">
        <v>49</v>
      </c>
      <c r="C28" s="59" t="s">
        <v>66</v>
      </c>
    </row>
    <row r="29" spans="1:3" ht="16.5">
      <c r="A29" s="57" t="s">
        <v>67</v>
      </c>
      <c r="B29" s="58" t="s">
        <v>28</v>
      </c>
      <c r="C29" s="59" t="s">
        <v>68</v>
      </c>
    </row>
    <row r="30" spans="1:3" ht="16.5">
      <c r="A30" s="61" t="s">
        <v>69</v>
      </c>
      <c r="B30" s="58" t="s">
        <v>46</v>
      </c>
      <c r="C30" s="59" t="s">
        <v>70</v>
      </c>
    </row>
    <row r="31" spans="1:3" ht="16.5">
      <c r="A31" s="57" t="s">
        <v>71</v>
      </c>
      <c r="B31" s="58" t="s">
        <v>28</v>
      </c>
      <c r="C31" s="59" t="s">
        <v>72</v>
      </c>
    </row>
    <row r="32" spans="1:3" ht="16.5">
      <c r="A32" s="57" t="s">
        <v>73</v>
      </c>
      <c r="B32" s="58" t="s">
        <v>46</v>
      </c>
      <c r="C32" s="59" t="s">
        <v>74</v>
      </c>
    </row>
    <row r="33" spans="1:3" ht="16.5">
      <c r="A33" s="57" t="s">
        <v>75</v>
      </c>
      <c r="B33" s="58" t="s">
        <v>12</v>
      </c>
      <c r="C33" s="59" t="s">
        <v>76</v>
      </c>
    </row>
    <row r="34" spans="1:3" ht="16.5">
      <c r="A34" s="57" t="s">
        <v>77</v>
      </c>
      <c r="B34" s="60" t="s">
        <v>7</v>
      </c>
      <c r="C34" s="59" t="s">
        <v>78</v>
      </c>
    </row>
    <row r="35" spans="1:3" ht="16.5">
      <c r="A35" s="57" t="s">
        <v>79</v>
      </c>
      <c r="B35" s="60" t="s">
        <v>7</v>
      </c>
      <c r="C35" s="59" t="s">
        <v>80</v>
      </c>
    </row>
    <row r="36" spans="1:3" ht="16.5">
      <c r="A36" s="57" t="s">
        <v>81</v>
      </c>
      <c r="B36" s="58" t="s">
        <v>12</v>
      </c>
      <c r="C36" s="59" t="s">
        <v>82</v>
      </c>
    </row>
    <row r="37" spans="1:3" ht="16.5">
      <c r="A37" s="57" t="s">
        <v>83</v>
      </c>
      <c r="B37" s="58" t="s">
        <v>12</v>
      </c>
      <c r="C37" s="59" t="s">
        <v>84</v>
      </c>
    </row>
    <row r="38" spans="1:3" ht="16.5">
      <c r="A38" s="57" t="s">
        <v>85</v>
      </c>
      <c r="B38" s="58" t="s">
        <v>46</v>
      </c>
      <c r="C38" s="59" t="s">
        <v>86</v>
      </c>
    </row>
    <row r="39" spans="1:3" ht="16.5">
      <c r="A39" s="57" t="s">
        <v>87</v>
      </c>
      <c r="B39" s="58" t="s">
        <v>20</v>
      </c>
      <c r="C39" s="59" t="s">
        <v>88</v>
      </c>
    </row>
    <row r="40" spans="1:3" ht="16.5">
      <c r="A40" s="57" t="s">
        <v>89</v>
      </c>
      <c r="B40" s="58" t="s">
        <v>39</v>
      </c>
      <c r="C40" s="59" t="s">
        <v>90</v>
      </c>
    </row>
    <row r="41" spans="1:3" ht="16.5">
      <c r="A41" s="57" t="s">
        <v>91</v>
      </c>
      <c r="B41" s="58" t="s">
        <v>23</v>
      </c>
      <c r="C41" s="59" t="s">
        <v>92</v>
      </c>
    </row>
    <row r="42" spans="1:3" ht="16.5">
      <c r="A42" s="57" t="s">
        <v>93</v>
      </c>
      <c r="B42" s="60" t="s">
        <v>12</v>
      </c>
      <c r="C42" s="59" t="s">
        <v>94</v>
      </c>
    </row>
    <row r="43" spans="1:3" ht="16.5">
      <c r="A43" s="57" t="s">
        <v>95</v>
      </c>
      <c r="B43" s="58" t="s">
        <v>20</v>
      </c>
      <c r="C43" s="59" t="s">
        <v>96</v>
      </c>
    </row>
    <row r="44" spans="1:3" ht="16.5">
      <c r="A44" s="57" t="s">
        <v>97</v>
      </c>
      <c r="B44" s="58" t="s">
        <v>12</v>
      </c>
      <c r="C44" s="59" t="s">
        <v>98</v>
      </c>
    </row>
    <row r="45" spans="1:3" ht="16.5">
      <c r="A45" s="57" t="s">
        <v>99</v>
      </c>
      <c r="B45" s="58" t="s">
        <v>12</v>
      </c>
      <c r="C45" s="59" t="s">
        <v>100</v>
      </c>
    </row>
    <row r="46" spans="1:3" ht="16.5">
      <c r="A46" s="57" t="s">
        <v>101</v>
      </c>
      <c r="B46" s="58" t="s">
        <v>20</v>
      </c>
      <c r="C46" s="59" t="s">
        <v>102</v>
      </c>
    </row>
    <row r="47" spans="1:3" ht="16.5">
      <c r="A47" s="57" t="s">
        <v>103</v>
      </c>
      <c r="B47" s="58" t="s">
        <v>12</v>
      </c>
      <c r="C47" s="59" t="s">
        <v>104</v>
      </c>
    </row>
    <row r="48" spans="1:3" ht="16.5">
      <c r="A48" s="57" t="s">
        <v>105</v>
      </c>
      <c r="B48" s="58" t="s">
        <v>15</v>
      </c>
      <c r="C48" s="59" t="s">
        <v>106</v>
      </c>
    </row>
    <row r="49" spans="1:3" ht="16.5">
      <c r="A49" s="57" t="s">
        <v>107</v>
      </c>
      <c r="B49" s="58" t="s">
        <v>15</v>
      </c>
      <c r="C49" s="59" t="s">
        <v>108</v>
      </c>
    </row>
    <row r="50" spans="1:3" ht="16.5">
      <c r="A50" s="57" t="s">
        <v>109</v>
      </c>
      <c r="B50" s="58" t="s">
        <v>7</v>
      </c>
      <c r="C50" s="59" t="s">
        <v>110</v>
      </c>
    </row>
    <row r="51" spans="1:3" ht="16.5">
      <c r="A51" s="57" t="s">
        <v>111</v>
      </c>
      <c r="B51" s="58" t="s">
        <v>49</v>
      </c>
      <c r="C51" s="59" t="s">
        <v>112</v>
      </c>
    </row>
    <row r="52" spans="1:3" ht="16.5">
      <c r="A52" s="57" t="s">
        <v>113</v>
      </c>
      <c r="B52" s="58" t="s">
        <v>15</v>
      </c>
      <c r="C52" s="59" t="s">
        <v>114</v>
      </c>
    </row>
    <row r="53" spans="1:3" ht="16.5">
      <c r="A53" s="57" t="s">
        <v>115</v>
      </c>
      <c r="B53" s="60" t="s">
        <v>46</v>
      </c>
      <c r="C53" s="59" t="s">
        <v>116</v>
      </c>
    </row>
    <row r="54" spans="1:3" ht="16.5">
      <c r="A54" s="57" t="s">
        <v>117</v>
      </c>
      <c r="B54" s="60" t="s">
        <v>12</v>
      </c>
      <c r="C54" s="59" t="s">
        <v>118</v>
      </c>
    </row>
    <row r="55" spans="1:3" ht="16.5">
      <c r="A55" s="57" t="s">
        <v>119</v>
      </c>
      <c r="B55" s="58" t="s">
        <v>12</v>
      </c>
      <c r="C55" s="59" t="s">
        <v>120</v>
      </c>
    </row>
    <row r="56" spans="1:3" ht="16.5">
      <c r="A56" s="57" t="s">
        <v>121</v>
      </c>
      <c r="B56" s="58" t="s">
        <v>12</v>
      </c>
      <c r="C56" s="59" t="s">
        <v>122</v>
      </c>
    </row>
    <row r="57" spans="1:3" ht="16.5">
      <c r="A57" s="57" t="s">
        <v>123</v>
      </c>
      <c r="B57" s="60" t="s">
        <v>39</v>
      </c>
      <c r="C57" s="59" t="s">
        <v>124</v>
      </c>
    </row>
    <row r="58" spans="1:3" ht="16.5">
      <c r="A58" s="57" t="s">
        <v>125</v>
      </c>
      <c r="B58" s="58" t="s">
        <v>15</v>
      </c>
      <c r="C58" s="59" t="s">
        <v>126</v>
      </c>
    </row>
    <row r="59" spans="1:3" ht="16.5">
      <c r="A59" s="57" t="s">
        <v>127</v>
      </c>
      <c r="B59" s="58" t="s">
        <v>12</v>
      </c>
      <c r="C59" s="59" t="s">
        <v>128</v>
      </c>
    </row>
    <row r="60" spans="1:3" ht="16.5">
      <c r="A60" s="57" t="s">
        <v>129</v>
      </c>
      <c r="B60" s="58" t="s">
        <v>20</v>
      </c>
      <c r="C60" s="59" t="s">
        <v>130</v>
      </c>
    </row>
    <row r="61" spans="1:3" ht="16.5">
      <c r="A61" s="57" t="s">
        <v>131</v>
      </c>
      <c r="B61" s="58" t="s">
        <v>12</v>
      </c>
      <c r="C61" s="59" t="s">
        <v>132</v>
      </c>
    </row>
    <row r="62" spans="1:3" ht="16.5">
      <c r="A62" s="57" t="s">
        <v>133</v>
      </c>
      <c r="B62" s="60" t="s">
        <v>23</v>
      </c>
      <c r="C62" s="59" t="s">
        <v>134</v>
      </c>
    </row>
    <row r="63" spans="1:3" ht="16.5">
      <c r="A63" s="57" t="s">
        <v>135</v>
      </c>
      <c r="B63" s="58" t="s">
        <v>20</v>
      </c>
      <c r="C63" s="59" t="s">
        <v>136</v>
      </c>
    </row>
    <row r="64" spans="1:3" ht="16.5">
      <c r="A64" s="57" t="s">
        <v>137</v>
      </c>
      <c r="B64" s="58" t="s">
        <v>12</v>
      </c>
      <c r="C64" s="59" t="s">
        <v>138</v>
      </c>
    </row>
    <row r="65" spans="1:3" ht="16.5">
      <c r="A65" s="57" t="s">
        <v>139</v>
      </c>
      <c r="B65" s="58" t="s">
        <v>39</v>
      </c>
      <c r="C65" s="59" t="s">
        <v>140</v>
      </c>
    </row>
    <row r="66" spans="1:3" ht="16.5">
      <c r="A66" s="57" t="s">
        <v>141</v>
      </c>
      <c r="B66" s="58" t="s">
        <v>49</v>
      </c>
      <c r="C66" s="59" t="s">
        <v>142</v>
      </c>
    </row>
    <row r="67" spans="1:3" ht="16.5">
      <c r="A67" s="57" t="s">
        <v>143</v>
      </c>
      <c r="B67" s="58" t="s">
        <v>39</v>
      </c>
      <c r="C67" s="59" t="s">
        <v>144</v>
      </c>
    </row>
    <row r="68" spans="1:3" ht="16.5">
      <c r="A68" s="57" t="s">
        <v>145</v>
      </c>
      <c r="B68" s="58" t="s">
        <v>23</v>
      </c>
      <c r="C68" s="59" t="s">
        <v>146</v>
      </c>
    </row>
    <row r="69" spans="1:3" ht="16.5">
      <c r="A69" s="57" t="s">
        <v>147</v>
      </c>
      <c r="B69" s="58" t="s">
        <v>15</v>
      </c>
      <c r="C69" s="59" t="s">
        <v>148</v>
      </c>
    </row>
    <row r="70" spans="1:3" ht="16.5">
      <c r="A70" s="57" t="s">
        <v>149</v>
      </c>
      <c r="B70" s="58" t="s">
        <v>39</v>
      </c>
      <c r="C70" s="59" t="s">
        <v>150</v>
      </c>
    </row>
    <row r="71" spans="1:3" ht="16.5">
      <c r="A71" s="57" t="s">
        <v>151</v>
      </c>
      <c r="B71" s="58" t="s">
        <v>7</v>
      </c>
      <c r="C71" s="59" t="s">
        <v>152</v>
      </c>
    </row>
    <row r="72" spans="1:3" ht="16.5">
      <c r="A72" s="57" t="s">
        <v>153</v>
      </c>
      <c r="B72" s="58" t="s">
        <v>12</v>
      </c>
      <c r="C72" s="59" t="s">
        <v>154</v>
      </c>
    </row>
    <row r="73" spans="1:3" ht="16.5">
      <c r="A73" s="57" t="s">
        <v>155</v>
      </c>
      <c r="B73" s="58" t="s">
        <v>49</v>
      </c>
      <c r="C73" s="59" t="s">
        <v>156</v>
      </c>
    </row>
    <row r="74" spans="1:3" ht="16.5">
      <c r="A74" s="57" t="s">
        <v>157</v>
      </c>
      <c r="B74" s="58" t="s">
        <v>23</v>
      </c>
      <c r="C74" s="59" t="s">
        <v>158</v>
      </c>
    </row>
    <row r="75" spans="1:3" ht="16.5">
      <c r="A75" s="57" t="s">
        <v>159</v>
      </c>
      <c r="B75" s="58" t="s">
        <v>49</v>
      </c>
      <c r="C75" s="59" t="s">
        <v>160</v>
      </c>
    </row>
    <row r="76" spans="1:3" ht="16.5">
      <c r="A76" s="60" t="s">
        <v>161</v>
      </c>
      <c r="B76" s="58" t="s">
        <v>28</v>
      </c>
      <c r="C76" s="59" t="s">
        <v>162</v>
      </c>
    </row>
    <row r="77" spans="1:3" ht="16.5">
      <c r="A77" s="57" t="s">
        <v>163</v>
      </c>
      <c r="B77" s="58" t="s">
        <v>7</v>
      </c>
      <c r="C77" s="59" t="s">
        <v>164</v>
      </c>
    </row>
    <row r="78" spans="1:3" ht="16.5">
      <c r="A78" s="57" t="s">
        <v>165</v>
      </c>
      <c r="B78" s="58" t="s">
        <v>15</v>
      </c>
      <c r="C78" s="59" t="s">
        <v>166</v>
      </c>
    </row>
    <row r="79" spans="1:3" ht="16.5">
      <c r="A79" s="57" t="s">
        <v>167</v>
      </c>
      <c r="B79" s="58" t="s">
        <v>28</v>
      </c>
      <c r="C79" s="59" t="s">
        <v>168</v>
      </c>
    </row>
    <row r="80" spans="1:3" ht="16.5">
      <c r="A80" s="57" t="s">
        <v>169</v>
      </c>
      <c r="B80" s="58" t="s">
        <v>12</v>
      </c>
      <c r="C80" s="59" t="s">
        <v>170</v>
      </c>
    </row>
    <row r="81" spans="1:3" ht="16.5">
      <c r="A81" s="57" t="s">
        <v>171</v>
      </c>
      <c r="B81" s="58" t="s">
        <v>23</v>
      </c>
      <c r="C81" s="59" t="s">
        <v>172</v>
      </c>
    </row>
    <row r="82" spans="1:3" ht="16.5">
      <c r="A82" s="57" t="s">
        <v>173</v>
      </c>
      <c r="B82" s="58" t="s">
        <v>15</v>
      </c>
      <c r="C82" s="59" t="s">
        <v>174</v>
      </c>
    </row>
    <row r="83" spans="1:3" ht="16.5">
      <c r="A83" s="57" t="s">
        <v>175</v>
      </c>
      <c r="B83" s="58" t="s">
        <v>23</v>
      </c>
      <c r="C83" s="59" t="s">
        <v>176</v>
      </c>
    </row>
    <row r="84" spans="1:3" ht="16.5">
      <c r="A84" s="57" t="s">
        <v>177</v>
      </c>
      <c r="B84" s="58" t="s">
        <v>20</v>
      </c>
      <c r="C84" s="59" t="s">
        <v>178</v>
      </c>
    </row>
    <row r="85" spans="1:3" ht="16.5">
      <c r="A85" s="57" t="s">
        <v>179</v>
      </c>
      <c r="B85" s="58" t="s">
        <v>23</v>
      </c>
      <c r="C85" s="59" t="s">
        <v>180</v>
      </c>
    </row>
    <row r="86" spans="1:3" ht="16.5">
      <c r="A86" s="57" t="s">
        <v>181</v>
      </c>
      <c r="B86" s="58" t="s">
        <v>12</v>
      </c>
      <c r="C86" s="59" t="s">
        <v>182</v>
      </c>
    </row>
    <row r="87" spans="1:3" ht="16.5">
      <c r="A87" s="57" t="s">
        <v>183</v>
      </c>
      <c r="B87" s="58" t="s">
        <v>12</v>
      </c>
      <c r="C87" s="59" t="s">
        <v>184</v>
      </c>
    </row>
    <row r="88" spans="1:3" ht="16.5">
      <c r="A88" s="57" t="s">
        <v>185</v>
      </c>
      <c r="B88" s="58" t="s">
        <v>28</v>
      </c>
      <c r="C88" s="59" t="s">
        <v>186</v>
      </c>
    </row>
    <row r="89" spans="1:3" ht="16.5">
      <c r="A89" s="57" t="s">
        <v>187</v>
      </c>
      <c r="B89" s="58" t="s">
        <v>39</v>
      </c>
      <c r="C89" s="59" t="s">
        <v>188</v>
      </c>
    </row>
    <row r="90" spans="1:3" ht="16.5">
      <c r="A90" s="57" t="s">
        <v>189</v>
      </c>
      <c r="B90" s="58" t="s">
        <v>49</v>
      </c>
      <c r="C90" s="59" t="s">
        <v>190</v>
      </c>
    </row>
    <row r="91" spans="1:3" ht="16.5">
      <c r="A91" s="57" t="s">
        <v>191</v>
      </c>
      <c r="B91" s="58" t="s">
        <v>39</v>
      </c>
      <c r="C91" s="59" t="s">
        <v>192</v>
      </c>
    </row>
    <row r="92" spans="1:3" ht="16.5">
      <c r="A92" s="57" t="s">
        <v>193</v>
      </c>
      <c r="B92" s="58" t="s">
        <v>39</v>
      </c>
      <c r="C92" s="59" t="s">
        <v>194</v>
      </c>
    </row>
    <row r="93" spans="1:3" ht="16.5">
      <c r="A93" s="57" t="s">
        <v>195</v>
      </c>
      <c r="B93" s="58" t="s">
        <v>15</v>
      </c>
      <c r="C93" s="59" t="s">
        <v>196</v>
      </c>
    </row>
    <row r="94" spans="1:3" ht="16.5">
      <c r="A94" s="57" t="s">
        <v>197</v>
      </c>
      <c r="B94" s="58" t="s">
        <v>7</v>
      </c>
      <c r="C94" s="59" t="s">
        <v>198</v>
      </c>
    </row>
    <row r="95" spans="1:3" ht="16.5">
      <c r="A95" s="57" t="s">
        <v>199</v>
      </c>
      <c r="B95" s="60" t="s">
        <v>12</v>
      </c>
      <c r="C95" s="59" t="s">
        <v>200</v>
      </c>
    </row>
    <row r="96" spans="1:3" ht="16.5">
      <c r="A96" s="57" t="s">
        <v>201</v>
      </c>
      <c r="B96" s="58" t="s">
        <v>28</v>
      </c>
      <c r="C96" s="59" t="s">
        <v>202</v>
      </c>
    </row>
    <row r="97" spans="1:3" ht="16.5">
      <c r="A97" s="57" t="s">
        <v>203</v>
      </c>
      <c r="B97" s="58" t="s">
        <v>7</v>
      </c>
      <c r="C97" s="59" t="s">
        <v>204</v>
      </c>
    </row>
    <row r="98" spans="1:3" ht="16.5">
      <c r="A98" s="62" t="s">
        <v>205</v>
      </c>
      <c r="B98" s="60" t="s">
        <v>12</v>
      </c>
      <c r="C98" s="59" t="s">
        <v>206</v>
      </c>
    </row>
    <row r="99" spans="1:3" ht="16.5">
      <c r="A99" s="57" t="s">
        <v>207</v>
      </c>
      <c r="B99" s="58" t="s">
        <v>39</v>
      </c>
      <c r="C99" s="59" t="s">
        <v>208</v>
      </c>
    </row>
    <row r="100" spans="1:3" ht="16.5">
      <c r="A100" s="57" t="s">
        <v>209</v>
      </c>
      <c r="B100" s="58" t="s">
        <v>23</v>
      </c>
      <c r="C100" s="59" t="s">
        <v>210</v>
      </c>
    </row>
    <row r="101" spans="1:3" ht="16.5">
      <c r="A101" s="57" t="s">
        <v>211</v>
      </c>
      <c r="B101" s="58" t="s">
        <v>28</v>
      </c>
      <c r="C101" s="59" t="s">
        <v>212</v>
      </c>
    </row>
    <row r="102" spans="1:3" ht="16.5">
      <c r="A102" s="57" t="s">
        <v>213</v>
      </c>
      <c r="B102" s="58" t="s">
        <v>7</v>
      </c>
      <c r="C102" s="59" t="s">
        <v>214</v>
      </c>
    </row>
    <row r="103" spans="1:3" ht="16.5">
      <c r="A103" s="57" t="s">
        <v>215</v>
      </c>
      <c r="B103" s="58" t="s">
        <v>7</v>
      </c>
      <c r="C103" s="59" t="s">
        <v>216</v>
      </c>
    </row>
    <row r="104" spans="1:3" ht="16.5">
      <c r="A104" s="110" t="s">
        <v>829</v>
      </c>
      <c r="B104" s="111" t="s">
        <v>23</v>
      </c>
      <c r="C104" s="112" t="s">
        <v>1431</v>
      </c>
    </row>
    <row r="105" spans="1:3" ht="16.5">
      <c r="A105" s="61" t="s">
        <v>217</v>
      </c>
      <c r="B105" s="58" t="s">
        <v>23</v>
      </c>
      <c r="C105" s="59" t="s">
        <v>218</v>
      </c>
    </row>
    <row r="106" spans="1:3" ht="16.5">
      <c r="A106" s="61" t="s">
        <v>219</v>
      </c>
      <c r="B106" s="58" t="s">
        <v>23</v>
      </c>
      <c r="C106" s="59" t="s">
        <v>220</v>
      </c>
    </row>
    <row r="107" spans="1:3" ht="16.5">
      <c r="A107" s="61" t="s">
        <v>221</v>
      </c>
      <c r="B107" s="58" t="s">
        <v>23</v>
      </c>
      <c r="C107" s="59" t="s">
        <v>222</v>
      </c>
    </row>
    <row r="108" spans="1:3" ht="16.5">
      <c r="A108" s="57" t="s">
        <v>223</v>
      </c>
      <c r="B108" s="58" t="s">
        <v>12</v>
      </c>
      <c r="C108" s="59" t="s">
        <v>224</v>
      </c>
    </row>
    <row r="109" spans="1:3" ht="16.5">
      <c r="A109" s="57" t="s">
        <v>225</v>
      </c>
      <c r="B109" s="60" t="s">
        <v>15</v>
      </c>
      <c r="C109" s="59" t="s">
        <v>226</v>
      </c>
    </row>
    <row r="110" spans="1:3" ht="16.5">
      <c r="A110" s="61" t="s">
        <v>227</v>
      </c>
      <c r="B110" s="58" t="s">
        <v>20</v>
      </c>
      <c r="C110" s="59" t="s">
        <v>228</v>
      </c>
    </row>
    <row r="111" spans="1:3" ht="16.5">
      <c r="A111" s="57" t="s">
        <v>229</v>
      </c>
      <c r="B111" s="58" t="s">
        <v>23</v>
      </c>
      <c r="C111" s="59" t="s">
        <v>230</v>
      </c>
    </row>
    <row r="112" spans="1:3" ht="16.5">
      <c r="A112" s="57" t="s">
        <v>231</v>
      </c>
      <c r="B112" s="58" t="s">
        <v>20</v>
      </c>
      <c r="C112" s="59" t="s">
        <v>232</v>
      </c>
    </row>
    <row r="113" spans="1:3" ht="16.5">
      <c r="A113" s="57" t="s">
        <v>233</v>
      </c>
      <c r="B113" s="58" t="s">
        <v>28</v>
      </c>
      <c r="C113" s="59" t="s">
        <v>234</v>
      </c>
    </row>
    <row r="114" spans="1:3" ht="16.5">
      <c r="A114" s="57" t="s">
        <v>235</v>
      </c>
      <c r="B114" s="60" t="s">
        <v>12</v>
      </c>
      <c r="C114" s="59" t="s">
        <v>236</v>
      </c>
    </row>
    <row r="115" spans="1:3" ht="16.5">
      <c r="A115" s="57" t="s">
        <v>237</v>
      </c>
      <c r="B115" s="58" t="s">
        <v>28</v>
      </c>
      <c r="C115" s="59" t="s">
        <v>238</v>
      </c>
    </row>
    <row r="116" spans="1:3" ht="16.5">
      <c r="A116" s="57" t="s">
        <v>239</v>
      </c>
      <c r="B116" s="58" t="s">
        <v>20</v>
      </c>
      <c r="C116" s="59" t="s">
        <v>240</v>
      </c>
    </row>
    <row r="117" spans="1:3" ht="16.5">
      <c r="A117" s="57" t="s">
        <v>241</v>
      </c>
      <c r="B117" s="58" t="s">
        <v>23</v>
      </c>
      <c r="C117" s="59" t="s">
        <v>242</v>
      </c>
    </row>
    <row r="118" spans="1:3" ht="16.5">
      <c r="A118" s="61" t="s">
        <v>243</v>
      </c>
      <c r="B118" s="58" t="s">
        <v>12</v>
      </c>
      <c r="C118" s="59" t="s">
        <v>244</v>
      </c>
    </row>
    <row r="119" spans="1:3" ht="16.5">
      <c r="A119" s="57" t="s">
        <v>245</v>
      </c>
      <c r="B119" s="58" t="s">
        <v>20</v>
      </c>
      <c r="C119" s="59" t="s">
        <v>246</v>
      </c>
    </row>
    <row r="120" spans="1:3" ht="16.5">
      <c r="A120" s="57" t="s">
        <v>247</v>
      </c>
      <c r="B120" s="58" t="s">
        <v>39</v>
      </c>
      <c r="C120" s="59" t="s">
        <v>248</v>
      </c>
    </row>
    <row r="121" spans="1:3" ht="16.5">
      <c r="A121" s="57" t="s">
        <v>249</v>
      </c>
      <c r="B121" s="58" t="s">
        <v>28</v>
      </c>
      <c r="C121" s="59" t="s">
        <v>250</v>
      </c>
    </row>
    <row r="122" spans="1:3" ht="16.5">
      <c r="A122" s="57" t="s">
        <v>251</v>
      </c>
      <c r="B122" s="58" t="s">
        <v>28</v>
      </c>
      <c r="C122" s="59" t="s">
        <v>252</v>
      </c>
    </row>
    <row r="123" spans="1:3" ht="16.5">
      <c r="A123" s="57" t="s">
        <v>253</v>
      </c>
      <c r="B123" s="58" t="s">
        <v>15</v>
      </c>
      <c r="C123" s="59" t="s">
        <v>254</v>
      </c>
    </row>
    <row r="124" spans="1:3" ht="16.5">
      <c r="A124" s="57" t="s">
        <v>255</v>
      </c>
      <c r="B124" s="60" t="s">
        <v>12</v>
      </c>
      <c r="C124" s="59" t="s">
        <v>256</v>
      </c>
    </row>
    <row r="125" spans="1:3" ht="16.5">
      <c r="A125" s="57" t="s">
        <v>257</v>
      </c>
      <c r="B125" s="58" t="s">
        <v>49</v>
      </c>
      <c r="C125" s="59" t="s">
        <v>258</v>
      </c>
    </row>
    <row r="126" spans="1:3" ht="16.5">
      <c r="A126" s="57" t="s">
        <v>259</v>
      </c>
      <c r="B126" s="58" t="s">
        <v>7</v>
      </c>
      <c r="C126" s="59" t="s">
        <v>260</v>
      </c>
    </row>
    <row r="127" spans="1:3" ht="16.5">
      <c r="A127" s="57" t="s">
        <v>261</v>
      </c>
      <c r="B127" s="58" t="s">
        <v>15</v>
      </c>
      <c r="C127" s="59" t="s">
        <v>262</v>
      </c>
    </row>
    <row r="128" spans="1:3" ht="16.5">
      <c r="A128" s="57" t="s">
        <v>263</v>
      </c>
      <c r="B128" s="58" t="s">
        <v>23</v>
      </c>
      <c r="C128" s="59" t="s">
        <v>264</v>
      </c>
    </row>
    <row r="129" spans="1:3" ht="16.5">
      <c r="A129" s="57" t="s">
        <v>265</v>
      </c>
      <c r="B129" s="58" t="s">
        <v>15</v>
      </c>
      <c r="C129" s="59" t="s">
        <v>266</v>
      </c>
    </row>
    <row r="130" spans="1:3" ht="16.5">
      <c r="A130" s="57" t="s">
        <v>267</v>
      </c>
      <c r="B130" s="58" t="s">
        <v>12</v>
      </c>
      <c r="C130" s="59" t="s">
        <v>268</v>
      </c>
    </row>
    <row r="131" spans="1:3" ht="16.5">
      <c r="A131" s="57" t="s">
        <v>269</v>
      </c>
      <c r="B131" s="58" t="s">
        <v>12</v>
      </c>
      <c r="C131" s="59" t="s">
        <v>270</v>
      </c>
    </row>
    <row r="132" spans="1:3" ht="16.5">
      <c r="A132" s="57" t="s">
        <v>271</v>
      </c>
      <c r="B132" s="58" t="s">
        <v>12</v>
      </c>
      <c r="C132" s="59" t="s">
        <v>272</v>
      </c>
    </row>
    <row r="133" spans="1:3" ht="16.5">
      <c r="A133" s="57" t="s">
        <v>273</v>
      </c>
      <c r="B133" s="58" t="s">
        <v>28</v>
      </c>
      <c r="C133" s="59" t="s">
        <v>274</v>
      </c>
    </row>
    <row r="134" spans="1:3" ht="16.5">
      <c r="A134" s="57" t="s">
        <v>275</v>
      </c>
      <c r="B134" s="60" t="s">
        <v>12</v>
      </c>
      <c r="C134" s="59" t="s">
        <v>276</v>
      </c>
    </row>
    <row r="135" spans="1:3" ht="16.5">
      <c r="A135" s="57" t="s">
        <v>277</v>
      </c>
      <c r="B135" s="58" t="s">
        <v>15</v>
      </c>
      <c r="C135" s="59" t="s">
        <v>278</v>
      </c>
    </row>
    <row r="136" spans="1:3" ht="16.5">
      <c r="A136" s="61" t="s">
        <v>279</v>
      </c>
      <c r="B136" s="58" t="s">
        <v>12</v>
      </c>
      <c r="C136" s="59" t="s">
        <v>280</v>
      </c>
    </row>
    <row r="137" spans="1:3" ht="16.5">
      <c r="A137" s="57" t="s">
        <v>281</v>
      </c>
      <c r="B137" s="58" t="s">
        <v>28</v>
      </c>
      <c r="C137" s="59" t="s">
        <v>282</v>
      </c>
    </row>
    <row r="138" spans="1:3" ht="16.5">
      <c r="A138" s="57" t="s">
        <v>283</v>
      </c>
      <c r="B138" s="58" t="s">
        <v>15</v>
      </c>
      <c r="C138" s="59" t="s">
        <v>284</v>
      </c>
    </row>
    <row r="139" spans="1:3" ht="16.5">
      <c r="A139" s="57" t="s">
        <v>285</v>
      </c>
      <c r="B139" s="58" t="s">
        <v>39</v>
      </c>
      <c r="C139" s="59" t="s">
        <v>286</v>
      </c>
    </row>
    <row r="140" spans="1:3" ht="16.5">
      <c r="A140" s="57" t="s">
        <v>287</v>
      </c>
      <c r="B140" s="58" t="s">
        <v>49</v>
      </c>
      <c r="C140" s="59" t="s">
        <v>288</v>
      </c>
    </row>
    <row r="141" spans="1:3" ht="16.5">
      <c r="A141" s="57" t="s">
        <v>289</v>
      </c>
      <c r="B141" s="58" t="s">
        <v>49</v>
      </c>
      <c r="C141" s="59" t="s">
        <v>290</v>
      </c>
    </row>
    <row r="142" spans="1:3" ht="16.5">
      <c r="A142" s="57" t="s">
        <v>291</v>
      </c>
      <c r="B142" s="58" t="s">
        <v>7</v>
      </c>
      <c r="C142" s="59" t="s">
        <v>292</v>
      </c>
    </row>
    <row r="143" spans="1:3" ht="16.5">
      <c r="A143" s="57" t="s">
        <v>293</v>
      </c>
      <c r="B143" s="58" t="s">
        <v>12</v>
      </c>
      <c r="C143" s="59" t="s">
        <v>294</v>
      </c>
    </row>
    <row r="144" spans="1:3" ht="16.5">
      <c r="A144" s="57" t="s">
        <v>295</v>
      </c>
      <c r="B144" s="58" t="s">
        <v>15</v>
      </c>
      <c r="C144" s="59" t="s">
        <v>296</v>
      </c>
    </row>
    <row r="145" spans="1:3" ht="16.5">
      <c r="A145" s="57" t="s">
        <v>297</v>
      </c>
      <c r="B145" s="58" t="s">
        <v>7</v>
      </c>
      <c r="C145" s="59" t="s">
        <v>298</v>
      </c>
    </row>
    <row r="146" spans="1:3" ht="16.5">
      <c r="A146" s="57" t="s">
        <v>299</v>
      </c>
      <c r="B146" s="58" t="s">
        <v>12</v>
      </c>
      <c r="C146" s="59" t="s">
        <v>300</v>
      </c>
    </row>
    <row r="147" spans="1:3" ht="16.5">
      <c r="A147" s="57" t="s">
        <v>301</v>
      </c>
      <c r="B147" s="58" t="s">
        <v>12</v>
      </c>
      <c r="C147" s="59" t="s">
        <v>302</v>
      </c>
    </row>
    <row r="148" spans="1:3" ht="16.5">
      <c r="A148" s="57" t="s">
        <v>303</v>
      </c>
      <c r="B148" s="58" t="s">
        <v>23</v>
      </c>
      <c r="C148" s="59" t="s">
        <v>304</v>
      </c>
    </row>
    <row r="149" spans="1:3" ht="16.5">
      <c r="A149" s="57" t="s">
        <v>305</v>
      </c>
      <c r="B149" s="58" t="s">
        <v>15</v>
      </c>
      <c r="C149" s="59" t="s">
        <v>306</v>
      </c>
    </row>
    <row r="150" spans="1:3" ht="16.5">
      <c r="A150" s="57" t="s">
        <v>307</v>
      </c>
      <c r="B150" s="58" t="s">
        <v>49</v>
      </c>
      <c r="C150" s="59" t="s">
        <v>308</v>
      </c>
    </row>
    <row r="151" spans="1:3" ht="16.5">
      <c r="A151" s="57" t="s">
        <v>309</v>
      </c>
      <c r="B151" s="58" t="s">
        <v>28</v>
      </c>
      <c r="C151" s="59" t="s">
        <v>310</v>
      </c>
    </row>
    <row r="152" spans="1:3" ht="16.5">
      <c r="A152" s="57" t="s">
        <v>311</v>
      </c>
      <c r="B152" s="58" t="s">
        <v>15</v>
      </c>
      <c r="C152" s="59" t="s">
        <v>312</v>
      </c>
    </row>
    <row r="153" spans="1:3" ht="16.5">
      <c r="A153" s="57" t="s">
        <v>313</v>
      </c>
      <c r="B153" s="58" t="s">
        <v>7</v>
      </c>
      <c r="C153" s="59" t="s">
        <v>314</v>
      </c>
    </row>
    <row r="154" spans="1:3" ht="16.5">
      <c r="A154" s="57" t="s">
        <v>315</v>
      </c>
      <c r="B154" s="58" t="s">
        <v>7</v>
      </c>
      <c r="C154" s="59" t="s">
        <v>316</v>
      </c>
    </row>
    <row r="155" spans="1:3" ht="16.5">
      <c r="A155" s="57" t="s">
        <v>317</v>
      </c>
      <c r="B155" s="58" t="s">
        <v>49</v>
      </c>
      <c r="C155" s="59" t="s">
        <v>318</v>
      </c>
    </row>
    <row r="156" spans="1:3" ht="16.5">
      <c r="A156" s="57" t="s">
        <v>319</v>
      </c>
      <c r="B156" s="58" t="s">
        <v>7</v>
      </c>
      <c r="C156" s="59" t="s">
        <v>320</v>
      </c>
    </row>
    <row r="157" spans="1:3" ht="16.5">
      <c r="A157" s="57" t="s">
        <v>321</v>
      </c>
      <c r="B157" s="58" t="s">
        <v>39</v>
      </c>
      <c r="C157" s="59" t="s">
        <v>322</v>
      </c>
    </row>
    <row r="158" spans="1:3" ht="16.5">
      <c r="A158" s="57" t="s">
        <v>323</v>
      </c>
      <c r="B158" s="58" t="s">
        <v>15</v>
      </c>
      <c r="C158" s="59" t="s">
        <v>324</v>
      </c>
    </row>
    <row r="159" spans="1:3" ht="16.5">
      <c r="A159" s="57" t="s">
        <v>325</v>
      </c>
      <c r="B159" s="58" t="s">
        <v>28</v>
      </c>
      <c r="C159" s="59" t="s">
        <v>326</v>
      </c>
    </row>
    <row r="160" spans="1:3" ht="16.5">
      <c r="A160" s="57" t="s">
        <v>327</v>
      </c>
      <c r="B160" s="58" t="s">
        <v>15</v>
      </c>
      <c r="C160" s="59" t="s">
        <v>328</v>
      </c>
    </row>
    <row r="161" spans="1:3" ht="16.5">
      <c r="A161" s="61" t="s">
        <v>329</v>
      </c>
      <c r="B161" s="58" t="s">
        <v>15</v>
      </c>
      <c r="C161" s="59" t="s">
        <v>330</v>
      </c>
    </row>
    <row r="162" spans="1:3" ht="16.5">
      <c r="A162" s="57" t="s">
        <v>331</v>
      </c>
      <c r="B162" s="58" t="s">
        <v>39</v>
      </c>
      <c r="C162" s="59" t="s">
        <v>332</v>
      </c>
    </row>
    <row r="163" spans="1:3" ht="16.5">
      <c r="A163" s="57" t="s">
        <v>333</v>
      </c>
      <c r="B163" s="58" t="s">
        <v>7</v>
      </c>
      <c r="C163" s="59" t="s">
        <v>334</v>
      </c>
    </row>
    <row r="164" spans="1:3" ht="16.5">
      <c r="A164" s="57" t="s">
        <v>335</v>
      </c>
      <c r="B164" s="58" t="s">
        <v>28</v>
      </c>
      <c r="C164" s="59" t="s">
        <v>336</v>
      </c>
    </row>
    <row r="165" spans="1:3" ht="16.5">
      <c r="A165" s="57" t="s">
        <v>337</v>
      </c>
      <c r="B165" s="58" t="s">
        <v>49</v>
      </c>
      <c r="C165" s="59" t="s">
        <v>338</v>
      </c>
    </row>
    <row r="166" spans="1:3" ht="16.5">
      <c r="A166" s="57" t="s">
        <v>339</v>
      </c>
      <c r="B166" s="58" t="s">
        <v>12</v>
      </c>
      <c r="C166" s="59" t="s">
        <v>340</v>
      </c>
    </row>
    <row r="167" spans="1:3" ht="16.5">
      <c r="A167" s="57" t="s">
        <v>341</v>
      </c>
      <c r="B167" s="58" t="s">
        <v>12</v>
      </c>
      <c r="C167" s="59" t="s">
        <v>342</v>
      </c>
    </row>
    <row r="168" spans="1:3" ht="16.5">
      <c r="A168" s="57" t="s">
        <v>343</v>
      </c>
      <c r="B168" s="58" t="s">
        <v>15</v>
      </c>
      <c r="C168" s="59" t="s">
        <v>344</v>
      </c>
    </row>
    <row r="169" spans="1:3" ht="16.5">
      <c r="A169" s="57" t="s">
        <v>345</v>
      </c>
      <c r="B169" s="58" t="s">
        <v>7</v>
      </c>
      <c r="C169" s="59" t="s">
        <v>346</v>
      </c>
    </row>
    <row r="170" spans="1:3" ht="16.5">
      <c r="A170" s="57" t="s">
        <v>347</v>
      </c>
      <c r="B170" s="58" t="s">
        <v>20</v>
      </c>
      <c r="C170" s="59" t="s">
        <v>348</v>
      </c>
    </row>
    <row r="171" spans="1:3" ht="16.5">
      <c r="A171" s="57" t="s">
        <v>349</v>
      </c>
      <c r="B171" s="58" t="s">
        <v>46</v>
      </c>
      <c r="C171" s="59" t="s">
        <v>350</v>
      </c>
    </row>
    <row r="172" spans="1:3" ht="16.5">
      <c r="A172" s="57" t="s">
        <v>351</v>
      </c>
      <c r="B172" s="58" t="s">
        <v>46</v>
      </c>
      <c r="C172" s="59" t="s">
        <v>352</v>
      </c>
    </row>
    <row r="173" spans="1:3" ht="16.5">
      <c r="A173" s="57" t="s">
        <v>353</v>
      </c>
      <c r="B173" s="60" t="s">
        <v>7</v>
      </c>
      <c r="C173" s="59" t="s">
        <v>354</v>
      </c>
    </row>
    <row r="174" spans="1:3" ht="16.5">
      <c r="A174" s="57" t="s">
        <v>355</v>
      </c>
      <c r="B174" s="58" t="s">
        <v>7</v>
      </c>
      <c r="C174" s="59" t="s">
        <v>356</v>
      </c>
    </row>
    <row r="175" spans="1:3" ht="16.5">
      <c r="A175" s="57" t="s">
        <v>357</v>
      </c>
      <c r="B175" s="60" t="s">
        <v>12</v>
      </c>
      <c r="C175" s="59" t="s">
        <v>358</v>
      </c>
    </row>
    <row r="176" spans="1:3" ht="16.5">
      <c r="A176" s="57" t="s">
        <v>359</v>
      </c>
      <c r="B176" s="58" t="s">
        <v>23</v>
      </c>
      <c r="C176" s="59" t="s">
        <v>360</v>
      </c>
    </row>
    <row r="177" spans="1:3" ht="16.5">
      <c r="A177" s="57" t="s">
        <v>361</v>
      </c>
      <c r="B177" s="58" t="s">
        <v>15</v>
      </c>
      <c r="C177" s="59" t="s">
        <v>362</v>
      </c>
    </row>
    <row r="178" spans="1:3" ht="16.5">
      <c r="A178" s="57" t="s">
        <v>363</v>
      </c>
      <c r="B178" s="58" t="s">
        <v>12</v>
      </c>
      <c r="C178" s="59" t="s">
        <v>364</v>
      </c>
    </row>
    <row r="179" spans="1:3" ht="16.5">
      <c r="A179" s="57" t="s">
        <v>365</v>
      </c>
      <c r="B179" s="58" t="s">
        <v>7</v>
      </c>
      <c r="C179" s="59" t="s">
        <v>366</v>
      </c>
    </row>
    <row r="180" spans="1:3" ht="16.5">
      <c r="A180" s="57" t="s">
        <v>367</v>
      </c>
      <c r="B180" s="58" t="s">
        <v>28</v>
      </c>
      <c r="C180" s="59" t="s">
        <v>368</v>
      </c>
    </row>
    <row r="181" spans="1:3" ht="16.5">
      <c r="A181" s="57" t="s">
        <v>369</v>
      </c>
      <c r="B181" s="58" t="s">
        <v>7</v>
      </c>
      <c r="C181" s="59" t="s">
        <v>370</v>
      </c>
    </row>
    <row r="182" spans="1:3" ht="16.5">
      <c r="A182" s="57" t="s">
        <v>371</v>
      </c>
      <c r="B182" s="58" t="s">
        <v>12</v>
      </c>
      <c r="C182" s="59" t="s">
        <v>372</v>
      </c>
    </row>
    <row r="183" spans="1:3" ht="16.5">
      <c r="A183" s="57" t="s">
        <v>373</v>
      </c>
      <c r="B183" s="58" t="s">
        <v>49</v>
      </c>
      <c r="C183" s="59" t="s">
        <v>374</v>
      </c>
    </row>
    <row r="184" spans="1:3" ht="16.5">
      <c r="A184" s="57" t="s">
        <v>375</v>
      </c>
      <c r="B184" s="58" t="s">
        <v>7</v>
      </c>
      <c r="C184" s="59" t="s">
        <v>376</v>
      </c>
    </row>
    <row r="185" spans="1:3" ht="16.5">
      <c r="A185" s="57" t="s">
        <v>377</v>
      </c>
      <c r="B185" s="58" t="s">
        <v>49</v>
      </c>
      <c r="C185" s="59" t="s">
        <v>378</v>
      </c>
    </row>
    <row r="186" spans="1:3" ht="16.5">
      <c r="A186" s="57" t="s">
        <v>379</v>
      </c>
      <c r="B186" s="58" t="s">
        <v>7</v>
      </c>
      <c r="C186" s="59" t="s">
        <v>380</v>
      </c>
    </row>
    <row r="187" spans="1:3" ht="16.5">
      <c r="A187" s="57" t="s">
        <v>381</v>
      </c>
      <c r="B187" s="58" t="s">
        <v>12</v>
      </c>
      <c r="C187" s="59" t="s">
        <v>382</v>
      </c>
    </row>
    <row r="188" spans="1:3" ht="16.5">
      <c r="A188" s="57" t="s">
        <v>383</v>
      </c>
      <c r="B188" s="60" t="s">
        <v>15</v>
      </c>
      <c r="C188" s="59" t="s">
        <v>384</v>
      </c>
    </row>
    <row r="189" spans="1:3" ht="16.5">
      <c r="A189" s="57" t="s">
        <v>385</v>
      </c>
      <c r="B189" s="58" t="s">
        <v>12</v>
      </c>
      <c r="C189" s="59" t="s">
        <v>386</v>
      </c>
    </row>
    <row r="190" spans="1:3" ht="16.5">
      <c r="A190" s="57" t="s">
        <v>387</v>
      </c>
      <c r="B190" s="58" t="s">
        <v>12</v>
      </c>
      <c r="C190" s="59" t="s">
        <v>388</v>
      </c>
    </row>
    <row r="191" spans="1:3" ht="16.5">
      <c r="A191" s="57" t="s">
        <v>389</v>
      </c>
      <c r="B191" s="58" t="s">
        <v>49</v>
      </c>
      <c r="C191" s="59" t="s">
        <v>390</v>
      </c>
    </row>
    <row r="192" spans="1:3" ht="16.5">
      <c r="A192" s="57" t="s">
        <v>391</v>
      </c>
      <c r="B192" s="58" t="s">
        <v>49</v>
      </c>
      <c r="C192" s="59" t="s">
        <v>392</v>
      </c>
    </row>
    <row r="193" spans="1:3" ht="16.5">
      <c r="A193" s="61" t="s">
        <v>393</v>
      </c>
      <c r="B193" s="58" t="s">
        <v>23</v>
      </c>
      <c r="C193" s="59" t="s">
        <v>394</v>
      </c>
    </row>
    <row r="194" spans="1:3" ht="16.5">
      <c r="A194" s="57" t="s">
        <v>395</v>
      </c>
      <c r="B194" s="58" t="s">
        <v>20</v>
      </c>
      <c r="C194" s="59" t="s">
        <v>396</v>
      </c>
    </row>
    <row r="195" spans="1:3" ht="16.5">
      <c r="A195" s="57" t="s">
        <v>397</v>
      </c>
      <c r="B195" s="58" t="s">
        <v>49</v>
      </c>
      <c r="C195" s="59" t="s">
        <v>398</v>
      </c>
    </row>
    <row r="196" spans="1:3" ht="16.5">
      <c r="A196" s="57" t="s">
        <v>399</v>
      </c>
      <c r="B196" s="58" t="s">
        <v>12</v>
      </c>
      <c r="C196" s="59" t="s">
        <v>400</v>
      </c>
    </row>
    <row r="197" spans="1:3" ht="16.5">
      <c r="A197" s="57" t="s">
        <v>401</v>
      </c>
      <c r="B197" s="58" t="s">
        <v>20</v>
      </c>
      <c r="C197" s="59" t="s">
        <v>402</v>
      </c>
    </row>
    <row r="198" spans="1:3" ht="16.5">
      <c r="A198" s="57" t="s">
        <v>403</v>
      </c>
      <c r="B198" s="60" t="s">
        <v>49</v>
      </c>
      <c r="C198" s="59" t="s">
        <v>404</v>
      </c>
    </row>
    <row r="199" spans="1:3" ht="16.5">
      <c r="A199" s="57" t="s">
        <v>405</v>
      </c>
      <c r="B199" s="60" t="s">
        <v>20</v>
      </c>
      <c r="C199" s="59" t="s">
        <v>406</v>
      </c>
    </row>
    <row r="200" spans="1:3" ht="16.5">
      <c r="A200" s="57" t="s">
        <v>407</v>
      </c>
      <c r="B200" s="58" t="s">
        <v>7</v>
      </c>
      <c r="C200" s="59" t="s">
        <v>408</v>
      </c>
    </row>
    <row r="201" spans="1:3" ht="16.5">
      <c r="A201" s="57" t="s">
        <v>409</v>
      </c>
      <c r="B201" s="58" t="s">
        <v>23</v>
      </c>
      <c r="C201" s="59" t="s">
        <v>410</v>
      </c>
    </row>
    <row r="202" spans="1:3" ht="16.5">
      <c r="A202" s="61" t="s">
        <v>411</v>
      </c>
      <c r="B202" s="58" t="s">
        <v>49</v>
      </c>
      <c r="C202" s="59" t="s">
        <v>412</v>
      </c>
    </row>
    <row r="203" spans="1:3" ht="16.5">
      <c r="A203" s="57" t="s">
        <v>413</v>
      </c>
      <c r="B203" s="58" t="s">
        <v>7</v>
      </c>
      <c r="C203" s="59" t="s">
        <v>414</v>
      </c>
    </row>
    <row r="204" spans="1:3" ht="16.5">
      <c r="A204" s="57" t="s">
        <v>415</v>
      </c>
      <c r="B204" s="58" t="s">
        <v>20</v>
      </c>
      <c r="C204" s="59" t="s">
        <v>416</v>
      </c>
    </row>
    <row r="205" spans="1:3" ht="16.5">
      <c r="A205" s="57" t="s">
        <v>417</v>
      </c>
      <c r="B205" s="58" t="s">
        <v>46</v>
      </c>
      <c r="C205" s="59" t="s">
        <v>418</v>
      </c>
    </row>
    <row r="206" spans="1:3" ht="16.5">
      <c r="A206" s="57" t="s">
        <v>419</v>
      </c>
      <c r="B206" s="58" t="s">
        <v>46</v>
      </c>
      <c r="C206" s="59" t="s">
        <v>420</v>
      </c>
    </row>
    <row r="207" spans="1:3" ht="16.5">
      <c r="A207" s="57" t="s">
        <v>421</v>
      </c>
      <c r="B207" s="58" t="s">
        <v>20</v>
      </c>
      <c r="C207" s="59" t="s">
        <v>422</v>
      </c>
    </row>
    <row r="208" spans="1:3" ht="16.5">
      <c r="A208" s="61" t="s">
        <v>423</v>
      </c>
      <c r="B208" s="58" t="s">
        <v>12</v>
      </c>
      <c r="C208" s="59" t="s">
        <v>424</v>
      </c>
    </row>
    <row r="209" spans="1:3" ht="16.5">
      <c r="A209" s="57" t="s">
        <v>425</v>
      </c>
      <c r="B209" s="58" t="s">
        <v>20</v>
      </c>
      <c r="C209" s="59" t="s">
        <v>426</v>
      </c>
    </row>
    <row r="210" spans="1:3" ht="16.5">
      <c r="A210" s="57" t="s">
        <v>427</v>
      </c>
      <c r="B210" s="58" t="s">
        <v>12</v>
      </c>
      <c r="C210" s="59" t="s">
        <v>428</v>
      </c>
    </row>
    <row r="211" spans="1:3" ht="16.5">
      <c r="A211" s="61" t="s">
        <v>429</v>
      </c>
      <c r="B211" s="58" t="s">
        <v>12</v>
      </c>
      <c r="C211" s="59" t="s">
        <v>430</v>
      </c>
    </row>
    <row r="212" spans="1:3" ht="16.5">
      <c r="A212" s="57" t="s">
        <v>431</v>
      </c>
      <c r="B212" s="58" t="s">
        <v>23</v>
      </c>
      <c r="C212" s="59" t="s">
        <v>432</v>
      </c>
    </row>
    <row r="213" spans="1:3" ht="16.5">
      <c r="A213" s="57" t="s">
        <v>433</v>
      </c>
      <c r="B213" s="60" t="s">
        <v>46</v>
      </c>
      <c r="C213" s="59" t="s">
        <v>434</v>
      </c>
    </row>
    <row r="214" spans="1:3" ht="16.5">
      <c r="A214" s="57" t="s">
        <v>435</v>
      </c>
      <c r="B214" s="58" t="s">
        <v>46</v>
      </c>
      <c r="C214" s="59" t="s">
        <v>436</v>
      </c>
    </row>
    <row r="215" spans="1:3" ht="16.5">
      <c r="A215" s="57" t="s">
        <v>437</v>
      </c>
      <c r="B215" s="58" t="s">
        <v>46</v>
      </c>
      <c r="C215" s="59" t="s">
        <v>438</v>
      </c>
    </row>
    <row r="216" spans="1:3" ht="16.5">
      <c r="A216" s="57" t="s">
        <v>439</v>
      </c>
      <c r="B216" s="58" t="s">
        <v>49</v>
      </c>
      <c r="C216" s="59" t="s">
        <v>440</v>
      </c>
    </row>
    <row r="217" spans="1:3" ht="16.5">
      <c r="A217" s="57" t="s">
        <v>441</v>
      </c>
      <c r="B217" s="58" t="s">
        <v>7</v>
      </c>
      <c r="C217" s="59" t="s">
        <v>442</v>
      </c>
    </row>
    <row r="218" spans="1:3" ht="16.5">
      <c r="A218" s="61" t="s">
        <v>443</v>
      </c>
      <c r="B218" s="58" t="s">
        <v>23</v>
      </c>
      <c r="C218" s="59" t="s">
        <v>444</v>
      </c>
    </row>
    <row r="219" spans="1:3" ht="16.5">
      <c r="A219" s="61" t="s">
        <v>445</v>
      </c>
      <c r="B219" s="60" t="s">
        <v>23</v>
      </c>
      <c r="C219" s="59" t="s">
        <v>446</v>
      </c>
    </row>
    <row r="220" spans="1:3" ht="16.5">
      <c r="A220" s="57" t="s">
        <v>447</v>
      </c>
      <c r="B220" s="58" t="s">
        <v>7</v>
      </c>
      <c r="C220" s="59" t="s">
        <v>448</v>
      </c>
    </row>
    <row r="221" spans="1:3" ht="16.5">
      <c r="A221" s="57" t="s">
        <v>449</v>
      </c>
      <c r="B221" s="58" t="s">
        <v>12</v>
      </c>
      <c r="C221" s="59" t="s">
        <v>450</v>
      </c>
    </row>
    <row r="222" spans="1:3" ht="16.5">
      <c r="A222" s="57" t="s">
        <v>451</v>
      </c>
      <c r="B222" s="58" t="s">
        <v>23</v>
      </c>
      <c r="C222" s="59" t="s">
        <v>452</v>
      </c>
    </row>
    <row r="223" spans="1:3" ht="16.5">
      <c r="A223" s="57" t="s">
        <v>453</v>
      </c>
      <c r="B223" s="58" t="s">
        <v>12</v>
      </c>
      <c r="C223" s="59" t="s">
        <v>454</v>
      </c>
    </row>
    <row r="224" spans="1:3" ht="16.5">
      <c r="A224" s="57" t="s">
        <v>455</v>
      </c>
      <c r="B224" s="58" t="s">
        <v>20</v>
      </c>
      <c r="C224" s="59" t="s">
        <v>456</v>
      </c>
    </row>
    <row r="225" spans="1:3" ht="16.5">
      <c r="A225" s="57" t="s">
        <v>457</v>
      </c>
      <c r="B225" s="58" t="s">
        <v>28</v>
      </c>
      <c r="C225" s="59" t="s">
        <v>458</v>
      </c>
    </row>
    <row r="226" spans="1:3" ht="16.5">
      <c r="A226" s="57" t="s">
        <v>459</v>
      </c>
      <c r="B226" s="58" t="s">
        <v>12</v>
      </c>
      <c r="C226" s="59" t="s">
        <v>460</v>
      </c>
    </row>
    <row r="227" spans="1:3" ht="16.5">
      <c r="A227" s="57" t="s">
        <v>461</v>
      </c>
      <c r="B227" s="58" t="s">
        <v>12</v>
      </c>
      <c r="C227" s="59" t="s">
        <v>462</v>
      </c>
    </row>
    <row r="228" spans="1:3" ht="16.5">
      <c r="A228" s="57" t="s">
        <v>463</v>
      </c>
      <c r="B228" s="58" t="s">
        <v>23</v>
      </c>
      <c r="C228" s="59" t="s">
        <v>464</v>
      </c>
    </row>
    <row r="229" spans="1:3" ht="16.5">
      <c r="A229" s="57" t="s">
        <v>465</v>
      </c>
      <c r="B229" s="58" t="s">
        <v>7</v>
      </c>
      <c r="C229" s="59" t="s">
        <v>466</v>
      </c>
    </row>
    <row r="230" spans="1:3" ht="16.5">
      <c r="A230" s="57" t="s">
        <v>467</v>
      </c>
      <c r="B230" s="58" t="s">
        <v>28</v>
      </c>
      <c r="C230" s="59" t="s">
        <v>468</v>
      </c>
    </row>
    <row r="231" spans="1:3" ht="16.5">
      <c r="A231" s="110" t="s">
        <v>699</v>
      </c>
      <c r="B231" s="111" t="s">
        <v>28</v>
      </c>
      <c r="C231" s="112" t="s">
        <v>1430</v>
      </c>
    </row>
    <row r="232" spans="1:3" ht="16.5">
      <c r="A232" s="57" t="s">
        <v>469</v>
      </c>
      <c r="B232" s="58" t="s">
        <v>12</v>
      </c>
      <c r="C232" s="59" t="s">
        <v>470</v>
      </c>
    </row>
    <row r="233" spans="1:3" ht="16.5">
      <c r="A233" s="57" t="s">
        <v>471</v>
      </c>
      <c r="B233" s="58" t="s">
        <v>39</v>
      </c>
      <c r="C233" s="59" t="s">
        <v>472</v>
      </c>
    </row>
    <row r="234" spans="1:3" ht="16.5">
      <c r="A234" s="57" t="s">
        <v>473</v>
      </c>
      <c r="B234" s="58" t="s">
        <v>12</v>
      </c>
      <c r="C234" s="59" t="s">
        <v>474</v>
      </c>
    </row>
    <row r="235" spans="1:3" ht="16.5">
      <c r="A235" s="57" t="s">
        <v>475</v>
      </c>
      <c r="B235" s="58" t="s">
        <v>15</v>
      </c>
      <c r="C235" s="59" t="s">
        <v>476</v>
      </c>
    </row>
    <row r="236" spans="1:3" ht="16.5">
      <c r="A236" s="57" t="s">
        <v>477</v>
      </c>
      <c r="B236" s="58" t="s">
        <v>7</v>
      </c>
      <c r="C236" s="59" t="s">
        <v>478</v>
      </c>
    </row>
    <row r="237" spans="1:3" ht="16.5">
      <c r="A237" s="57" t="s">
        <v>479</v>
      </c>
      <c r="B237" s="58" t="s">
        <v>23</v>
      </c>
      <c r="C237" s="59" t="s">
        <v>480</v>
      </c>
    </row>
    <row r="238" spans="1:3" ht="16.5">
      <c r="A238" s="57" t="s">
        <v>481</v>
      </c>
      <c r="B238" s="58" t="s">
        <v>15</v>
      </c>
      <c r="C238" s="59" t="s">
        <v>482</v>
      </c>
    </row>
    <row r="239" spans="1:3" ht="16.5">
      <c r="A239" s="57" t="s">
        <v>483</v>
      </c>
      <c r="B239" s="58" t="s">
        <v>39</v>
      </c>
      <c r="C239" s="59" t="s">
        <v>484</v>
      </c>
    </row>
    <row r="240" spans="1:3" ht="16.5">
      <c r="A240" s="57" t="s">
        <v>485</v>
      </c>
      <c r="B240" s="58" t="s">
        <v>12</v>
      </c>
      <c r="C240" s="59" t="s">
        <v>486</v>
      </c>
    </row>
    <row r="241" spans="1:3" ht="16.5">
      <c r="A241" s="57" t="s">
        <v>487</v>
      </c>
      <c r="B241" s="58" t="s">
        <v>46</v>
      </c>
      <c r="C241" s="59" t="s">
        <v>488</v>
      </c>
    </row>
    <row r="242" spans="1:3" ht="16.5">
      <c r="A242" s="57" t="s">
        <v>489</v>
      </c>
      <c r="B242" s="60" t="s">
        <v>15</v>
      </c>
      <c r="C242" s="59" t="s">
        <v>490</v>
      </c>
    </row>
    <row r="243" spans="1:3" ht="16.5">
      <c r="A243" s="57" t="s">
        <v>491</v>
      </c>
      <c r="B243" s="58" t="s">
        <v>7</v>
      </c>
      <c r="C243" s="59" t="s">
        <v>492</v>
      </c>
    </row>
    <row r="244" spans="1:3" ht="16.5">
      <c r="A244" s="57" t="s">
        <v>493</v>
      </c>
      <c r="B244" s="58" t="s">
        <v>23</v>
      </c>
      <c r="C244" s="59" t="s">
        <v>494</v>
      </c>
    </row>
    <row r="245" spans="1:3" ht="16.5">
      <c r="A245" s="57" t="s">
        <v>495</v>
      </c>
      <c r="B245" s="58" t="s">
        <v>28</v>
      </c>
      <c r="C245" s="59" t="s">
        <v>496</v>
      </c>
    </row>
    <row r="246" spans="1:3" ht="16.5">
      <c r="A246" s="57" t="s">
        <v>497</v>
      </c>
      <c r="B246" s="60" t="s">
        <v>23</v>
      </c>
      <c r="C246" s="59" t="s">
        <v>498</v>
      </c>
    </row>
    <row r="247" spans="1:3" ht="16.5">
      <c r="A247" s="57" t="s">
        <v>499</v>
      </c>
      <c r="B247" s="58" t="s">
        <v>15</v>
      </c>
      <c r="C247" s="59" t="s">
        <v>500</v>
      </c>
    </row>
    <row r="248" spans="1:3" ht="16.5">
      <c r="A248" s="57" t="s">
        <v>501</v>
      </c>
      <c r="B248" s="58" t="s">
        <v>23</v>
      </c>
      <c r="C248" s="59" t="s">
        <v>502</v>
      </c>
    </row>
    <row r="249" spans="1:3" ht="16.5">
      <c r="A249" s="57" t="s">
        <v>503</v>
      </c>
      <c r="B249" s="58" t="s">
        <v>49</v>
      </c>
      <c r="C249" s="59" t="s">
        <v>504</v>
      </c>
    </row>
    <row r="250" spans="1:3" ht="16.5">
      <c r="A250" s="57" t="s">
        <v>505</v>
      </c>
      <c r="B250" s="58" t="s">
        <v>7</v>
      </c>
      <c r="C250" s="59" t="s">
        <v>506</v>
      </c>
    </row>
    <row r="251" spans="1:3" ht="16.5">
      <c r="A251" s="57" t="s">
        <v>507</v>
      </c>
      <c r="B251" s="58" t="s">
        <v>46</v>
      </c>
      <c r="C251" s="59" t="s">
        <v>508</v>
      </c>
    </row>
    <row r="252" spans="1:3" ht="16.5">
      <c r="A252" s="57" t="s">
        <v>509</v>
      </c>
      <c r="B252" s="58" t="s">
        <v>15</v>
      </c>
      <c r="C252" s="59" t="s">
        <v>510</v>
      </c>
    </row>
    <row r="253" spans="1:3" ht="16.5">
      <c r="A253" s="57" t="s">
        <v>511</v>
      </c>
      <c r="B253" s="58" t="s">
        <v>7</v>
      </c>
      <c r="C253" s="59" t="s">
        <v>512</v>
      </c>
    </row>
    <row r="254" spans="1:3" ht="16.5">
      <c r="A254" s="57" t="s">
        <v>513</v>
      </c>
      <c r="B254" s="58" t="s">
        <v>12</v>
      </c>
      <c r="C254" s="59" t="s">
        <v>514</v>
      </c>
    </row>
    <row r="255" spans="1:3" ht="16.5">
      <c r="A255" s="61" t="s">
        <v>515</v>
      </c>
      <c r="B255" s="58" t="s">
        <v>12</v>
      </c>
      <c r="C255" s="59" t="s">
        <v>516</v>
      </c>
    </row>
    <row r="256" spans="1:3" ht="16.5">
      <c r="A256" s="57" t="s">
        <v>517</v>
      </c>
      <c r="B256" s="58" t="s">
        <v>12</v>
      </c>
      <c r="C256" s="59" t="s">
        <v>518</v>
      </c>
    </row>
    <row r="257" spans="1:3" ht="16.5">
      <c r="A257" s="57" t="s">
        <v>519</v>
      </c>
      <c r="B257" s="58" t="s">
        <v>15</v>
      </c>
      <c r="C257" s="59" t="s">
        <v>520</v>
      </c>
    </row>
    <row r="258" spans="1:3" ht="16.5">
      <c r="A258" s="57" t="s">
        <v>521</v>
      </c>
      <c r="B258" s="58" t="s">
        <v>20</v>
      </c>
      <c r="C258" s="59" t="s">
        <v>522</v>
      </c>
    </row>
    <row r="259" spans="1:3" ht="16.5">
      <c r="A259" s="57" t="s">
        <v>523</v>
      </c>
      <c r="B259" s="58" t="s">
        <v>20</v>
      </c>
      <c r="C259" s="59" t="s">
        <v>524</v>
      </c>
    </row>
    <row r="260" spans="1:3" ht="16.5">
      <c r="A260" s="57" t="s">
        <v>525</v>
      </c>
      <c r="B260" s="58" t="s">
        <v>49</v>
      </c>
      <c r="C260" s="59" t="s">
        <v>526</v>
      </c>
    </row>
    <row r="261" spans="1:3" ht="16.5">
      <c r="A261" s="57" t="s">
        <v>527</v>
      </c>
      <c r="B261" s="58" t="s">
        <v>23</v>
      </c>
      <c r="C261" s="59" t="s">
        <v>528</v>
      </c>
    </row>
    <row r="262" spans="1:3" ht="16.5">
      <c r="A262" s="57" t="s">
        <v>529</v>
      </c>
      <c r="B262" s="60" t="s">
        <v>12</v>
      </c>
      <c r="C262" s="59" t="s">
        <v>530</v>
      </c>
    </row>
    <row r="263" spans="1:3" ht="16.5">
      <c r="A263" s="57" t="s">
        <v>531</v>
      </c>
      <c r="B263" s="58" t="s">
        <v>28</v>
      </c>
      <c r="C263" s="59" t="s">
        <v>532</v>
      </c>
    </row>
    <row r="264" spans="1:3" ht="16.5">
      <c r="A264" s="57" t="s">
        <v>533</v>
      </c>
      <c r="B264" s="58" t="s">
        <v>15</v>
      </c>
      <c r="C264" s="59" t="s">
        <v>534</v>
      </c>
    </row>
    <row r="265" spans="1:3" ht="16.5">
      <c r="A265" s="61" t="s">
        <v>535</v>
      </c>
      <c r="B265" s="58" t="s">
        <v>23</v>
      </c>
      <c r="C265" s="59" t="s">
        <v>536</v>
      </c>
    </row>
    <row r="266" spans="1:3" ht="16.5">
      <c r="A266" s="61" t="s">
        <v>537</v>
      </c>
      <c r="B266" s="58" t="s">
        <v>23</v>
      </c>
      <c r="C266" s="59" t="s">
        <v>538</v>
      </c>
    </row>
    <row r="267" spans="1:3" ht="16.5">
      <c r="A267" s="61" t="s">
        <v>539</v>
      </c>
      <c r="B267" s="58" t="s">
        <v>23</v>
      </c>
      <c r="C267" s="59" t="s">
        <v>540</v>
      </c>
    </row>
    <row r="268" spans="1:3" ht="16.5">
      <c r="A268" s="57" t="s">
        <v>541</v>
      </c>
      <c r="B268" s="60" t="s">
        <v>12</v>
      </c>
      <c r="C268" s="59" t="s">
        <v>542</v>
      </c>
    </row>
    <row r="269" spans="1:3" ht="16.5">
      <c r="A269" s="57" t="s">
        <v>543</v>
      </c>
      <c r="B269" s="58" t="s">
        <v>23</v>
      </c>
      <c r="C269" s="59" t="s">
        <v>544</v>
      </c>
    </row>
    <row r="270" spans="1:3" ht="16.5">
      <c r="A270" s="57" t="s">
        <v>545</v>
      </c>
      <c r="B270" s="58" t="s">
        <v>39</v>
      </c>
      <c r="C270" s="59" t="s">
        <v>546</v>
      </c>
    </row>
    <row r="271" spans="1:3" ht="16.5">
      <c r="A271" s="110" t="s">
        <v>836</v>
      </c>
      <c r="B271" s="58" t="s">
        <v>547</v>
      </c>
      <c r="C271" s="59" t="s">
        <v>548</v>
      </c>
    </row>
    <row r="272" spans="1:3" ht="16.5">
      <c r="A272" s="57" t="s">
        <v>549</v>
      </c>
      <c r="B272" s="58" t="s">
        <v>23</v>
      </c>
      <c r="C272" s="59" t="s">
        <v>550</v>
      </c>
    </row>
    <row r="273" spans="1:3" ht="16.5">
      <c r="A273" s="57" t="s">
        <v>551</v>
      </c>
      <c r="B273" s="58" t="s">
        <v>7</v>
      </c>
      <c r="C273" s="59" t="s">
        <v>552</v>
      </c>
    </row>
    <row r="274" spans="1:3" ht="16.5">
      <c r="A274" s="57" t="s">
        <v>553</v>
      </c>
      <c r="B274" s="58" t="s">
        <v>23</v>
      </c>
      <c r="C274" s="59" t="s">
        <v>554</v>
      </c>
    </row>
    <row r="275" spans="1:3" ht="16.5">
      <c r="A275" s="57" t="s">
        <v>555</v>
      </c>
      <c r="B275" s="58" t="s">
        <v>12</v>
      </c>
      <c r="C275" s="59" t="s">
        <v>556</v>
      </c>
    </row>
    <row r="276" spans="1:3" ht="16.5">
      <c r="A276" s="57" t="s">
        <v>557</v>
      </c>
      <c r="B276" s="58" t="s">
        <v>7</v>
      </c>
      <c r="C276" s="59" t="s">
        <v>558</v>
      </c>
    </row>
    <row r="277" spans="1:3" ht="16.5">
      <c r="A277" s="57" t="s">
        <v>559</v>
      </c>
      <c r="B277" s="58" t="s">
        <v>39</v>
      </c>
      <c r="C277" s="59" t="s">
        <v>560</v>
      </c>
    </row>
    <row r="278" spans="1:3" ht="16.5">
      <c r="A278" s="57" t="s">
        <v>561</v>
      </c>
      <c r="B278" s="58" t="s">
        <v>7</v>
      </c>
      <c r="C278" s="59" t="s">
        <v>562</v>
      </c>
    </row>
    <row r="279" spans="1:3" ht="16.5">
      <c r="A279" s="57" t="s">
        <v>563</v>
      </c>
      <c r="B279" s="58" t="s">
        <v>49</v>
      </c>
      <c r="C279" s="59" t="s">
        <v>564</v>
      </c>
    </row>
    <row r="280" spans="1:3" ht="16.5">
      <c r="A280" s="57" t="s">
        <v>565</v>
      </c>
      <c r="B280" s="58" t="s">
        <v>39</v>
      </c>
      <c r="C280" s="59" t="s">
        <v>566</v>
      </c>
    </row>
    <row r="281" spans="1:3" ht="16.5">
      <c r="A281" s="57" t="s">
        <v>567</v>
      </c>
      <c r="B281" s="58" t="s">
        <v>20</v>
      </c>
      <c r="C281" s="59" t="s">
        <v>568</v>
      </c>
    </row>
    <row r="282" spans="1:3" ht="16.5">
      <c r="A282" s="57" t="s">
        <v>569</v>
      </c>
      <c r="B282" s="58" t="s">
        <v>28</v>
      </c>
      <c r="C282" s="59" t="s">
        <v>570</v>
      </c>
    </row>
    <row r="283" spans="1:3" ht="16.5">
      <c r="A283" s="57" t="s">
        <v>571</v>
      </c>
      <c r="B283" s="58" t="s">
        <v>28</v>
      </c>
      <c r="C283" s="59" t="s">
        <v>572</v>
      </c>
    </row>
    <row r="284" spans="1:3" ht="16.5">
      <c r="A284" s="57" t="s">
        <v>573</v>
      </c>
      <c r="B284" s="58" t="s">
        <v>23</v>
      </c>
      <c r="C284" s="59" t="s">
        <v>574</v>
      </c>
    </row>
    <row r="285" spans="1:3" ht="16.5">
      <c r="A285" s="57" t="s">
        <v>575</v>
      </c>
      <c r="B285" s="58" t="s">
        <v>7</v>
      </c>
      <c r="C285" s="59" t="s">
        <v>576</v>
      </c>
    </row>
    <row r="286" spans="1:3" ht="16.5">
      <c r="A286" s="57" t="s">
        <v>577</v>
      </c>
      <c r="B286" s="58" t="s">
        <v>39</v>
      </c>
      <c r="C286" s="59" t="s">
        <v>578</v>
      </c>
    </row>
    <row r="287" spans="1:3" ht="16.5">
      <c r="A287" s="57" t="s">
        <v>579</v>
      </c>
      <c r="B287" s="58" t="s">
        <v>23</v>
      </c>
      <c r="C287" s="59" t="s">
        <v>580</v>
      </c>
    </row>
    <row r="288" spans="1:3" ht="16.5">
      <c r="A288" s="57" t="s">
        <v>581</v>
      </c>
      <c r="B288" s="58" t="s">
        <v>12</v>
      </c>
      <c r="C288" s="59" t="s">
        <v>582</v>
      </c>
    </row>
    <row r="289" spans="1:3" ht="16.5">
      <c r="A289" s="57" t="s">
        <v>583</v>
      </c>
      <c r="B289" s="58" t="s">
        <v>28</v>
      </c>
      <c r="C289" s="59" t="s">
        <v>584</v>
      </c>
    </row>
    <row r="290" spans="1:3" ht="16.5">
      <c r="A290" s="57" t="s">
        <v>585</v>
      </c>
      <c r="B290" s="58" t="s">
        <v>23</v>
      </c>
      <c r="C290" s="59" t="s">
        <v>586</v>
      </c>
    </row>
    <row r="291" spans="1:3" ht="16.5">
      <c r="A291" s="57">
        <v>34974</v>
      </c>
      <c r="B291" s="58" t="s">
        <v>547</v>
      </c>
      <c r="C291" s="59" t="s">
        <v>587</v>
      </c>
    </row>
    <row r="292" spans="1:3" ht="16.5">
      <c r="A292" s="57">
        <v>34975</v>
      </c>
      <c r="B292" s="58" t="s">
        <v>547</v>
      </c>
      <c r="C292" s="59" t="s">
        <v>588</v>
      </c>
    </row>
    <row r="293" spans="1:3" ht="16.5">
      <c r="A293" s="57" t="s">
        <v>589</v>
      </c>
      <c r="B293" s="58" t="s">
        <v>28</v>
      </c>
      <c r="C293" s="59" t="s">
        <v>590</v>
      </c>
    </row>
    <row r="294" spans="1:3" ht="16.5">
      <c r="A294" s="57" t="s">
        <v>591</v>
      </c>
      <c r="B294" s="58" t="s">
        <v>39</v>
      </c>
      <c r="C294" s="59" t="s">
        <v>592</v>
      </c>
    </row>
    <row r="295" spans="1:3" ht="16.5">
      <c r="A295" s="57" t="s">
        <v>593</v>
      </c>
      <c r="B295" s="58" t="s">
        <v>20</v>
      </c>
      <c r="C295" s="59" t="s">
        <v>594</v>
      </c>
    </row>
    <row r="296" spans="1:3" ht="16.5">
      <c r="A296" s="57" t="s">
        <v>595</v>
      </c>
      <c r="B296" s="58" t="s">
        <v>20</v>
      </c>
      <c r="C296" s="59" t="s">
        <v>596</v>
      </c>
    </row>
    <row r="297" spans="1:3" ht="16.5">
      <c r="A297" s="57" t="s">
        <v>597</v>
      </c>
      <c r="B297" s="58" t="s">
        <v>39</v>
      </c>
      <c r="C297" s="59" t="s">
        <v>598</v>
      </c>
    </row>
    <row r="298" spans="1:3" ht="16.5">
      <c r="A298" s="57" t="s">
        <v>599</v>
      </c>
      <c r="B298" s="58" t="s">
        <v>49</v>
      </c>
      <c r="C298" s="59" t="s">
        <v>600</v>
      </c>
    </row>
    <row r="299" spans="1:3" ht="16.5">
      <c r="A299" s="57" t="s">
        <v>601</v>
      </c>
      <c r="B299" s="58" t="s">
        <v>28</v>
      </c>
      <c r="C299" s="59" t="s">
        <v>602</v>
      </c>
    </row>
    <row r="300" spans="1:3" ht="16.5">
      <c r="A300" s="57" t="s">
        <v>603</v>
      </c>
      <c r="B300" s="58" t="s">
        <v>12</v>
      </c>
      <c r="C300" s="59" t="s">
        <v>604</v>
      </c>
    </row>
    <row r="301" spans="1:3" ht="16.5">
      <c r="A301" s="57" t="s">
        <v>605</v>
      </c>
      <c r="B301" s="58" t="s">
        <v>49</v>
      </c>
      <c r="C301" s="59" t="s">
        <v>606</v>
      </c>
    </row>
    <row r="302" spans="1:3" ht="16.5">
      <c r="A302" s="57" t="s">
        <v>607</v>
      </c>
      <c r="B302" s="60" t="s">
        <v>12</v>
      </c>
      <c r="C302" s="59" t="s">
        <v>608</v>
      </c>
    </row>
    <row r="303" spans="1:3" ht="16.5">
      <c r="A303" s="57" t="s">
        <v>609</v>
      </c>
      <c r="B303" s="58" t="s">
        <v>49</v>
      </c>
      <c r="C303" s="59" t="s">
        <v>610</v>
      </c>
    </row>
    <row r="304" spans="1:3" ht="16.5">
      <c r="A304" s="57" t="s">
        <v>611</v>
      </c>
      <c r="B304" s="58" t="s">
        <v>39</v>
      </c>
      <c r="C304" s="59" t="s">
        <v>612</v>
      </c>
    </row>
    <row r="305" spans="1:3" ht="16.5">
      <c r="A305" s="57" t="s">
        <v>613</v>
      </c>
      <c r="B305" s="58" t="s">
        <v>12</v>
      </c>
      <c r="C305" s="59" t="s">
        <v>614</v>
      </c>
    </row>
    <row r="306" spans="1:3" ht="16.5">
      <c r="A306" s="61" t="s">
        <v>615</v>
      </c>
      <c r="B306" s="58" t="s">
        <v>15</v>
      </c>
      <c r="C306" s="59" t="s">
        <v>616</v>
      </c>
    </row>
    <row r="307" spans="1:3" ht="16.5">
      <c r="A307" s="57" t="s">
        <v>617</v>
      </c>
      <c r="B307" s="58" t="s">
        <v>7</v>
      </c>
      <c r="C307" s="59" t="s">
        <v>618</v>
      </c>
    </row>
    <row r="308" spans="1:3" ht="16.5">
      <c r="A308" s="57" t="s">
        <v>619</v>
      </c>
      <c r="B308" s="58" t="s">
        <v>23</v>
      </c>
      <c r="C308" s="59" t="s">
        <v>620</v>
      </c>
    </row>
    <row r="309" spans="1:3" ht="16.5">
      <c r="A309" s="57" t="s">
        <v>621</v>
      </c>
      <c r="B309" s="58" t="s">
        <v>28</v>
      </c>
      <c r="C309" s="59" t="s">
        <v>622</v>
      </c>
    </row>
    <row r="310" spans="1:3" ht="16.5">
      <c r="A310" s="61" t="s">
        <v>623</v>
      </c>
      <c r="B310" s="58" t="s">
        <v>23</v>
      </c>
      <c r="C310" s="59" t="s">
        <v>624</v>
      </c>
    </row>
    <row r="311" spans="1:3" ht="16.5">
      <c r="A311" s="61" t="s">
        <v>625</v>
      </c>
      <c r="B311" s="58" t="s">
        <v>12</v>
      </c>
      <c r="C311" s="59" t="s">
        <v>626</v>
      </c>
    </row>
    <row r="312" spans="1:3" ht="16.5">
      <c r="A312" s="57" t="s">
        <v>627</v>
      </c>
      <c r="B312" s="58" t="s">
        <v>7</v>
      </c>
      <c r="C312" s="59" t="s">
        <v>628</v>
      </c>
    </row>
    <row r="313" spans="1:3" ht="16.5">
      <c r="A313" s="57" t="s">
        <v>629</v>
      </c>
      <c r="B313" s="58" t="s">
        <v>49</v>
      </c>
      <c r="C313" s="59" t="s">
        <v>630</v>
      </c>
    </row>
    <row r="314" spans="1:3" ht="16.5">
      <c r="A314" s="57" t="s">
        <v>631</v>
      </c>
      <c r="B314" s="58" t="s">
        <v>7</v>
      </c>
      <c r="C314" s="59" t="s">
        <v>632</v>
      </c>
    </row>
    <row r="315" spans="1:3" ht="16.5">
      <c r="A315" s="57" t="s">
        <v>633</v>
      </c>
      <c r="B315" s="60" t="s">
        <v>7</v>
      </c>
      <c r="C315" s="59" t="s">
        <v>634</v>
      </c>
    </row>
    <row r="316" spans="1:3" ht="16.5">
      <c r="A316" s="57" t="s">
        <v>635</v>
      </c>
      <c r="B316" s="58" t="s">
        <v>28</v>
      </c>
      <c r="C316" s="59" t="s">
        <v>636</v>
      </c>
    </row>
    <row r="317" spans="1:3" ht="16.5">
      <c r="A317" s="57" t="s">
        <v>637</v>
      </c>
      <c r="B317" s="58" t="s">
        <v>28</v>
      </c>
      <c r="C317" s="59" t="s">
        <v>638</v>
      </c>
    </row>
    <row r="318" spans="1:3" ht="16.5">
      <c r="A318" s="57" t="s">
        <v>639</v>
      </c>
      <c r="B318" s="58" t="s">
        <v>39</v>
      </c>
      <c r="C318" s="59" t="s">
        <v>640</v>
      </c>
    </row>
    <row r="319" spans="1:3" ht="16.5">
      <c r="A319" s="57" t="s">
        <v>641</v>
      </c>
      <c r="B319" s="58" t="s">
        <v>7</v>
      </c>
      <c r="C319" s="59" t="s">
        <v>642</v>
      </c>
    </row>
    <row r="320" spans="1:3" ht="16.5">
      <c r="A320" s="57" t="s">
        <v>643</v>
      </c>
      <c r="B320" s="58" t="s">
        <v>39</v>
      </c>
      <c r="C320" s="59" t="s">
        <v>644</v>
      </c>
    </row>
  </sheetData>
  <autoFilter ref="A2:C320" xr:uid="{00000000-0001-0000-0100-000000000000}"/>
  <sortState xmlns:xlrd2="http://schemas.microsoft.com/office/spreadsheetml/2017/richdata2" ref="A3:B312">
    <sortCondition ref="B3:B312"/>
  </sortState>
  <customSheetViews>
    <customSheetView guid="{258DC0F9-B8C5-4A47-B911-FC6C1B128653}" topLeftCell="A133">
      <selection activeCell="A3" sqref="A3:A301"/>
      <pageMargins left="0" right="0" top="0" bottom="0" header="0" footer="0"/>
    </customSheetView>
    <customSheetView guid="{6D4FF6D6-C66D-4B43-9B4E-7985B86B1BBC}">
      <selection activeCell="A3" sqref="A3:A301"/>
      <pageMargins left="0" right="0" top="0" bottom="0" header="0" footer="0"/>
    </customSheetView>
    <customSheetView guid="{3391497B-85F4-4817-B669-10F463F3A207}" topLeftCell="A133">
      <selection activeCell="A3" sqref="A3:A301"/>
      <pageMargins left="0" right="0" top="0" bottom="0" header="0" footer="0"/>
    </customSheetView>
  </customSheetView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09995-4A79-4186-B4A2-1E888C4F95D7}">
  <sheetPr>
    <tabColor rgb="FF92D050"/>
  </sheetPr>
  <dimension ref="A1:D8"/>
  <sheetViews>
    <sheetView workbookViewId="0">
      <selection activeCell="I16" sqref="I16"/>
    </sheetView>
  </sheetViews>
  <sheetFormatPr defaultRowHeight="12.75"/>
  <cols>
    <col min="2" max="2" width="15.5703125" bestFit="1" customWidth="1"/>
    <col min="3" max="3" width="16.140625" customWidth="1"/>
    <col min="4" max="4" width="44.7109375" style="56" customWidth="1"/>
  </cols>
  <sheetData>
    <row r="1" spans="1:4">
      <c r="A1" t="s">
        <v>1472</v>
      </c>
      <c r="B1" t="s">
        <v>1473</v>
      </c>
    </row>
    <row r="3" spans="1:4" ht="51">
      <c r="A3" t="s">
        <v>680</v>
      </c>
      <c r="B3" t="s">
        <v>5</v>
      </c>
      <c r="C3" s="56" t="s">
        <v>1469</v>
      </c>
      <c r="D3" s="56" t="s">
        <v>1470</v>
      </c>
    </row>
    <row r="4" spans="1:4" ht="12.75" customHeight="1">
      <c r="A4" s="130" t="s">
        <v>30</v>
      </c>
      <c r="B4" t="s">
        <v>31</v>
      </c>
      <c r="C4" s="55">
        <v>642783</v>
      </c>
    </row>
    <row r="5" spans="1:4" ht="38.25">
      <c r="A5" s="130" t="s">
        <v>173</v>
      </c>
      <c r="B5" t="s">
        <v>174</v>
      </c>
      <c r="C5" s="55">
        <v>165036</v>
      </c>
      <c r="D5" s="56" t="s">
        <v>1471</v>
      </c>
    </row>
    <row r="6" spans="1:4">
      <c r="A6" s="130" t="s">
        <v>229</v>
      </c>
      <c r="B6" t="s">
        <v>230</v>
      </c>
      <c r="C6" s="55">
        <v>551694</v>
      </c>
    </row>
    <row r="7" spans="1:4">
      <c r="A7" s="130" t="s">
        <v>263</v>
      </c>
      <c r="B7" t="s">
        <v>264</v>
      </c>
      <c r="C7" s="55">
        <v>888709</v>
      </c>
    </row>
    <row r="8" spans="1:4" ht="38.25">
      <c r="A8" s="130" t="s">
        <v>639</v>
      </c>
      <c r="B8" t="s">
        <v>640</v>
      </c>
      <c r="C8" s="55">
        <v>560011</v>
      </c>
      <c r="D8" s="56" t="s">
        <v>1471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6E995-4FE5-4E30-B454-6B6DD8D57BFA}">
  <dimension ref="A3:A5"/>
  <sheetViews>
    <sheetView workbookViewId="0">
      <selection activeCell="A5" sqref="A5"/>
    </sheetView>
  </sheetViews>
  <sheetFormatPr defaultRowHeight="12.75"/>
  <cols>
    <col min="1" max="1" width="101.5703125" bestFit="1" customWidth="1"/>
  </cols>
  <sheetData>
    <row r="3" spans="1:1" ht="20.25">
      <c r="A3" s="10" t="s">
        <v>645</v>
      </c>
    </row>
    <row r="5" spans="1:1" ht="63.75">
      <c r="A5" s="56" t="s">
        <v>1412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2060"/>
    <pageSetUpPr fitToPage="1"/>
  </sheetPr>
  <dimension ref="A1:K52"/>
  <sheetViews>
    <sheetView tabSelected="1" zoomScale="85" zoomScaleNormal="85" workbookViewId="0">
      <selection activeCell="C2" sqref="C2"/>
    </sheetView>
  </sheetViews>
  <sheetFormatPr defaultColWidth="8.85546875" defaultRowHeight="14.25"/>
  <cols>
    <col min="1" max="1" width="4.5703125" style="9" bestFit="1" customWidth="1"/>
    <col min="2" max="2" width="13.42578125" style="9" customWidth="1"/>
    <col min="3" max="3" width="59.140625" style="9" customWidth="1"/>
    <col min="4" max="4" width="17.28515625" style="9" customWidth="1"/>
    <col min="5" max="5" width="21" style="9" customWidth="1"/>
    <col min="6" max="6" width="6" style="3" customWidth="1"/>
    <col min="7" max="7" width="3" style="4" bestFit="1" customWidth="1"/>
    <col min="8" max="8" width="49.140625" style="1" customWidth="1"/>
    <col min="9" max="9" width="16.85546875" style="1" customWidth="1"/>
    <col min="10" max="10" width="14.5703125" style="1" customWidth="1"/>
    <col min="11" max="16384" width="8.85546875" style="1"/>
  </cols>
  <sheetData>
    <row r="1" spans="1:11" ht="25.5">
      <c r="A1" s="141" t="s">
        <v>1419</v>
      </c>
      <c r="B1" s="141"/>
      <c r="C1" s="141"/>
      <c r="D1" s="141"/>
      <c r="E1" s="141"/>
    </row>
    <row r="2" spans="1:11" ht="20.25">
      <c r="B2" s="123" t="s">
        <v>680</v>
      </c>
      <c r="C2" s="124"/>
    </row>
    <row r="3" spans="1:11" ht="20.25">
      <c r="B3" s="123" t="s">
        <v>1367</v>
      </c>
      <c r="C3" s="127" t="str">
        <f>IFERROR(VLOOKUP(C2,'LEA List'!$A$3:$C$320,3,0),"")</f>
        <v/>
      </c>
    </row>
    <row r="4" spans="1:11" ht="6.75" customHeight="1">
      <c r="B4" s="11"/>
      <c r="C4" s="11"/>
    </row>
    <row r="5" spans="1:11" ht="20.25">
      <c r="A5" s="149" t="s">
        <v>1416</v>
      </c>
      <c r="B5" s="150"/>
      <c r="C5" s="150"/>
      <c r="D5" s="150"/>
      <c r="E5" s="151"/>
    </row>
    <row r="6" spans="1:11" s="83" customFormat="1" ht="33" customHeight="1">
      <c r="A6" s="135"/>
      <c r="B6" s="136"/>
      <c r="C6" s="136"/>
      <c r="D6" s="134" t="s">
        <v>1414</v>
      </c>
      <c r="E6" s="134" t="s">
        <v>1415</v>
      </c>
      <c r="K6" s="84"/>
    </row>
    <row r="7" spans="1:11" s="83" customFormat="1" ht="17.25">
      <c r="A7" s="142" t="s">
        <v>1413</v>
      </c>
      <c r="B7" s="143"/>
      <c r="C7" s="143"/>
      <c r="D7" s="143"/>
      <c r="E7" s="144"/>
      <c r="K7" s="87"/>
    </row>
    <row r="8" spans="1:11" ht="16.5">
      <c r="A8" s="12">
        <v>1</v>
      </c>
      <c r="B8" s="139" t="s">
        <v>685</v>
      </c>
      <c r="C8" s="140"/>
      <c r="D8" s="101">
        <f>IFERROR(VLOOKUP(C2,'F-196 Expenditures'!$A$5:$F$315,3,0),0)</f>
        <v>0</v>
      </c>
      <c r="E8" s="101">
        <f>IFERROR(VLOOKUP(C2,'F-195 Expenditures'!$A$5:$F$313,3,0),0)</f>
        <v>0</v>
      </c>
      <c r="K8" s="88"/>
    </row>
    <row r="9" spans="1:11" ht="16.5">
      <c r="A9" s="12">
        <v>3</v>
      </c>
      <c r="B9" s="139" t="s">
        <v>686</v>
      </c>
      <c r="C9" s="140"/>
      <c r="D9" s="101">
        <f>IFERROR(VLOOKUP(C2,'F-196 Expenditures'!$A$5:$F$315,4,0),0)</f>
        <v>0</v>
      </c>
      <c r="E9" s="101">
        <f>IFERROR(VLOOKUP(C2,'F-195 Expenditures'!$A$5:$F$313,4,0),0)</f>
        <v>0</v>
      </c>
      <c r="K9" s="88"/>
    </row>
    <row r="10" spans="1:11" ht="16.5">
      <c r="A10" s="12">
        <v>4</v>
      </c>
      <c r="B10" s="139" t="s">
        <v>687</v>
      </c>
      <c r="C10" s="140"/>
      <c r="D10" s="101">
        <f>IFERROR(VLOOKUP(C2,'F-196 Expenditures'!$A$5:$F$315,5,0),0)</f>
        <v>0</v>
      </c>
      <c r="E10" s="101">
        <f>IFERROR(VLOOKUP(C2,'F-195 Expenditures'!$A$5:$F$313,5,0),0)</f>
        <v>0</v>
      </c>
      <c r="K10" s="84"/>
    </row>
    <row r="11" spans="1:11" ht="16.5">
      <c r="A11" s="12">
        <v>5</v>
      </c>
      <c r="B11" s="139" t="s">
        <v>688</v>
      </c>
      <c r="C11" s="140"/>
      <c r="D11" s="101">
        <f>IFERROR(VLOOKUP(C2,'F-196 Expenditures'!$A$5:$F$315,6,0),0)</f>
        <v>0</v>
      </c>
      <c r="E11" s="101">
        <f>IFERROR(VLOOKUP(C2,'F-195 Expenditures'!$A$5:$F$313,6,0),0)</f>
        <v>0</v>
      </c>
      <c r="K11" s="3"/>
    </row>
    <row r="12" spans="1:11" ht="16.5">
      <c r="A12" s="12">
        <v>6</v>
      </c>
      <c r="B12" s="139" t="s">
        <v>646</v>
      </c>
      <c r="C12" s="140"/>
      <c r="D12" s="101">
        <f>IFERROR(D8+D9+D10+D11,"")</f>
        <v>0</v>
      </c>
      <c r="E12" s="101">
        <f>IFERROR(E8+E9+E10+E11,0)</f>
        <v>0</v>
      </c>
      <c r="F12" s="84"/>
      <c r="K12" s="3"/>
    </row>
    <row r="13" spans="1:11" ht="16.5">
      <c r="A13" s="12">
        <v>7</v>
      </c>
      <c r="B13" s="145" t="s">
        <v>647</v>
      </c>
      <c r="C13" s="146"/>
      <c r="D13" s="101">
        <f>IFERROR(VLOOKUP(C2,'Previous Year Supplementals'!A5:C329,3,0),0)</f>
        <v>0</v>
      </c>
      <c r="E13" s="101">
        <f>IFERROR(VLOOKUP(C2,'Current Year Supplementals'!$A$5:$C$329,3,0),0)</f>
        <v>0</v>
      </c>
      <c r="F13" s="84"/>
      <c r="G13" s="1"/>
    </row>
    <row r="14" spans="1:11" ht="16.5">
      <c r="A14" s="12">
        <v>8</v>
      </c>
      <c r="B14" s="145" t="s">
        <v>648</v>
      </c>
      <c r="C14" s="146"/>
      <c r="D14" s="102"/>
      <c r="E14" s="102"/>
      <c r="F14" s="84"/>
      <c r="G14" s="1"/>
    </row>
    <row r="15" spans="1:11" ht="16.5">
      <c r="A15" s="12">
        <v>9</v>
      </c>
      <c r="B15" s="145" t="s">
        <v>649</v>
      </c>
      <c r="C15" s="146"/>
      <c r="D15" s="101">
        <v>0</v>
      </c>
      <c r="E15" s="101">
        <f>IFERROR(VLOOKUP(C2,CCEIS!$A$4:$C$8,3,0),0)</f>
        <v>0</v>
      </c>
      <c r="F15" s="84"/>
      <c r="G15" s="1"/>
    </row>
    <row r="16" spans="1:11" ht="16.5">
      <c r="A16" s="12">
        <v>10</v>
      </c>
      <c r="B16" s="145" t="s">
        <v>650</v>
      </c>
      <c r="C16" s="146"/>
      <c r="D16" s="103">
        <f>IFERROR(D12*((IFERROR(VLOOKUP(C2,Indirects!$A$8:$D$329,3,0),0))+0.01),"")</f>
        <v>0</v>
      </c>
      <c r="E16" s="103">
        <f>IFERROR(E12*((IFERROR(VLOOKUP(C2,Indirects!$A$8:$D$329,4,0),0))+0.01),"")</f>
        <v>0</v>
      </c>
      <c r="F16" s="105"/>
      <c r="G16" s="1"/>
    </row>
    <row r="17" spans="1:11" ht="16.5">
      <c r="A17" s="12">
        <v>11</v>
      </c>
      <c r="B17" s="139" t="s">
        <v>651</v>
      </c>
      <c r="C17" s="140"/>
      <c r="D17" s="103">
        <f>IFERROR(D12-D13-D14-D15+D16,"")</f>
        <v>0</v>
      </c>
      <c r="E17" s="103">
        <f>IFERROR(E12-E13-E14-E15+E16,"")</f>
        <v>0</v>
      </c>
      <c r="F17" s="84"/>
      <c r="G17" s="1"/>
    </row>
    <row r="18" spans="1:11" ht="17.25">
      <c r="A18" s="142" t="s">
        <v>1429</v>
      </c>
      <c r="B18" s="147"/>
      <c r="C18" s="147"/>
      <c r="D18" s="147"/>
      <c r="E18" s="148"/>
      <c r="G18" s="1"/>
      <c r="H18" s="128"/>
      <c r="I18" s="128"/>
    </row>
    <row r="19" spans="1:11" ht="16.5">
      <c r="A19" s="12">
        <v>12</v>
      </c>
      <c r="B19" s="139" t="s">
        <v>652</v>
      </c>
      <c r="C19" s="140"/>
      <c r="D19" s="101">
        <f>IFERROR(VLOOKUP(C2,'F-196 Revenues'!$A$5:$N$319,3,0),0)</f>
        <v>0</v>
      </c>
      <c r="E19" s="101">
        <f>IFERROR(VLOOKUP(C2,'F-195 Revenues'!$A$5:$N$312,3,0),0)</f>
        <v>0</v>
      </c>
      <c r="F19" s="87"/>
      <c r="G19" s="1"/>
      <c r="I19" s="118"/>
      <c r="J19" s="118"/>
      <c r="K19" s="118"/>
    </row>
    <row r="20" spans="1:11" ht="16.5">
      <c r="A20" s="12">
        <v>13</v>
      </c>
      <c r="B20" s="139" t="s">
        <v>1466</v>
      </c>
      <c r="C20" s="140"/>
      <c r="D20" s="101">
        <f>IFERROR(VLOOKUP(C2,'F-196 Revenues'!$A$5:$N$319,4,0),0)</f>
        <v>0</v>
      </c>
      <c r="E20" s="101">
        <f>IFERROR(VLOOKUP(C2,'F-195 Revenues'!$A$5:$N$312,4,0),0)</f>
        <v>0</v>
      </c>
      <c r="F20" s="87"/>
      <c r="G20" s="1"/>
      <c r="I20" s="93"/>
    </row>
    <row r="21" spans="1:11" ht="16.5">
      <c r="A21" s="12">
        <v>14</v>
      </c>
      <c r="B21" s="139" t="s">
        <v>653</v>
      </c>
      <c r="C21" s="140"/>
      <c r="D21" s="101">
        <f>IFERROR(VLOOKUP(C2,'F-196 Revenues'!$A$5:$N$319,5,0),0)</f>
        <v>0</v>
      </c>
      <c r="E21" s="101">
        <f>IFERROR(VLOOKUP(C2,'F-195 Revenues'!$A$5:$N$312,5,0),0)</f>
        <v>0</v>
      </c>
      <c r="F21" s="92"/>
      <c r="G21" s="1"/>
      <c r="I21" s="94"/>
    </row>
    <row r="22" spans="1:11" ht="16.5">
      <c r="A22" s="12">
        <v>15</v>
      </c>
      <c r="B22" s="139" t="s">
        <v>654</v>
      </c>
      <c r="C22" s="140"/>
      <c r="D22" s="101">
        <f>IFERROR(VLOOKUP(C2,'F-196 Revenues'!$A$5:$N$319,6,0),0)</f>
        <v>0</v>
      </c>
      <c r="E22" s="101">
        <f>IFERROR(VLOOKUP(C2,'F-195 Revenues'!$A$5:$N$312,6,0),0)</f>
        <v>0</v>
      </c>
      <c r="F22" s="92"/>
      <c r="G22" s="1"/>
      <c r="I22" s="94"/>
    </row>
    <row r="23" spans="1:11" ht="16.5">
      <c r="A23" s="12">
        <v>16</v>
      </c>
      <c r="B23" s="139" t="s">
        <v>655</v>
      </c>
      <c r="C23" s="140"/>
      <c r="D23" s="101">
        <f>IFERROR(VLOOKUP(C2,'F-196 Revenues'!$A$5:$N$319,7,0),0)</f>
        <v>0</v>
      </c>
      <c r="E23" s="101">
        <f>IFERROR(VLOOKUP(C2,'F-195 Revenues'!$A$5:$N$312,7,0),0)</f>
        <v>0</v>
      </c>
      <c r="F23" s="92"/>
      <c r="I23" s="15"/>
    </row>
    <row r="24" spans="1:11" ht="16.5">
      <c r="A24" s="12">
        <v>17</v>
      </c>
      <c r="B24" s="139" t="s">
        <v>656</v>
      </c>
      <c r="C24" s="140"/>
      <c r="D24" s="101">
        <f>IFERROR(VLOOKUP(C2,'F-196 Revenues'!$A$5:$N$319,8,0),0)</f>
        <v>0</v>
      </c>
      <c r="E24" s="101">
        <f>IFERROR(VLOOKUP(C2,'F-195 Revenues'!$A$5:$N$312,8,0),0)</f>
        <v>0</v>
      </c>
      <c r="F24" s="92"/>
      <c r="H24" s="16"/>
      <c r="I24" s="95"/>
    </row>
    <row r="25" spans="1:11" ht="16.5">
      <c r="A25" s="12">
        <v>18</v>
      </c>
      <c r="B25" s="139" t="s">
        <v>657</v>
      </c>
      <c r="C25" s="140"/>
      <c r="D25" s="101">
        <f>IFERROR(VLOOKUP(C2,'F-196 Revenues'!$A$5:$N$319,9,0),0)</f>
        <v>0</v>
      </c>
      <c r="E25" s="101">
        <f>IFERROR(VLOOKUP(C2,'F-195 Revenues'!$A$5:$N$312,9,0),0)</f>
        <v>0</v>
      </c>
      <c r="F25" s="92"/>
    </row>
    <row r="26" spans="1:11" ht="16.5">
      <c r="A26" s="12">
        <v>19</v>
      </c>
      <c r="B26" s="139" t="s">
        <v>659</v>
      </c>
      <c r="C26" s="140"/>
      <c r="D26" s="101">
        <f>IFERROR(D27+D28+D29+D30,0)</f>
        <v>0</v>
      </c>
      <c r="E26" s="101">
        <f>IFERROR(E27+E28+E29+E30,0)</f>
        <v>0</v>
      </c>
      <c r="F26" s="92"/>
    </row>
    <row r="27" spans="1:11" ht="16.5">
      <c r="A27" s="12" t="s">
        <v>1425</v>
      </c>
      <c r="B27" s="145" t="s">
        <v>660</v>
      </c>
      <c r="C27" s="146"/>
      <c r="D27" s="115">
        <f>IFERROR(VLOOKUP(C2,'Previous Year Allocations'!A5:D289,4,0),0)</f>
        <v>0</v>
      </c>
      <c r="E27" s="115">
        <f>IFERROR(VLOOKUP(C2,'Current Year Allocations'!A5:E285,5,0),0)</f>
        <v>0</v>
      </c>
      <c r="F27" s="92"/>
      <c r="I27" s="96"/>
    </row>
    <row r="28" spans="1:11" ht="16.5">
      <c r="A28" s="12" t="s">
        <v>1426</v>
      </c>
      <c r="B28" s="145" t="s">
        <v>658</v>
      </c>
      <c r="C28" s="146"/>
      <c r="D28" s="115">
        <f>IFERROR(VLOOKUP(C2,'Previous Year Carryover'!$A$5:$E$286,5,0),0)</f>
        <v>0</v>
      </c>
      <c r="E28" s="115">
        <f>IFERROR(VLOOKUP(C2,'Current Year Carryover'!A2:E280,5,0),0)</f>
        <v>0</v>
      </c>
      <c r="F28" s="92"/>
    </row>
    <row r="29" spans="1:11" ht="16.5">
      <c r="A29" s="12" t="s">
        <v>1427</v>
      </c>
      <c r="B29" s="145" t="s">
        <v>661</v>
      </c>
      <c r="C29" s="146"/>
      <c r="D29" s="101">
        <f>IFERROR(VLOOKUP(C2,'Previous Year Safety Net'!$A$4:$E$166,5,0),0)</f>
        <v>0</v>
      </c>
      <c r="E29" s="104"/>
      <c r="F29" s="92"/>
    </row>
    <row r="30" spans="1:11" ht="16.5">
      <c r="A30" s="12" t="s">
        <v>1428</v>
      </c>
      <c r="B30" s="109" t="s">
        <v>1423</v>
      </c>
      <c r="C30" s="106"/>
      <c r="D30" s="115">
        <v>0</v>
      </c>
      <c r="E30" s="101">
        <v>0</v>
      </c>
      <c r="F30" s="92"/>
    </row>
    <row r="31" spans="1:11" ht="16.5">
      <c r="A31" s="12">
        <v>20</v>
      </c>
      <c r="B31" s="139" t="s">
        <v>662</v>
      </c>
      <c r="C31" s="140"/>
      <c r="D31" s="101">
        <f>IFERROR(VLOOKUP(C2,'F-196 Revenues'!$A$5:$N$319,11,0),0)</f>
        <v>0</v>
      </c>
      <c r="E31" s="101">
        <f>IFERROR(VLOOKUP(C2,'F-195 Revenues'!$A$5:$N$312,11,0),0)</f>
        <v>0</v>
      </c>
      <c r="F31" s="92"/>
      <c r="G31" s="84"/>
    </row>
    <row r="32" spans="1:11" ht="16.5">
      <c r="A32" s="12">
        <v>21</v>
      </c>
      <c r="B32" s="139" t="s">
        <v>663</v>
      </c>
      <c r="C32" s="140"/>
      <c r="D32" s="101">
        <f>IFERROR(VLOOKUP(C2,'F-196 Revenues'!$A$5:$N$319,12,0),0)</f>
        <v>0</v>
      </c>
      <c r="E32" s="101">
        <f>IFERROR(VLOOKUP(C2,'F-195 Revenues'!$A$5:$N$312,12,0),0)</f>
        <v>0</v>
      </c>
      <c r="F32" s="92"/>
      <c r="G32" s="98"/>
    </row>
    <row r="33" spans="1:8" ht="16.5">
      <c r="A33" s="12">
        <v>22</v>
      </c>
      <c r="B33" s="139" t="s">
        <v>664</v>
      </c>
      <c r="C33" s="140"/>
      <c r="D33" s="101">
        <f>IFERROR(VLOOKUP(C2,'F-196 Revenues'!$A$5:$N$319,13,0),0)</f>
        <v>0</v>
      </c>
      <c r="E33" s="101">
        <f>IFERROR(VLOOKUP(C2,'F-195 Revenues'!$A$5:$N$312,13,0),0)</f>
        <v>0</v>
      </c>
      <c r="F33" s="92"/>
      <c r="G33" s="99"/>
    </row>
    <row r="34" spans="1:8" ht="16.5">
      <c r="A34" s="12">
        <v>23</v>
      </c>
      <c r="B34" s="139" t="s">
        <v>665</v>
      </c>
      <c r="C34" s="140"/>
      <c r="D34" s="101">
        <f>IFERROR(VLOOKUP(C2,'F-196 Revenues'!$A$5:$N$319,14,0),0)</f>
        <v>0</v>
      </c>
      <c r="E34" s="101">
        <f>IFERROR(VLOOKUP(C2,'F-195 Revenues'!$A$5:$N$312,14,0),0)</f>
        <v>0</v>
      </c>
      <c r="F34" s="92"/>
    </row>
    <row r="35" spans="1:8" ht="16.5">
      <c r="A35" s="12">
        <v>24</v>
      </c>
      <c r="B35" s="139" t="s">
        <v>666</v>
      </c>
      <c r="C35" s="140"/>
      <c r="D35" s="102"/>
      <c r="E35" s="102"/>
      <c r="F35" s="92"/>
    </row>
    <row r="36" spans="1:8" ht="16.5">
      <c r="A36" s="12">
        <v>25</v>
      </c>
      <c r="B36" s="139" t="s">
        <v>667</v>
      </c>
      <c r="C36" s="140"/>
      <c r="D36" s="102"/>
      <c r="E36" s="102"/>
      <c r="F36" s="92"/>
    </row>
    <row r="37" spans="1:8" ht="16.5">
      <c r="A37" s="12">
        <v>26</v>
      </c>
      <c r="B37" s="139" t="s">
        <v>668</v>
      </c>
      <c r="C37" s="140"/>
      <c r="D37" s="102"/>
      <c r="E37" s="102"/>
      <c r="F37" s="92"/>
    </row>
    <row r="38" spans="1:8" ht="16.5">
      <c r="A38" s="12">
        <v>27</v>
      </c>
      <c r="B38" s="139" t="s">
        <v>1467</v>
      </c>
      <c r="C38" s="140"/>
      <c r="D38" s="101">
        <f>IFERROR(D19+D20+D21+D22+D23+D24+D26+D25+D31+D32+D33+D34+D35+D36+D37,"")</f>
        <v>0</v>
      </c>
      <c r="E38" s="101">
        <f>IFERROR(E19+E20+E21+E22+E23+E24+E26+E25+E31+E32+E33+E34+E35+E36+E37,"")</f>
        <v>0</v>
      </c>
      <c r="F38" s="84"/>
    </row>
    <row r="39" spans="1:8" ht="16.5">
      <c r="A39" s="12">
        <v>28</v>
      </c>
      <c r="B39" s="139" t="s">
        <v>1468</v>
      </c>
      <c r="C39" s="140"/>
      <c r="D39" s="101">
        <f>IFERROR(D38-D17,"")</f>
        <v>0</v>
      </c>
      <c r="E39" s="101">
        <f>IFERROR(E38-E17,"")</f>
        <v>0</v>
      </c>
      <c r="F39" s="97"/>
    </row>
    <row r="40" spans="1:8" ht="16.5">
      <c r="A40" s="12">
        <v>29</v>
      </c>
      <c r="B40" s="139" t="s">
        <v>669</v>
      </c>
      <c r="C40" s="140"/>
      <c r="D40" s="101">
        <f>IF(D39&gt;0,0,-D39)</f>
        <v>0</v>
      </c>
      <c r="E40" s="101">
        <f>IF(E39&gt;0,0,-E39)</f>
        <v>0</v>
      </c>
      <c r="F40" s="97"/>
    </row>
    <row r="41" spans="1:8" ht="12.75">
      <c r="A41" s="1"/>
      <c r="B41" s="1"/>
      <c r="C41" s="1"/>
      <c r="D41" s="1"/>
      <c r="E41" s="1"/>
    </row>
    <row r="42" spans="1:8" ht="20.25">
      <c r="A42" s="154" t="s">
        <v>1417</v>
      </c>
      <c r="B42" s="155"/>
      <c r="C42" s="155"/>
      <c r="D42" s="155"/>
      <c r="E42" s="156"/>
      <c r="F42" s="1"/>
      <c r="G42" s="3"/>
      <c r="H42" s="4"/>
    </row>
    <row r="43" spans="1:8" ht="16.5">
      <c r="A43" s="107" t="s">
        <v>671</v>
      </c>
      <c r="B43" s="139" t="s">
        <v>1422</v>
      </c>
      <c r="C43" s="157"/>
      <c r="D43" s="140"/>
      <c r="E43" s="108"/>
      <c r="F43" s="1"/>
      <c r="G43" s="3"/>
      <c r="H43" s="4"/>
    </row>
    <row r="44" spans="1:8" ht="16.5">
      <c r="A44" s="65"/>
      <c r="B44" s="1"/>
      <c r="C44" s="1"/>
      <c r="D44" s="125" t="s">
        <v>1420</v>
      </c>
      <c r="E44" s="126" t="s">
        <v>1421</v>
      </c>
      <c r="F44" s="1"/>
      <c r="G44" s="3"/>
      <c r="H44" s="4"/>
    </row>
    <row r="45" spans="1:8" ht="16.5">
      <c r="A45" s="86" t="s">
        <v>672</v>
      </c>
      <c r="B45" s="152" t="s">
        <v>673</v>
      </c>
      <c r="C45" s="153"/>
      <c r="D45" s="89"/>
      <c r="E45" s="90" t="str">
        <f>IF(ISERROR(SUM((D45/$E$43)*12)=TRUE),"",(SUM((D45/$E$43)*12)))</f>
        <v/>
      </c>
      <c r="F45" s="1"/>
      <c r="G45" s="3"/>
      <c r="H45" s="4"/>
    </row>
    <row r="46" spans="1:8" ht="16.5">
      <c r="A46" s="86" t="s">
        <v>674</v>
      </c>
      <c r="B46" s="152" t="s">
        <v>676</v>
      </c>
      <c r="C46" s="153"/>
      <c r="D46" s="89"/>
      <c r="E46" s="90" t="str">
        <f>IF(ISERROR(SUM((D46/$E$43)*12)=TRUE),"",(SUM((D46/$E$43)*12)))</f>
        <v/>
      </c>
      <c r="F46" s="1"/>
      <c r="G46" s="3"/>
      <c r="H46" s="4"/>
    </row>
    <row r="47" spans="1:8" ht="16.5">
      <c r="A47" s="86" t="s">
        <v>675</v>
      </c>
      <c r="B47" s="152" t="s">
        <v>678</v>
      </c>
      <c r="C47" s="153"/>
      <c r="D47" s="89"/>
      <c r="E47" s="90" t="str">
        <f>IF(ISERROR(SUM((D47/$E$43)*12)=TRUE),"",(SUM((D47/$E$43)*12)))</f>
        <v/>
      </c>
      <c r="F47" s="1"/>
      <c r="G47" s="3"/>
      <c r="H47" s="4"/>
    </row>
    <row r="48" spans="1:8" ht="16.5">
      <c r="A48" s="86" t="s">
        <v>677</v>
      </c>
      <c r="B48" s="152" t="s">
        <v>1424</v>
      </c>
      <c r="C48" s="153"/>
      <c r="D48" s="89"/>
      <c r="E48" s="90" t="str">
        <f>IF(ISERROR(SUM((D48/$E$43)*12)=TRUE),"",(SUM((D48/$E$43)*12)))</f>
        <v/>
      </c>
      <c r="F48" s="1"/>
      <c r="G48" s="3"/>
      <c r="H48" s="4"/>
    </row>
    <row r="49" spans="1:8" ht="16.5">
      <c r="A49" s="86" t="s">
        <v>679</v>
      </c>
      <c r="B49" s="152" t="s">
        <v>1418</v>
      </c>
      <c r="C49" s="153"/>
      <c r="D49" s="85"/>
      <c r="E49" s="91">
        <f>SUM(E45:E48)</f>
        <v>0</v>
      </c>
      <c r="F49" s="9"/>
      <c r="G49" s="3"/>
      <c r="H49" s="4"/>
    </row>
    <row r="50" spans="1:8" ht="18.95" customHeight="1">
      <c r="D50" s="100"/>
      <c r="E50" s="100"/>
    </row>
    <row r="51" spans="1:8" ht="18.95" customHeight="1"/>
    <row r="52" spans="1:8" ht="18.95" customHeight="1"/>
  </sheetData>
  <customSheetViews>
    <customSheetView guid="{258DC0F9-B8C5-4A47-B911-FC6C1B128653}" scale="60" showPageBreaks="1" fitToPage="1" printArea="1" hiddenColumns="1">
      <selection activeCell="C49" sqref="C49"/>
      <pageMargins left="0" right="0" top="0" bottom="0" header="0" footer="0"/>
      <printOptions horizontalCentered="1"/>
      <pageSetup scale="47" orientation="portrait" cellComments="asDisplayed" r:id="rId1"/>
      <headerFooter scaleWithDoc="0">
        <oddFooter>&amp;L&amp;7FORM 1381-WORKSHEET A (Rev. 10/2013)&amp;R&amp;D</oddFooter>
      </headerFooter>
    </customSheetView>
    <customSheetView guid="{6D4FF6D6-C66D-4B43-9B4E-7985B86B1BBC}" scale="60" fitToPage="1" printArea="1" hiddenColumns="1">
      <selection activeCell="C7" sqref="C7"/>
      <pageMargins left="0" right="0" top="0" bottom="0" header="0" footer="0"/>
      <printOptions horizontalCentered="1"/>
      <pageSetup scale="60" orientation="portrait" cellComments="asDisplayed" r:id="rId2"/>
      <headerFooter scaleWithDoc="0">
        <oddFooter>&amp;L&amp;7FORM 1381-WORKSHEET A (Rev. 10/2013)&amp;R&amp;D</oddFooter>
      </headerFooter>
    </customSheetView>
    <customSheetView guid="{3391497B-85F4-4817-B669-10F463F3A207}" scale="60" fitToPage="1" hiddenColumns="1">
      <selection activeCell="C49" sqref="C49"/>
      <pageMargins left="0" right="0" top="0" bottom="0" header="0" footer="0"/>
      <printOptions horizontalCentered="1"/>
      <pageSetup scale="47" orientation="portrait" cellComments="asDisplayed" r:id="rId3"/>
      <headerFooter scaleWithDoc="0">
        <oddFooter>&amp;L&amp;7FORM 1381-WORKSHEET A (Rev. 10/2013)&amp;R&amp;D</oddFooter>
      </headerFooter>
    </customSheetView>
  </customSheetViews>
  <mergeCells count="42">
    <mergeCell ref="B48:C48"/>
    <mergeCell ref="B49:C49"/>
    <mergeCell ref="A42:E42"/>
    <mergeCell ref="B43:D43"/>
    <mergeCell ref="B45:C45"/>
    <mergeCell ref="B27:C27"/>
    <mergeCell ref="B28:C28"/>
    <mergeCell ref="B29:C29"/>
    <mergeCell ref="B46:C46"/>
    <mergeCell ref="B47:C47"/>
    <mergeCell ref="B22:C22"/>
    <mergeCell ref="B23:C23"/>
    <mergeCell ref="B24:C24"/>
    <mergeCell ref="B40:C40"/>
    <mergeCell ref="A5:E5"/>
    <mergeCell ref="B35:C35"/>
    <mergeCell ref="B36:C36"/>
    <mergeCell ref="B37:C37"/>
    <mergeCell ref="B38:C38"/>
    <mergeCell ref="B39:C39"/>
    <mergeCell ref="B31:C31"/>
    <mergeCell ref="B32:C32"/>
    <mergeCell ref="B33:C33"/>
    <mergeCell ref="B34:C34"/>
    <mergeCell ref="B25:C25"/>
    <mergeCell ref="B26:C26"/>
    <mergeCell ref="B17:C17"/>
    <mergeCell ref="A18:E18"/>
    <mergeCell ref="B19:C19"/>
    <mergeCell ref="B20:C20"/>
    <mergeCell ref="B21:C21"/>
    <mergeCell ref="B12:C12"/>
    <mergeCell ref="B13:C13"/>
    <mergeCell ref="B14:C14"/>
    <mergeCell ref="B15:C15"/>
    <mergeCell ref="B16:C16"/>
    <mergeCell ref="B11:C11"/>
    <mergeCell ref="A1:E1"/>
    <mergeCell ref="A7:E7"/>
    <mergeCell ref="B8:C8"/>
    <mergeCell ref="B9:C9"/>
    <mergeCell ref="B10:C10"/>
  </mergeCells>
  <pageMargins left="0.5" right="0.5" top="0.5" bottom="0.5" header="0.5" footer="0.5"/>
  <pageSetup scale="85" orientation="portrait" cellComments="asDisplayed" r:id="rId4"/>
  <headerFooter scaleWithDoc="0"/>
  <colBreaks count="1" manualBreakCount="1">
    <brk id="5" max="4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8B99D-6E74-4DF3-96CA-95564A4682EE}">
  <sheetPr>
    <tabColor rgb="FF002060"/>
  </sheetPr>
  <dimension ref="A1:AH120"/>
  <sheetViews>
    <sheetView workbookViewId="0">
      <selection activeCell="C2" sqref="C2"/>
    </sheetView>
  </sheetViews>
  <sheetFormatPr defaultRowHeight="14.25"/>
  <cols>
    <col min="1" max="1" width="7.140625" style="9" bestFit="1" customWidth="1"/>
    <col min="2" max="2" width="6.5703125" style="9" bestFit="1" customWidth="1"/>
    <col min="3" max="3" width="11.85546875" style="9" bestFit="1" customWidth="1"/>
    <col min="4" max="4" width="11.85546875" style="9" customWidth="1"/>
    <col min="5" max="5" width="11.7109375" style="9" customWidth="1"/>
    <col min="6" max="6" width="18" style="9" customWidth="1"/>
    <col min="7" max="7" width="21.5703125" style="9" bestFit="1" customWidth="1"/>
    <col min="8" max="9" width="4.85546875" style="9" customWidth="1"/>
    <col min="10" max="10" width="7.140625" style="9" bestFit="1" customWidth="1"/>
    <col min="11" max="11" width="6.5703125" style="9" bestFit="1" customWidth="1"/>
    <col min="12" max="12" width="12.28515625" style="9" bestFit="1" customWidth="1"/>
    <col min="13" max="13" width="10.5703125" style="9" customWidth="1"/>
    <col min="14" max="14" width="11.7109375" style="9" customWidth="1"/>
    <col min="15" max="15" width="19.42578125" style="9" customWidth="1"/>
    <col min="16" max="16" width="21.5703125" style="9" bestFit="1" customWidth="1"/>
    <col min="17" max="17" width="4.85546875" style="9" customWidth="1"/>
    <col min="18" max="18" width="7.140625" style="9" bestFit="1" customWidth="1"/>
    <col min="19" max="19" width="6.5703125" style="9" bestFit="1" customWidth="1"/>
    <col min="20" max="20" width="12.28515625" style="9" bestFit="1" customWidth="1"/>
    <col min="21" max="21" width="10.5703125" style="9" customWidth="1"/>
    <col min="22" max="22" width="11.7109375" style="9" customWidth="1"/>
    <col min="23" max="23" width="19.42578125" style="9" customWidth="1"/>
    <col min="24" max="24" width="21.5703125" style="9" bestFit="1" customWidth="1"/>
    <col min="25" max="25" width="4.85546875" style="9" customWidth="1"/>
    <col min="26" max="26" width="7.140625" style="9" bestFit="1" customWidth="1"/>
    <col min="27" max="27" width="6.5703125" style="9" bestFit="1" customWidth="1"/>
    <col min="28" max="28" width="12" style="9" bestFit="1" customWidth="1"/>
    <col min="29" max="29" width="10.5703125" style="9" customWidth="1"/>
    <col min="30" max="30" width="11.7109375" style="9" customWidth="1"/>
    <col min="31" max="31" width="19.42578125" style="9" customWidth="1"/>
    <col min="32" max="32" width="21.5703125" style="9" bestFit="1" customWidth="1"/>
    <col min="33" max="33" width="9.140625" style="9"/>
    <col min="34" max="34" width="0" style="9" hidden="1" customWidth="1"/>
    <col min="35" max="16384" width="9.140625" style="9"/>
  </cols>
  <sheetData>
    <row r="1" spans="1:34" ht="12.75" customHeight="1">
      <c r="A1" s="9" t="s">
        <v>680</v>
      </c>
      <c r="B1" s="21">
        <f>'2025–26 Worksheet A'!B6</f>
        <v>0</v>
      </c>
      <c r="C1" s="9" t="s">
        <v>5</v>
      </c>
      <c r="D1" s="166" t="str">
        <f>'2025–26 Worksheet A'!C3</f>
        <v/>
      </c>
      <c r="E1" s="166"/>
      <c r="F1" s="158" t="s">
        <v>682</v>
      </c>
      <c r="G1" s="158"/>
      <c r="H1" s="158"/>
      <c r="I1" s="158"/>
      <c r="J1" s="158"/>
      <c r="K1" s="158"/>
      <c r="L1" s="158"/>
      <c r="M1" s="158"/>
      <c r="N1" s="158"/>
      <c r="O1" s="158"/>
      <c r="P1" s="158"/>
      <c r="S1" s="21"/>
      <c r="AA1" s="21"/>
    </row>
    <row r="2" spans="1:34" ht="29.25" customHeight="1">
      <c r="B2" s="21"/>
      <c r="E2" s="22"/>
      <c r="F2" s="158"/>
      <c r="G2" s="158"/>
      <c r="H2" s="158"/>
      <c r="I2" s="158"/>
      <c r="J2" s="158"/>
      <c r="K2" s="158"/>
      <c r="L2" s="158"/>
      <c r="M2" s="158"/>
      <c r="N2" s="158"/>
      <c r="O2" s="158"/>
      <c r="P2" s="158"/>
      <c r="Q2" s="23"/>
      <c r="S2" s="21"/>
      <c r="V2" s="22"/>
      <c r="W2" s="22"/>
      <c r="X2" s="39"/>
      <c r="AA2" s="21"/>
      <c r="AD2" s="22"/>
      <c r="AE2" s="22"/>
      <c r="AF2" s="39"/>
    </row>
    <row r="3" spans="1:34">
      <c r="A3" s="22" t="s">
        <v>683</v>
      </c>
      <c r="B3" s="162" t="s">
        <v>684</v>
      </c>
      <c r="C3" s="162"/>
      <c r="D3" s="23">
        <f>IF(B3="September",1,IF(B3="October",2,IF(B3="November",3,IF(B3="December",4,IF(B3="January",5,IF(B3="February",6,IF(B3="March",7,IF(B3="April",8,IF(B3="May",9,IF(B3="June",10,IF(B3="July",11," ")))))))))))</f>
        <v>6</v>
      </c>
      <c r="E3" s="22"/>
      <c r="F3" s="22"/>
      <c r="G3" s="39"/>
      <c r="H3" s="23"/>
      <c r="I3" s="23"/>
      <c r="J3" s="22"/>
      <c r="K3" s="40"/>
      <c r="L3" s="40"/>
      <c r="M3" s="23"/>
      <c r="N3" s="22"/>
      <c r="O3" s="22"/>
      <c r="P3" s="39"/>
      <c r="Q3" s="23"/>
      <c r="R3" s="22"/>
      <c r="S3" s="40"/>
      <c r="T3" s="40"/>
      <c r="U3" s="23"/>
      <c r="V3" s="22"/>
      <c r="W3" s="22"/>
      <c r="X3" s="39"/>
      <c r="Z3" s="22"/>
      <c r="AA3" s="40"/>
      <c r="AB3" s="40"/>
      <c r="AC3" s="23"/>
      <c r="AD3" s="22"/>
      <c r="AE3" s="22"/>
      <c r="AF3" s="39"/>
    </row>
    <row r="4" spans="1:34">
      <c r="A4" s="159" t="s">
        <v>685</v>
      </c>
      <c r="B4" s="160"/>
      <c r="C4" s="160"/>
      <c r="D4" s="160"/>
      <c r="E4" s="160"/>
      <c r="F4" s="160"/>
      <c r="G4" s="161"/>
      <c r="J4" s="159" t="s">
        <v>686</v>
      </c>
      <c r="K4" s="160"/>
      <c r="L4" s="160"/>
      <c r="M4" s="160"/>
      <c r="N4" s="160"/>
      <c r="O4" s="160"/>
      <c r="P4" s="161"/>
      <c r="R4" s="159" t="s">
        <v>687</v>
      </c>
      <c r="S4" s="160"/>
      <c r="T4" s="160"/>
      <c r="U4" s="160"/>
      <c r="V4" s="160"/>
      <c r="W4" s="160"/>
      <c r="X4" s="161"/>
      <c r="Z4" s="159" t="s">
        <v>688</v>
      </c>
      <c r="AA4" s="160"/>
      <c r="AB4" s="160"/>
      <c r="AC4" s="160"/>
      <c r="AD4" s="160"/>
      <c r="AE4" s="160"/>
      <c r="AF4" s="161"/>
      <c r="AH4" s="9" t="s">
        <v>1455</v>
      </c>
    </row>
    <row r="5" spans="1:34" ht="28.5">
      <c r="A5" s="24" t="s">
        <v>689</v>
      </c>
      <c r="B5" s="25" t="s">
        <v>690</v>
      </c>
      <c r="C5" s="41" t="s">
        <v>691</v>
      </c>
      <c r="D5" s="42" t="s">
        <v>692</v>
      </c>
      <c r="E5" s="43" t="s">
        <v>693</v>
      </c>
      <c r="F5" s="43" t="s">
        <v>694</v>
      </c>
      <c r="G5" s="54" t="s">
        <v>695</v>
      </c>
      <c r="J5" s="24" t="s">
        <v>689</v>
      </c>
      <c r="K5" s="25" t="s">
        <v>690</v>
      </c>
      <c r="L5" s="41" t="s">
        <v>691</v>
      </c>
      <c r="M5" s="42" t="s">
        <v>692</v>
      </c>
      <c r="N5" s="43" t="s">
        <v>693</v>
      </c>
      <c r="O5" s="43" t="s">
        <v>694</v>
      </c>
      <c r="P5" s="26" t="s">
        <v>695</v>
      </c>
      <c r="R5" s="24" t="s">
        <v>689</v>
      </c>
      <c r="S5" s="25" t="s">
        <v>690</v>
      </c>
      <c r="T5" s="41" t="s">
        <v>691</v>
      </c>
      <c r="U5" s="42" t="s">
        <v>692</v>
      </c>
      <c r="V5" s="43" t="s">
        <v>693</v>
      </c>
      <c r="W5" s="43" t="s">
        <v>694</v>
      </c>
      <c r="X5" s="26" t="s">
        <v>695</v>
      </c>
      <c r="Z5" s="24" t="s">
        <v>689</v>
      </c>
      <c r="AA5" s="25" t="s">
        <v>690</v>
      </c>
      <c r="AB5" s="41" t="s">
        <v>691</v>
      </c>
      <c r="AC5" s="42" t="s">
        <v>692</v>
      </c>
      <c r="AD5" s="43" t="s">
        <v>693</v>
      </c>
      <c r="AE5" s="43" t="s">
        <v>694</v>
      </c>
      <c r="AF5" s="26" t="s">
        <v>695</v>
      </c>
      <c r="AH5" s="9" t="s">
        <v>1456</v>
      </c>
    </row>
    <row r="6" spans="1:34">
      <c r="A6" s="163">
        <v>21</v>
      </c>
      <c r="B6" s="27">
        <v>0</v>
      </c>
      <c r="C6" s="28">
        <f>IFERROR(GETPIVOTDATA("Amount",'F-195 ExpendPivot'!$A$5:$K$2039,"CCDDD",'2025–26 Worksheet A'!$C$2,"Program","21","Activity","21","Object","0"),0)</f>
        <v>0</v>
      </c>
      <c r="D6" s="44">
        <v>0</v>
      </c>
      <c r="E6" s="28">
        <f t="shared" ref="E6:E13" si="0">D6/$D$3*12</f>
        <v>0</v>
      </c>
      <c r="F6" s="29">
        <f>IFERROR((E6-C6)/C6,0)</f>
        <v>0</v>
      </c>
      <c r="G6" s="30"/>
      <c r="J6" s="163">
        <v>21</v>
      </c>
      <c r="K6" s="27">
        <v>0</v>
      </c>
      <c r="L6" s="28">
        <f>IFERROR(GETPIVOTDATA("Amount",'F-195 ExpendPivot'!$A$5:$K$2039,"CCDDD",'2025–26 Worksheet A'!$C$2,"Program","24","Activity","21","Object","0"),0)</f>
        <v>0</v>
      </c>
      <c r="M6" s="44">
        <v>0</v>
      </c>
      <c r="N6" s="28">
        <f t="shared" ref="N6:N13" si="1">M6/$D$3*12</f>
        <v>0</v>
      </c>
      <c r="O6" s="29">
        <f>IFERROR((N6-L6)/L6,0)</f>
        <v>0</v>
      </c>
      <c r="P6" s="30"/>
      <c r="R6" s="163">
        <v>21</v>
      </c>
      <c r="S6" s="27">
        <v>0</v>
      </c>
      <c r="T6" s="28">
        <f>IFERROR(GETPIVOTDATA("Amount",'F-195 ExpendPivot'!$A$5:$K$2039,"CCDDD",'2025–26 Worksheet A'!$C$2,"Program","26","Activity","21","Object","0"),0)</f>
        <v>0</v>
      </c>
      <c r="U6" s="44">
        <v>0</v>
      </c>
      <c r="V6" s="28">
        <f t="shared" ref="V6:V13" si="2">U6/$D$3*12</f>
        <v>0</v>
      </c>
      <c r="W6" s="29">
        <f>IFERROR((V6-T6)/T6,0)</f>
        <v>0</v>
      </c>
      <c r="X6" s="30"/>
      <c r="Z6" s="163">
        <v>21</v>
      </c>
      <c r="AA6" s="27">
        <v>0</v>
      </c>
      <c r="AB6" s="28">
        <f>IFERROR(GETPIVOTDATA("Amount",'F-195 ExpendPivot'!$A$5:$K$2039,"CCDDD",'2025–26 Worksheet A'!$C$2,"Program","29","Activity","21","Object","0"),0)</f>
        <v>0</v>
      </c>
      <c r="AC6" s="44">
        <v>0</v>
      </c>
      <c r="AD6" s="28">
        <f t="shared" ref="AD6:AD13" si="3">AC6/$D$3*12</f>
        <v>0</v>
      </c>
      <c r="AE6" s="29">
        <f>IFERROR((AD6-AB6)/AB6,0)</f>
        <v>0</v>
      </c>
      <c r="AF6" s="30"/>
      <c r="AH6" s="9" t="s">
        <v>1457</v>
      </c>
    </row>
    <row r="7" spans="1:34">
      <c r="A7" s="164"/>
      <c r="B7" s="22">
        <v>2</v>
      </c>
      <c r="C7" s="31">
        <f>IFERROR(GETPIVOTDATA("Amount",'F-195 ExpendPivot'!$A$5:$K$2039,"CCDDD",'2025–26 Worksheet A'!$C$2,"Program","21","Activity","21","Object","2"),0)</f>
        <v>0</v>
      </c>
      <c r="D7" s="45">
        <v>0</v>
      </c>
      <c r="E7" s="31">
        <f t="shared" si="0"/>
        <v>0</v>
      </c>
      <c r="F7" s="32">
        <f t="shared" ref="F7:F70" si="4">IFERROR((E7-C7)/C7,0)</f>
        <v>0</v>
      </c>
      <c r="G7" s="26"/>
      <c r="J7" s="164"/>
      <c r="K7" s="22">
        <v>2</v>
      </c>
      <c r="L7" s="31">
        <f>IFERROR(GETPIVOTDATA("Amount",'F-195 ExpendPivot'!$A$5:$K$2039,"CCDDD",'2025–26 Worksheet A'!$C$2,"Program","24","Activity","21","Object","2"),0)</f>
        <v>0</v>
      </c>
      <c r="M7" s="45">
        <v>0</v>
      </c>
      <c r="N7" s="31">
        <f t="shared" si="1"/>
        <v>0</v>
      </c>
      <c r="O7" s="32">
        <f t="shared" ref="O7:O70" si="5">IFERROR((N7-L7)/L7,0)</f>
        <v>0</v>
      </c>
      <c r="P7" s="26"/>
      <c r="R7" s="164"/>
      <c r="S7" s="22">
        <v>2</v>
      </c>
      <c r="T7" s="31">
        <f>IFERROR(GETPIVOTDATA("Amount",'F-195 ExpendPivot'!$A$5:$K$2039,"CCDDD",'2025–26 Worksheet A'!$C$2,"Program","26","Activity","21","Object","2"),0)</f>
        <v>0</v>
      </c>
      <c r="U7" s="45">
        <v>0</v>
      </c>
      <c r="V7" s="31">
        <f t="shared" si="2"/>
        <v>0</v>
      </c>
      <c r="W7" s="32">
        <f t="shared" ref="W7:W70" si="6">IFERROR((V7-T7)/T7,0)</f>
        <v>0</v>
      </c>
      <c r="X7" s="26"/>
      <c r="Z7" s="164"/>
      <c r="AA7" s="22">
        <v>2</v>
      </c>
      <c r="AB7" s="31">
        <f>IFERROR(GETPIVOTDATA("Amount",'F-195 ExpendPivot'!$A$5:$K$2039,"CCDDD",'2025–26 Worksheet A'!$C$2,"Program","29","Activity","21","Object","2"),0)</f>
        <v>0</v>
      </c>
      <c r="AC7" s="45">
        <v>0</v>
      </c>
      <c r="AD7" s="31">
        <f t="shared" si="3"/>
        <v>0</v>
      </c>
      <c r="AE7" s="32">
        <f t="shared" ref="AE7:AE70" si="7">IFERROR((AD7-AB7)/AB7,0)</f>
        <v>0</v>
      </c>
      <c r="AF7" s="26"/>
      <c r="AH7" s="9" t="s">
        <v>1458</v>
      </c>
    </row>
    <row r="8" spans="1:34">
      <c r="A8" s="164"/>
      <c r="B8" s="22">
        <v>3</v>
      </c>
      <c r="C8" s="31">
        <f>IFERROR(GETPIVOTDATA("Amount",'F-195 ExpendPivot'!$A$5:$K$2039,"CCDDD",'2025–26 Worksheet A'!$C$2,"Program","21","Activity","21","Object","3"),0)</f>
        <v>0</v>
      </c>
      <c r="D8" s="45">
        <v>0</v>
      </c>
      <c r="E8" s="31">
        <f t="shared" si="0"/>
        <v>0</v>
      </c>
      <c r="F8" s="32">
        <f t="shared" si="4"/>
        <v>0</v>
      </c>
      <c r="G8" s="26"/>
      <c r="J8" s="164"/>
      <c r="K8" s="22">
        <v>3</v>
      </c>
      <c r="L8" s="31">
        <f>IFERROR(GETPIVOTDATA("Amount",'F-195 ExpendPivot'!$A$5:$K$2039,"CCDDD",'2025–26 Worksheet A'!$C$2,"Program","24","Activity","21","Object","3"),0)</f>
        <v>0</v>
      </c>
      <c r="M8" s="45">
        <v>0</v>
      </c>
      <c r="N8" s="31">
        <f t="shared" si="1"/>
        <v>0</v>
      </c>
      <c r="O8" s="32">
        <f t="shared" si="5"/>
        <v>0</v>
      </c>
      <c r="P8" s="26"/>
      <c r="R8" s="164"/>
      <c r="S8" s="22">
        <v>3</v>
      </c>
      <c r="T8" s="31">
        <f>IFERROR(GETPIVOTDATA("Amount",'F-195 ExpendPivot'!$A$5:$K$2039,"CCDDD",'2025–26 Worksheet A'!$C$2,"Program","26","Activity","21","Object","3"),0)</f>
        <v>0</v>
      </c>
      <c r="U8" s="45">
        <v>0</v>
      </c>
      <c r="V8" s="31">
        <f t="shared" si="2"/>
        <v>0</v>
      </c>
      <c r="W8" s="32">
        <f t="shared" si="6"/>
        <v>0</v>
      </c>
      <c r="X8" s="26"/>
      <c r="Z8" s="164"/>
      <c r="AA8" s="22">
        <v>3</v>
      </c>
      <c r="AB8" s="31">
        <f>IFERROR(GETPIVOTDATA("Amount",'F-195 ExpendPivot'!$A$5:$K$2039,"CCDDD",'2025–26 Worksheet A'!$C$2,"Program","29","Activity","21","Object","3"),0)</f>
        <v>0</v>
      </c>
      <c r="AC8" s="45">
        <v>0</v>
      </c>
      <c r="AD8" s="31">
        <f t="shared" si="3"/>
        <v>0</v>
      </c>
      <c r="AE8" s="32">
        <f t="shared" si="7"/>
        <v>0</v>
      </c>
      <c r="AF8" s="26"/>
      <c r="AH8" s="9" t="s">
        <v>1459</v>
      </c>
    </row>
    <row r="9" spans="1:34">
      <c r="A9" s="164"/>
      <c r="B9" s="22">
        <v>4</v>
      </c>
      <c r="C9" s="31">
        <f>IFERROR(GETPIVOTDATA("Amount",'F-195 ExpendPivot'!$A$5:$K$2039,"CCDDD",'2025–26 Worksheet A'!$C$2,"Program","21","Activity","21","Object","4"),0)</f>
        <v>0</v>
      </c>
      <c r="D9" s="45">
        <v>0</v>
      </c>
      <c r="E9" s="31">
        <f t="shared" si="0"/>
        <v>0</v>
      </c>
      <c r="F9" s="32">
        <f t="shared" si="4"/>
        <v>0</v>
      </c>
      <c r="G9" s="26"/>
      <c r="J9" s="164"/>
      <c r="K9" s="22">
        <v>4</v>
      </c>
      <c r="L9" s="31">
        <f>IFERROR(GETPIVOTDATA("Amount",'F-195 ExpendPivot'!$A$5:$K$2039,"CCDDD",'2025–26 Worksheet A'!$C$2,"Program","24","Activity","21","Object","4"),0)</f>
        <v>0</v>
      </c>
      <c r="M9" s="45">
        <v>0</v>
      </c>
      <c r="N9" s="31">
        <f t="shared" si="1"/>
        <v>0</v>
      </c>
      <c r="O9" s="32">
        <f t="shared" si="5"/>
        <v>0</v>
      </c>
      <c r="P9" s="26"/>
      <c r="R9" s="164"/>
      <c r="S9" s="22">
        <v>4</v>
      </c>
      <c r="T9" s="31">
        <f>IFERROR(GETPIVOTDATA("Amount",'F-195 ExpendPivot'!$A$5:$K$2039,"CCDDD",'2025–26 Worksheet A'!$C$2,"Program","26","Activity","21","Object","4"),0)</f>
        <v>0</v>
      </c>
      <c r="U9" s="45">
        <v>0</v>
      </c>
      <c r="V9" s="31">
        <f t="shared" si="2"/>
        <v>0</v>
      </c>
      <c r="W9" s="32">
        <f t="shared" si="6"/>
        <v>0</v>
      </c>
      <c r="X9" s="26"/>
      <c r="Z9" s="164"/>
      <c r="AA9" s="22">
        <v>4</v>
      </c>
      <c r="AB9" s="31">
        <f>IFERROR(GETPIVOTDATA("Amount",'F-195 ExpendPivot'!$A$5:$K$2039,"CCDDD",'2025–26 Worksheet A'!$C$2,"Program","29","Activity","21","Object","4"),0)</f>
        <v>0</v>
      </c>
      <c r="AC9" s="45">
        <v>0</v>
      </c>
      <c r="AD9" s="31">
        <f t="shared" si="3"/>
        <v>0</v>
      </c>
      <c r="AE9" s="32">
        <f t="shared" si="7"/>
        <v>0</v>
      </c>
      <c r="AF9" s="26"/>
      <c r="AH9" s="9" t="s">
        <v>684</v>
      </c>
    </row>
    <row r="10" spans="1:34">
      <c r="A10" s="164"/>
      <c r="B10" s="22">
        <v>5</v>
      </c>
      <c r="C10" s="31">
        <f>IFERROR(GETPIVOTDATA("Amount",'F-195 ExpendPivot'!$A$5:$K$2039,"CCDDD",'2025–26 Worksheet A'!$C$2,"Program","21","Activity","21","Object","5"),0)</f>
        <v>0</v>
      </c>
      <c r="D10" s="45">
        <v>0</v>
      </c>
      <c r="E10" s="31">
        <f t="shared" si="0"/>
        <v>0</v>
      </c>
      <c r="F10" s="32">
        <f t="shared" si="4"/>
        <v>0</v>
      </c>
      <c r="G10" s="26"/>
      <c r="J10" s="164"/>
      <c r="K10" s="22">
        <v>5</v>
      </c>
      <c r="L10" s="31">
        <f>IFERROR(GETPIVOTDATA("Amount",'F-195 ExpendPivot'!$A$5:$K$2039,"CCDDD",'2025–26 Worksheet A'!$C$2,"Program","24","Activity","21","Object","5"),0)</f>
        <v>0</v>
      </c>
      <c r="M10" s="45">
        <v>0</v>
      </c>
      <c r="N10" s="31">
        <f t="shared" si="1"/>
        <v>0</v>
      </c>
      <c r="O10" s="32">
        <f t="shared" si="5"/>
        <v>0</v>
      </c>
      <c r="P10" s="26"/>
      <c r="R10" s="164"/>
      <c r="S10" s="22">
        <v>5</v>
      </c>
      <c r="T10" s="31">
        <f>IFERROR(GETPIVOTDATA("Amount",'F-195 ExpendPivot'!$A$5:$K$2039,"CCDDD",'2025–26 Worksheet A'!$C$2,"Program","26","Activity","21","Object","5"),0)</f>
        <v>0</v>
      </c>
      <c r="U10" s="45">
        <v>0</v>
      </c>
      <c r="V10" s="31">
        <f t="shared" si="2"/>
        <v>0</v>
      </c>
      <c r="W10" s="32">
        <f t="shared" si="6"/>
        <v>0</v>
      </c>
      <c r="X10" s="26"/>
      <c r="Z10" s="164"/>
      <c r="AA10" s="22">
        <v>5</v>
      </c>
      <c r="AB10" s="31">
        <f>IFERROR(GETPIVOTDATA("Amount",'F-195 ExpendPivot'!$A$5:$K$2039,"CCDDD",'2025–26 Worksheet A'!$C$2,"Program","29","Activity","21","Object","5"),0)</f>
        <v>0</v>
      </c>
      <c r="AC10" s="45">
        <v>0</v>
      </c>
      <c r="AD10" s="31">
        <f t="shared" si="3"/>
        <v>0</v>
      </c>
      <c r="AE10" s="32">
        <f t="shared" si="7"/>
        <v>0</v>
      </c>
      <c r="AF10" s="26"/>
      <c r="AH10" s="9" t="s">
        <v>1460</v>
      </c>
    </row>
    <row r="11" spans="1:34">
      <c r="A11" s="164"/>
      <c r="B11" s="22">
        <v>7</v>
      </c>
      <c r="C11" s="31">
        <f>IFERROR(GETPIVOTDATA("Amount",'F-195 ExpendPivot'!$A$5:$K$2039,"CCDDD",'2025–26 Worksheet A'!$C$2,"Program","21","Activity","21","Object","7"),0)</f>
        <v>0</v>
      </c>
      <c r="D11" s="45">
        <v>0</v>
      </c>
      <c r="E11" s="31">
        <f t="shared" si="0"/>
        <v>0</v>
      </c>
      <c r="F11" s="32">
        <f t="shared" si="4"/>
        <v>0</v>
      </c>
      <c r="G11" s="26"/>
      <c r="J11" s="164"/>
      <c r="K11" s="22">
        <v>7</v>
      </c>
      <c r="L11" s="31">
        <f>IFERROR(GETPIVOTDATA("Amount",'F-195 ExpendPivot'!$A$5:$K$2039,"CCDDD",'2025–26 Worksheet A'!$C$2,"Program","24","Activity","21","Object","7"),0)</f>
        <v>0</v>
      </c>
      <c r="M11" s="45">
        <v>0</v>
      </c>
      <c r="N11" s="31">
        <f t="shared" si="1"/>
        <v>0</v>
      </c>
      <c r="O11" s="32">
        <f t="shared" si="5"/>
        <v>0</v>
      </c>
      <c r="P11" s="26"/>
      <c r="R11" s="164"/>
      <c r="S11" s="22">
        <v>7</v>
      </c>
      <c r="T11" s="31">
        <f>IFERROR(GETPIVOTDATA("Amount",'F-195 ExpendPivot'!$A$5:$K$2039,"CCDDD",'2025–26 Worksheet A'!$C$2,"Program","26","Activity","21","Object","7"),0)</f>
        <v>0</v>
      </c>
      <c r="U11" s="45">
        <v>0</v>
      </c>
      <c r="V11" s="31">
        <f t="shared" si="2"/>
        <v>0</v>
      </c>
      <c r="W11" s="32">
        <f t="shared" si="6"/>
        <v>0</v>
      </c>
      <c r="X11" s="26"/>
      <c r="Z11" s="164"/>
      <c r="AA11" s="22">
        <v>7</v>
      </c>
      <c r="AB11" s="31">
        <f>IFERROR(GETPIVOTDATA("Amount",'F-195 ExpendPivot'!$A$5:$K$2039,"CCDDD",'2025–26 Worksheet A'!$C$2,"Program","29","Activity","21","Object","7"),0)</f>
        <v>0</v>
      </c>
      <c r="AC11" s="45">
        <v>0</v>
      </c>
      <c r="AD11" s="31">
        <f t="shared" si="3"/>
        <v>0</v>
      </c>
      <c r="AE11" s="32">
        <f t="shared" si="7"/>
        <v>0</v>
      </c>
      <c r="AF11" s="26"/>
      <c r="AH11" s="9" t="s">
        <v>1461</v>
      </c>
    </row>
    <row r="12" spans="1:34">
      <c r="A12" s="164"/>
      <c r="B12" s="22">
        <v>8</v>
      </c>
      <c r="C12" s="31">
        <f>IFERROR(GETPIVOTDATA("Amount",'F-195 ExpendPivot'!$A$5:$K$2039,"CCDDD",'2025–26 Worksheet A'!$C$2,"Program","21","Activity","21","Object","8"),0)</f>
        <v>0</v>
      </c>
      <c r="D12" s="45">
        <v>0</v>
      </c>
      <c r="E12" s="31">
        <f t="shared" si="0"/>
        <v>0</v>
      </c>
      <c r="F12" s="32">
        <f t="shared" si="4"/>
        <v>0</v>
      </c>
      <c r="G12" s="26"/>
      <c r="J12" s="164"/>
      <c r="K12" s="22">
        <v>8</v>
      </c>
      <c r="L12" s="31">
        <f>IFERROR(GETPIVOTDATA("Amount",'F-195 ExpendPivot'!$A$5:$K$2039,"CCDDD",'2025–26 Worksheet A'!$C$2,"Program","24","Activity","21","Object","8"),0)</f>
        <v>0</v>
      </c>
      <c r="M12" s="45">
        <v>0</v>
      </c>
      <c r="N12" s="31">
        <f t="shared" si="1"/>
        <v>0</v>
      </c>
      <c r="O12" s="32">
        <f t="shared" si="5"/>
        <v>0</v>
      </c>
      <c r="P12" s="26"/>
      <c r="R12" s="164"/>
      <c r="S12" s="22">
        <v>8</v>
      </c>
      <c r="T12" s="31">
        <f>IFERROR(GETPIVOTDATA("Amount",'F-195 ExpendPivot'!$A$5:$K$2039,"CCDDD",'2025–26 Worksheet A'!$C$2,"Program","26","Activity","21","Object","8"),0)</f>
        <v>0</v>
      </c>
      <c r="U12" s="45">
        <v>0</v>
      </c>
      <c r="V12" s="31">
        <f t="shared" si="2"/>
        <v>0</v>
      </c>
      <c r="W12" s="32">
        <f t="shared" si="6"/>
        <v>0</v>
      </c>
      <c r="X12" s="26"/>
      <c r="Z12" s="164"/>
      <c r="AA12" s="22">
        <v>8</v>
      </c>
      <c r="AB12" s="31">
        <f>IFERROR(GETPIVOTDATA("Amount",'F-195 ExpendPivot'!$A$5:$K$2039,"CCDDD",'2025–26 Worksheet A'!$C$2,"Program","29","Activity","21","Object","8"),0)</f>
        <v>0</v>
      </c>
      <c r="AC12" s="45">
        <v>0</v>
      </c>
      <c r="AD12" s="31">
        <f t="shared" si="3"/>
        <v>0</v>
      </c>
      <c r="AE12" s="32">
        <f t="shared" si="7"/>
        <v>0</v>
      </c>
      <c r="AF12" s="26"/>
      <c r="AH12" s="9" t="s">
        <v>1462</v>
      </c>
    </row>
    <row r="13" spans="1:34">
      <c r="A13" s="164"/>
      <c r="B13" s="22">
        <v>9</v>
      </c>
      <c r="C13" s="31">
        <f>IFERROR(GETPIVOTDATA("Amount",'F-195 ExpendPivot'!$A$5:$K$2039,"CCDDD",'2025–26 Worksheet A'!$C$2,"Program","21","Activity","21","Object","9"),0)</f>
        <v>0</v>
      </c>
      <c r="D13" s="45">
        <v>0</v>
      </c>
      <c r="E13" s="31">
        <f t="shared" si="0"/>
        <v>0</v>
      </c>
      <c r="F13" s="32">
        <f t="shared" si="4"/>
        <v>0</v>
      </c>
      <c r="G13" s="26"/>
      <c r="J13" s="164"/>
      <c r="K13" s="22">
        <v>9</v>
      </c>
      <c r="L13" s="31">
        <f>IFERROR(GETPIVOTDATA("Amount",'F-195 ExpendPivot'!$A$5:$K$2039,"CCDDD",'2025–26 Worksheet A'!$C$2,"Program","24","Activity","21","Object","9"),0)</f>
        <v>0</v>
      </c>
      <c r="M13" s="45">
        <v>0</v>
      </c>
      <c r="N13" s="31">
        <f t="shared" si="1"/>
        <v>0</v>
      </c>
      <c r="O13" s="32">
        <f t="shared" si="5"/>
        <v>0</v>
      </c>
      <c r="P13" s="26"/>
      <c r="R13" s="164"/>
      <c r="S13" s="22">
        <v>9</v>
      </c>
      <c r="T13" s="31">
        <f>IFERROR(GETPIVOTDATA("Amount",'F-195 ExpendPivot'!$A$5:$K$2039,"CCDDD",'2025–26 Worksheet A'!$C$2,"Program","26","Activity","21","Object","9"),0)</f>
        <v>0</v>
      </c>
      <c r="U13" s="45">
        <v>0</v>
      </c>
      <c r="V13" s="31">
        <f t="shared" si="2"/>
        <v>0</v>
      </c>
      <c r="W13" s="32">
        <f t="shared" si="6"/>
        <v>0</v>
      </c>
      <c r="X13" s="26"/>
      <c r="Z13" s="164"/>
      <c r="AA13" s="22">
        <v>9</v>
      </c>
      <c r="AB13" s="31">
        <f>IFERROR(GETPIVOTDATA("Amount",'F-195 ExpendPivot'!$A$5:$K$2039,"CCDDD",'2025–26 Worksheet A'!$C$2,"Program","29","Activity","21","Object","9"),0)</f>
        <v>0</v>
      </c>
      <c r="AC13" s="45">
        <v>0</v>
      </c>
      <c r="AD13" s="31">
        <f t="shared" si="3"/>
        <v>0</v>
      </c>
      <c r="AE13" s="32">
        <f t="shared" si="7"/>
        <v>0</v>
      </c>
      <c r="AF13" s="26"/>
      <c r="AH13" s="9" t="s">
        <v>1463</v>
      </c>
    </row>
    <row r="14" spans="1:34">
      <c r="A14" s="165"/>
      <c r="B14" s="40"/>
      <c r="C14" s="46">
        <f>SUM(C6:C13)</f>
        <v>0</v>
      </c>
      <c r="D14" s="46">
        <f>SUM(D6:D13)</f>
        <v>0</v>
      </c>
      <c r="E14" s="46">
        <f>SUM(E6:E13)</f>
        <v>0</v>
      </c>
      <c r="F14" s="47"/>
      <c r="G14" s="48"/>
      <c r="J14" s="165"/>
      <c r="K14" s="40"/>
      <c r="L14" s="46">
        <f>SUM(L6:L13)</f>
        <v>0</v>
      </c>
      <c r="M14" s="46">
        <f>SUM(M6:M13)</f>
        <v>0</v>
      </c>
      <c r="N14" s="46">
        <f>SUM(N6:N13)</f>
        <v>0</v>
      </c>
      <c r="O14" s="47"/>
      <c r="P14" s="48"/>
      <c r="R14" s="165"/>
      <c r="S14" s="40"/>
      <c r="T14" s="46">
        <f>SUM(T6:T13)</f>
        <v>0</v>
      </c>
      <c r="U14" s="46">
        <f>SUM(U6:U13)</f>
        <v>0</v>
      </c>
      <c r="V14" s="46">
        <f>SUM(V6:V13)</f>
        <v>0</v>
      </c>
      <c r="W14" s="47"/>
      <c r="X14" s="48"/>
      <c r="Z14" s="165"/>
      <c r="AA14" s="40"/>
      <c r="AB14" s="46">
        <f>SUM(AB6:AB13)</f>
        <v>0</v>
      </c>
      <c r="AC14" s="46">
        <f>SUM(AC6:AC13)</f>
        <v>0</v>
      </c>
      <c r="AD14" s="46">
        <f>SUM(AD6:AD13)</f>
        <v>0</v>
      </c>
      <c r="AE14" s="47"/>
      <c r="AF14" s="48"/>
      <c r="AH14" s="9" t="s">
        <v>1464</v>
      </c>
    </row>
    <row r="15" spans="1:34">
      <c r="A15" s="163">
        <v>22</v>
      </c>
      <c r="B15" s="27">
        <v>0</v>
      </c>
      <c r="C15" s="28">
        <f>IFERROR(GETPIVOTDATA("Amount",'F-195 ExpendPivot'!$A$5:$K$2039,"CCDDD",'2025–26 Worksheet A'!$C$2,"Program","21","Activity","22","Object","0"),0)</f>
        <v>0</v>
      </c>
      <c r="D15" s="44">
        <v>0</v>
      </c>
      <c r="E15" s="28">
        <f t="shared" ref="E15:E22" si="8">D15/$D$3*12</f>
        <v>0</v>
      </c>
      <c r="F15" s="29">
        <f>IFERROR((E15-C15)/C15,0)</f>
        <v>0</v>
      </c>
      <c r="G15" s="30"/>
      <c r="J15" s="163">
        <v>22</v>
      </c>
      <c r="K15" s="27">
        <v>0</v>
      </c>
      <c r="L15" s="28">
        <f>IFERROR(GETPIVOTDATA("Amount",'F-195 ExpendPivot'!$A$5:$K$2039,"CCDDD",'2025–26 Worksheet A'!$C$2,"Program","24","Activity","22","Object","0"),0)</f>
        <v>0</v>
      </c>
      <c r="M15" s="44">
        <v>0</v>
      </c>
      <c r="N15" s="28">
        <f t="shared" ref="N15:N22" si="9">M15/$D$3*12</f>
        <v>0</v>
      </c>
      <c r="O15" s="29">
        <f>IFERROR((N15-L15)/L15,0)</f>
        <v>0</v>
      </c>
      <c r="P15" s="30"/>
      <c r="R15" s="163">
        <v>22</v>
      </c>
      <c r="S15" s="27">
        <v>0</v>
      </c>
      <c r="T15" s="28">
        <f>IFERROR(GETPIVOTDATA("Amount",'F-195 ExpendPivot'!$A$5:$K$2039,"CCDDD",'2025–26 Worksheet A'!$C$2,"Program","26","Activity","22","Object","0"),0)</f>
        <v>0</v>
      </c>
      <c r="U15" s="44">
        <v>0</v>
      </c>
      <c r="V15" s="28">
        <f t="shared" ref="V15:V22" si="10">U15/$D$3*12</f>
        <v>0</v>
      </c>
      <c r="W15" s="29">
        <f>IFERROR((V15-T15)/T15,0)</f>
        <v>0</v>
      </c>
      <c r="X15" s="30"/>
      <c r="Z15" s="163">
        <v>22</v>
      </c>
      <c r="AA15" s="27">
        <v>0</v>
      </c>
      <c r="AB15" s="28">
        <f>IFERROR(GETPIVOTDATA("Amount",'F-195 ExpendPivot'!$A$5:$K$2039,"CCDDD",'2025–26 Worksheet A'!$C$2,"Program","29","Activity","22","Object","0"),0)</f>
        <v>0</v>
      </c>
      <c r="AC15" s="44">
        <v>0</v>
      </c>
      <c r="AD15" s="28">
        <f t="shared" ref="AD15:AD22" si="11">AC15/$D$3*12</f>
        <v>0</v>
      </c>
      <c r="AE15" s="29">
        <f>IFERROR((AD15-AB15)/AB15,0)</f>
        <v>0</v>
      </c>
      <c r="AF15" s="30"/>
      <c r="AH15" s="9" t="s">
        <v>1465</v>
      </c>
    </row>
    <row r="16" spans="1:34">
      <c r="A16" s="164"/>
      <c r="B16" s="22">
        <v>2</v>
      </c>
      <c r="C16" s="31">
        <f>IFERROR(GETPIVOTDATA("Amount",'F-195 ExpendPivot'!$A$5:$K$2039,"CCDDD",'2025–26 Worksheet A'!$C$2,"Program","21","Activity","22","Object","2"),0)</f>
        <v>0</v>
      </c>
      <c r="D16" s="45">
        <v>0</v>
      </c>
      <c r="E16" s="31">
        <f t="shared" si="8"/>
        <v>0</v>
      </c>
      <c r="F16" s="32">
        <f t="shared" si="4"/>
        <v>0</v>
      </c>
      <c r="G16" s="26"/>
      <c r="J16" s="164"/>
      <c r="K16" s="22">
        <v>2</v>
      </c>
      <c r="L16" s="31">
        <f>IFERROR(GETPIVOTDATA("Amount",'F-195 ExpendPivot'!$A$5:$K$2039,"CCDDD",'2025–26 Worksheet A'!$C$2,"Program","24","Activity","22","Object","2"),0)</f>
        <v>0</v>
      </c>
      <c r="M16" s="45">
        <v>0</v>
      </c>
      <c r="N16" s="31">
        <f t="shared" si="9"/>
        <v>0</v>
      </c>
      <c r="O16" s="32">
        <f t="shared" si="5"/>
        <v>0</v>
      </c>
      <c r="P16" s="26"/>
      <c r="R16" s="164"/>
      <c r="S16" s="22">
        <v>2</v>
      </c>
      <c r="T16" s="31">
        <f>IFERROR(GETPIVOTDATA("Amount",'F-195 ExpendPivot'!$A$5:$K$2039,"CCDDD",'2025–26 Worksheet A'!$C$2,"Program","26","Activity","22","Object","2"),0)</f>
        <v>0</v>
      </c>
      <c r="U16" s="45">
        <v>0</v>
      </c>
      <c r="V16" s="31">
        <f t="shared" si="10"/>
        <v>0</v>
      </c>
      <c r="W16" s="32">
        <f t="shared" si="6"/>
        <v>0</v>
      </c>
      <c r="X16" s="26"/>
      <c r="Z16" s="164"/>
      <c r="AA16" s="22">
        <v>2</v>
      </c>
      <c r="AB16" s="31">
        <f>IFERROR(GETPIVOTDATA("Amount",'F-195 ExpendPivot'!$A$5:$K$2039,"CCDDD",'2025–26 Worksheet A'!$C$2,"Program","29","Activity","22","Object","2"),0)</f>
        <v>0</v>
      </c>
      <c r="AC16" s="45">
        <v>0</v>
      </c>
      <c r="AD16" s="31">
        <f t="shared" si="11"/>
        <v>0</v>
      </c>
      <c r="AE16" s="32">
        <f t="shared" si="7"/>
        <v>0</v>
      </c>
      <c r="AF16" s="26"/>
    </row>
    <row r="17" spans="1:32">
      <c r="A17" s="164"/>
      <c r="B17" s="22">
        <v>3</v>
      </c>
      <c r="C17" s="31">
        <f>IFERROR(GETPIVOTDATA("Amount",'F-195 ExpendPivot'!$A$5:$K$2039,"CCDDD",'2025–26 Worksheet A'!$C$2,"Program","21","Activity","22","Object","3"),0)</f>
        <v>0</v>
      </c>
      <c r="D17" s="45">
        <v>0</v>
      </c>
      <c r="E17" s="31">
        <f t="shared" si="8"/>
        <v>0</v>
      </c>
      <c r="F17" s="32">
        <f t="shared" si="4"/>
        <v>0</v>
      </c>
      <c r="G17" s="26"/>
      <c r="J17" s="164"/>
      <c r="K17" s="22">
        <v>3</v>
      </c>
      <c r="L17" s="31">
        <f>IFERROR(GETPIVOTDATA("Amount",'F-195 ExpendPivot'!$A$5:$K$2039,"CCDDD",'2025–26 Worksheet A'!$C$2,"Program","24","Activity","22","Object","3"),0)</f>
        <v>0</v>
      </c>
      <c r="M17" s="45">
        <v>0</v>
      </c>
      <c r="N17" s="31">
        <f t="shared" si="9"/>
        <v>0</v>
      </c>
      <c r="O17" s="32">
        <f t="shared" si="5"/>
        <v>0</v>
      </c>
      <c r="P17" s="26"/>
      <c r="R17" s="164"/>
      <c r="S17" s="22">
        <v>3</v>
      </c>
      <c r="T17" s="31">
        <f>IFERROR(GETPIVOTDATA("Amount",'F-195 ExpendPivot'!$A$5:$K$2039,"CCDDD",'2025–26 Worksheet A'!$C$2,"Program","26","Activity","22","Object","3"),0)</f>
        <v>0</v>
      </c>
      <c r="U17" s="45">
        <v>0</v>
      </c>
      <c r="V17" s="31">
        <f t="shared" si="10"/>
        <v>0</v>
      </c>
      <c r="W17" s="32">
        <f t="shared" si="6"/>
        <v>0</v>
      </c>
      <c r="X17" s="26"/>
      <c r="Z17" s="164"/>
      <c r="AA17" s="22">
        <v>3</v>
      </c>
      <c r="AB17" s="31">
        <f>IFERROR(GETPIVOTDATA("Amount",'F-195 ExpendPivot'!$A$5:$K$2039,"CCDDD",'2025–26 Worksheet A'!$C$2,"Program","29","Activity","22","Object","3"),0)</f>
        <v>0</v>
      </c>
      <c r="AC17" s="45">
        <v>0</v>
      </c>
      <c r="AD17" s="31">
        <f t="shared" si="11"/>
        <v>0</v>
      </c>
      <c r="AE17" s="32">
        <f t="shared" si="7"/>
        <v>0</v>
      </c>
      <c r="AF17" s="26"/>
    </row>
    <row r="18" spans="1:32">
      <c r="A18" s="164"/>
      <c r="B18" s="22">
        <v>4</v>
      </c>
      <c r="C18" s="31">
        <f>IFERROR(GETPIVOTDATA("Amount",'F-195 ExpendPivot'!$A$5:$K$2039,"CCDDD",'2025–26 Worksheet A'!$C$2,"Program","21","Activity","22","Object","4"),0)</f>
        <v>0</v>
      </c>
      <c r="D18" s="45">
        <v>0</v>
      </c>
      <c r="E18" s="31">
        <f t="shared" si="8"/>
        <v>0</v>
      </c>
      <c r="F18" s="32">
        <f t="shared" si="4"/>
        <v>0</v>
      </c>
      <c r="G18" s="26"/>
      <c r="J18" s="164"/>
      <c r="K18" s="22">
        <v>4</v>
      </c>
      <c r="L18" s="31">
        <f>IFERROR(GETPIVOTDATA("Amount",'F-195 ExpendPivot'!$A$5:$K$2039,"CCDDD",'2025–26 Worksheet A'!$C$2,"Program","24","Activity","22","Object","4"),0)</f>
        <v>0</v>
      </c>
      <c r="M18" s="45">
        <v>0</v>
      </c>
      <c r="N18" s="31">
        <f t="shared" si="9"/>
        <v>0</v>
      </c>
      <c r="O18" s="32">
        <f t="shared" si="5"/>
        <v>0</v>
      </c>
      <c r="P18" s="26"/>
      <c r="R18" s="164"/>
      <c r="S18" s="22">
        <v>4</v>
      </c>
      <c r="T18" s="31">
        <f>IFERROR(GETPIVOTDATA("Amount",'F-195 ExpendPivot'!$A$5:$K$2039,"CCDDD",'2025–26 Worksheet A'!$C$2,"Program","26","Activity","22","Object","4"),0)</f>
        <v>0</v>
      </c>
      <c r="U18" s="45">
        <v>0</v>
      </c>
      <c r="V18" s="31">
        <f t="shared" si="10"/>
        <v>0</v>
      </c>
      <c r="W18" s="32">
        <f t="shared" si="6"/>
        <v>0</v>
      </c>
      <c r="X18" s="26"/>
      <c r="Z18" s="164"/>
      <c r="AA18" s="22">
        <v>4</v>
      </c>
      <c r="AB18" s="31">
        <f>IFERROR(GETPIVOTDATA("Amount",'F-195 ExpendPivot'!$A$5:$K$2039,"CCDDD",'2025–26 Worksheet A'!$C$2,"Program","29","Activity","22","Object","4"),0)</f>
        <v>0</v>
      </c>
      <c r="AC18" s="45">
        <v>0</v>
      </c>
      <c r="AD18" s="31">
        <f t="shared" si="11"/>
        <v>0</v>
      </c>
      <c r="AE18" s="32">
        <f t="shared" si="7"/>
        <v>0</v>
      </c>
      <c r="AF18" s="26"/>
    </row>
    <row r="19" spans="1:32">
      <c r="A19" s="164"/>
      <c r="B19" s="22">
        <v>5</v>
      </c>
      <c r="C19" s="31">
        <f>IFERROR(GETPIVOTDATA("Amount",'F-195 ExpendPivot'!$A$5:$K$2039,"CCDDD",'2025–26 Worksheet A'!$C$2,"Program","21","Activity","22","Object","5"),0)</f>
        <v>0</v>
      </c>
      <c r="D19" s="45">
        <v>0</v>
      </c>
      <c r="E19" s="31">
        <f t="shared" si="8"/>
        <v>0</v>
      </c>
      <c r="F19" s="32">
        <f t="shared" si="4"/>
        <v>0</v>
      </c>
      <c r="G19" s="26"/>
      <c r="J19" s="164"/>
      <c r="K19" s="22">
        <v>5</v>
      </c>
      <c r="L19" s="31">
        <f>IFERROR(GETPIVOTDATA("Amount",'F-195 ExpendPivot'!$A$5:$K$2039,"CCDDD",'2025–26 Worksheet A'!$C$2,"Program","24","Activity","22","Object","5"),0)</f>
        <v>0</v>
      </c>
      <c r="M19" s="45">
        <v>0</v>
      </c>
      <c r="N19" s="31">
        <f t="shared" si="9"/>
        <v>0</v>
      </c>
      <c r="O19" s="32">
        <f t="shared" si="5"/>
        <v>0</v>
      </c>
      <c r="P19" s="26"/>
      <c r="R19" s="164"/>
      <c r="S19" s="22">
        <v>5</v>
      </c>
      <c r="T19" s="31">
        <f>IFERROR(GETPIVOTDATA("Amount",'F-195 ExpendPivot'!$A$5:$K$2039,"CCDDD",'2025–26 Worksheet A'!$C$2,"Program","26","Activity","22","Object","5"),0)</f>
        <v>0</v>
      </c>
      <c r="U19" s="45">
        <v>0</v>
      </c>
      <c r="V19" s="31">
        <f t="shared" si="10"/>
        <v>0</v>
      </c>
      <c r="W19" s="32">
        <f t="shared" si="6"/>
        <v>0</v>
      </c>
      <c r="X19" s="26"/>
      <c r="Z19" s="164"/>
      <c r="AA19" s="22">
        <v>5</v>
      </c>
      <c r="AB19" s="31">
        <f>IFERROR(GETPIVOTDATA("Amount",'F-195 ExpendPivot'!$A$5:$K$2039,"CCDDD",'2025–26 Worksheet A'!$C$2,"Program","29","Activity","22","Object","5"),0)</f>
        <v>0</v>
      </c>
      <c r="AC19" s="45">
        <v>0</v>
      </c>
      <c r="AD19" s="31">
        <f t="shared" si="11"/>
        <v>0</v>
      </c>
      <c r="AE19" s="32">
        <f t="shared" si="7"/>
        <v>0</v>
      </c>
      <c r="AF19" s="26"/>
    </row>
    <row r="20" spans="1:32">
      <c r="A20" s="164"/>
      <c r="B20" s="22">
        <v>7</v>
      </c>
      <c r="C20" s="31">
        <f>IFERROR(GETPIVOTDATA("Amount",'F-195 ExpendPivot'!$A$5:$K$2039,"CCDDD",'2025–26 Worksheet A'!$C$2,"Program","21","Activity","22","Object","7"),0)</f>
        <v>0</v>
      </c>
      <c r="D20" s="45">
        <v>0</v>
      </c>
      <c r="E20" s="31">
        <f t="shared" si="8"/>
        <v>0</v>
      </c>
      <c r="F20" s="32">
        <f t="shared" si="4"/>
        <v>0</v>
      </c>
      <c r="G20" s="26"/>
      <c r="J20" s="164"/>
      <c r="K20" s="22">
        <v>7</v>
      </c>
      <c r="L20" s="31">
        <f>IFERROR(GETPIVOTDATA("Amount",'F-195 ExpendPivot'!$A$5:$K$2039,"CCDDD",'2025–26 Worksheet A'!$C$2,"Program","24","Activity","22","Object","7"),0)</f>
        <v>0</v>
      </c>
      <c r="M20" s="45">
        <v>0</v>
      </c>
      <c r="N20" s="31">
        <f t="shared" si="9"/>
        <v>0</v>
      </c>
      <c r="O20" s="32">
        <f t="shared" si="5"/>
        <v>0</v>
      </c>
      <c r="P20" s="26"/>
      <c r="R20" s="164"/>
      <c r="S20" s="22">
        <v>7</v>
      </c>
      <c r="T20" s="31">
        <f>IFERROR(GETPIVOTDATA("Amount",'F-195 ExpendPivot'!$A$5:$K$2039,"CCDDD",'2025–26 Worksheet A'!$C$2,"Program","26","Activity","22","Object","7"),0)</f>
        <v>0</v>
      </c>
      <c r="U20" s="45">
        <v>0</v>
      </c>
      <c r="V20" s="31">
        <f t="shared" si="10"/>
        <v>0</v>
      </c>
      <c r="W20" s="32">
        <f t="shared" si="6"/>
        <v>0</v>
      </c>
      <c r="X20" s="26"/>
      <c r="Z20" s="164"/>
      <c r="AA20" s="22">
        <v>7</v>
      </c>
      <c r="AB20" s="31">
        <f>IFERROR(GETPIVOTDATA("Amount",'F-195 ExpendPivot'!$A$5:$K$2039,"CCDDD",'2025–26 Worksheet A'!$C$2,"Program","29","Activity","22","Object","7"),0)</f>
        <v>0</v>
      </c>
      <c r="AC20" s="45">
        <v>0</v>
      </c>
      <c r="AD20" s="31">
        <f t="shared" si="11"/>
        <v>0</v>
      </c>
      <c r="AE20" s="32">
        <f t="shared" si="7"/>
        <v>0</v>
      </c>
      <c r="AF20" s="26"/>
    </row>
    <row r="21" spans="1:32">
      <c r="A21" s="164"/>
      <c r="B21" s="22">
        <v>8</v>
      </c>
      <c r="C21" s="31">
        <f>IFERROR(GETPIVOTDATA("Amount",'F-195 ExpendPivot'!$A$5:$K$2039,"CCDDD",'2025–26 Worksheet A'!$C$2,"Program","21","Activity","22","Object","8"),0)</f>
        <v>0</v>
      </c>
      <c r="D21" s="45">
        <v>0</v>
      </c>
      <c r="E21" s="31">
        <f t="shared" si="8"/>
        <v>0</v>
      </c>
      <c r="F21" s="32">
        <f t="shared" si="4"/>
        <v>0</v>
      </c>
      <c r="G21" s="26"/>
      <c r="J21" s="164"/>
      <c r="K21" s="22">
        <v>8</v>
      </c>
      <c r="L21" s="31">
        <f>IFERROR(GETPIVOTDATA("Amount",'F-195 ExpendPivot'!$A$5:$K$2039,"CCDDD",'2025–26 Worksheet A'!$C$2,"Program","24","Activity","22","Object","8"),0)</f>
        <v>0</v>
      </c>
      <c r="M21" s="45">
        <v>0</v>
      </c>
      <c r="N21" s="31">
        <f t="shared" si="9"/>
        <v>0</v>
      </c>
      <c r="O21" s="32">
        <f t="shared" si="5"/>
        <v>0</v>
      </c>
      <c r="P21" s="26"/>
      <c r="R21" s="164"/>
      <c r="S21" s="22">
        <v>8</v>
      </c>
      <c r="T21" s="31">
        <f>IFERROR(GETPIVOTDATA("Amount",'F-195 ExpendPivot'!$A$5:$K$2039,"CCDDD",'2025–26 Worksheet A'!$C$2,"Program","26","Activity","22","Object","8"),0)</f>
        <v>0</v>
      </c>
      <c r="U21" s="45">
        <v>0</v>
      </c>
      <c r="V21" s="31">
        <f t="shared" si="10"/>
        <v>0</v>
      </c>
      <c r="W21" s="32">
        <f t="shared" si="6"/>
        <v>0</v>
      </c>
      <c r="X21" s="26"/>
      <c r="Z21" s="164"/>
      <c r="AA21" s="22">
        <v>8</v>
      </c>
      <c r="AB21" s="31">
        <f>IFERROR(GETPIVOTDATA("Amount",'F-195 ExpendPivot'!$A$5:$K$2039,"CCDDD",'2025–26 Worksheet A'!$C$2,"Program","29","Activity","22","Object","8"),0)</f>
        <v>0</v>
      </c>
      <c r="AC21" s="45">
        <v>0</v>
      </c>
      <c r="AD21" s="31">
        <f t="shared" si="11"/>
        <v>0</v>
      </c>
      <c r="AE21" s="32">
        <f t="shared" si="7"/>
        <v>0</v>
      </c>
      <c r="AF21" s="26"/>
    </row>
    <row r="22" spans="1:32">
      <c r="A22" s="164"/>
      <c r="B22" s="22">
        <v>9</v>
      </c>
      <c r="C22" s="31">
        <f>IFERROR(GETPIVOTDATA("Amount",'F-195 ExpendPivot'!$A$5:$K$2039,"CCDDD",'2025–26 Worksheet A'!$C$2,"Program","21","Activity","22","Object","9"),0)</f>
        <v>0</v>
      </c>
      <c r="D22" s="45">
        <v>0</v>
      </c>
      <c r="E22" s="31">
        <f t="shared" si="8"/>
        <v>0</v>
      </c>
      <c r="F22" s="32">
        <f t="shared" si="4"/>
        <v>0</v>
      </c>
      <c r="G22" s="26"/>
      <c r="J22" s="164"/>
      <c r="K22" s="22">
        <v>9</v>
      </c>
      <c r="L22" s="31">
        <f>IFERROR(GETPIVOTDATA("Amount",'F-195 ExpendPivot'!$A$5:$K$2039,"CCDDD",'2025–26 Worksheet A'!$C$2,"Program","24","Activity","22","Object","9"),0)</f>
        <v>0</v>
      </c>
      <c r="M22" s="45">
        <v>0</v>
      </c>
      <c r="N22" s="31">
        <f t="shared" si="9"/>
        <v>0</v>
      </c>
      <c r="O22" s="32">
        <f t="shared" si="5"/>
        <v>0</v>
      </c>
      <c r="P22" s="26"/>
      <c r="R22" s="164"/>
      <c r="S22" s="22">
        <v>9</v>
      </c>
      <c r="T22" s="31">
        <f>IFERROR(GETPIVOTDATA("Amount",'F-195 ExpendPivot'!$A$5:$K$2039,"CCDDD",'2025–26 Worksheet A'!$C$2,"Program","26","Activity","22","Object","9"),0)</f>
        <v>0</v>
      </c>
      <c r="U22" s="45">
        <v>0</v>
      </c>
      <c r="V22" s="31">
        <f t="shared" si="10"/>
        <v>0</v>
      </c>
      <c r="W22" s="32">
        <f t="shared" si="6"/>
        <v>0</v>
      </c>
      <c r="X22" s="26"/>
      <c r="Z22" s="164"/>
      <c r="AA22" s="22">
        <v>9</v>
      </c>
      <c r="AB22" s="31">
        <f>IFERROR(GETPIVOTDATA("Amount",'F-195 ExpendPivot'!$A$5:$K$2039,"CCDDD",'2025–26 Worksheet A'!$C$2,"Program","29","Activity","22","Object","9"),0)</f>
        <v>0</v>
      </c>
      <c r="AC22" s="45">
        <v>0</v>
      </c>
      <c r="AD22" s="31">
        <f t="shared" si="11"/>
        <v>0</v>
      </c>
      <c r="AE22" s="32">
        <f t="shared" si="7"/>
        <v>0</v>
      </c>
      <c r="AF22" s="26"/>
    </row>
    <row r="23" spans="1:32">
      <c r="A23" s="165"/>
      <c r="B23" s="40"/>
      <c r="C23" s="46">
        <f>SUM(C15:C22)</f>
        <v>0</v>
      </c>
      <c r="D23" s="46">
        <f>SUM(D15:D22)</f>
        <v>0</v>
      </c>
      <c r="E23" s="46">
        <f>SUM(E15:E22)</f>
        <v>0</v>
      </c>
      <c r="F23" s="47"/>
      <c r="G23" s="48"/>
      <c r="J23" s="165"/>
      <c r="K23" s="40"/>
      <c r="L23" s="46">
        <f>SUM(L15:L22)</f>
        <v>0</v>
      </c>
      <c r="M23" s="46">
        <f>SUM(M15:M22)</f>
        <v>0</v>
      </c>
      <c r="N23" s="46">
        <f>SUM(N15:N22)</f>
        <v>0</v>
      </c>
      <c r="O23" s="47"/>
      <c r="P23" s="48"/>
      <c r="R23" s="165"/>
      <c r="S23" s="40"/>
      <c r="T23" s="46">
        <f>SUM(T15:T22)</f>
        <v>0</v>
      </c>
      <c r="U23" s="46">
        <f>SUM(U15:U22)</f>
        <v>0</v>
      </c>
      <c r="V23" s="46">
        <f>SUM(V15:V22)</f>
        <v>0</v>
      </c>
      <c r="W23" s="47"/>
      <c r="X23" s="48"/>
      <c r="Z23" s="165"/>
      <c r="AA23" s="40"/>
      <c r="AB23" s="46">
        <f>SUM(AB15:AB22)</f>
        <v>0</v>
      </c>
      <c r="AC23" s="46">
        <f>SUM(AC15:AC22)</f>
        <v>0</v>
      </c>
      <c r="AD23" s="46">
        <f>SUM(AD15:AD22)</f>
        <v>0</v>
      </c>
      <c r="AE23" s="47"/>
      <c r="AF23" s="48"/>
    </row>
    <row r="24" spans="1:32">
      <c r="A24" s="163">
        <v>23</v>
      </c>
      <c r="B24" s="27">
        <v>0</v>
      </c>
      <c r="C24" s="28">
        <f>IFERROR(GETPIVOTDATA("Amount",'F-195 ExpendPivot'!$A$5:$K$2039,"CCDDD",'2025–26 Worksheet A'!$C$2,"Program","21","Activity","23","Object","0"),0)</f>
        <v>0</v>
      </c>
      <c r="D24" s="44">
        <v>0</v>
      </c>
      <c r="E24" s="28">
        <f t="shared" ref="E24:E31" si="12">D24/$D$3*12</f>
        <v>0</v>
      </c>
      <c r="F24" s="32">
        <f t="shared" si="4"/>
        <v>0</v>
      </c>
      <c r="G24" s="30"/>
      <c r="J24" s="163">
        <v>23</v>
      </c>
      <c r="K24" s="27">
        <v>0</v>
      </c>
      <c r="L24" s="28">
        <f>IFERROR(GETPIVOTDATA("Amount",'F-195 ExpendPivot'!$A$5:$K$2039,"CCDDD",'2025–26 Worksheet A'!$C$2,"Program","24","Activity","22","Object","0"),0)</f>
        <v>0</v>
      </c>
      <c r="M24" s="44">
        <v>0</v>
      </c>
      <c r="N24" s="28">
        <f t="shared" ref="N24:N31" si="13">M24/$D$3*12</f>
        <v>0</v>
      </c>
      <c r="O24" s="29">
        <f t="shared" si="5"/>
        <v>0</v>
      </c>
      <c r="P24" s="30"/>
      <c r="R24" s="163">
        <v>23</v>
      </c>
      <c r="S24" s="27">
        <v>0</v>
      </c>
      <c r="T24" s="28">
        <f>IFERROR(GETPIVOTDATA("Amount",'F-195 ExpendPivot'!$A$5:$K$2039,"CCDDD",'2025–26 Worksheet A'!$C$2,"Program","26","Activity","23","Object","0"),0)</f>
        <v>0</v>
      </c>
      <c r="U24" s="44">
        <v>0</v>
      </c>
      <c r="V24" s="28">
        <f t="shared" ref="V24:V31" si="14">U24/$D$3*12</f>
        <v>0</v>
      </c>
      <c r="W24" s="29">
        <f t="shared" si="6"/>
        <v>0</v>
      </c>
      <c r="X24" s="30"/>
      <c r="Z24" s="163">
        <v>23</v>
      </c>
      <c r="AA24" s="27">
        <v>0</v>
      </c>
      <c r="AB24" s="28">
        <f>IFERROR(GETPIVOTDATA("Amount",'F-195 ExpendPivot'!$A$5:$K$2039,"CCDDD",'2025–26 Worksheet A'!$C$2,"Program","29","Activity","23","Object","0"),0)</f>
        <v>0</v>
      </c>
      <c r="AC24" s="44">
        <v>0</v>
      </c>
      <c r="AD24" s="28">
        <f t="shared" ref="AD24:AD31" si="15">AC24/$D$3*12</f>
        <v>0</v>
      </c>
      <c r="AE24" s="29">
        <f t="shared" si="7"/>
        <v>0</v>
      </c>
      <c r="AF24" s="30"/>
    </row>
    <row r="25" spans="1:32">
      <c r="A25" s="164"/>
      <c r="B25" s="22">
        <v>2</v>
      </c>
      <c r="C25" s="31">
        <f>IFERROR(GETPIVOTDATA("Amount",'F-195 ExpendPivot'!$A$5:$K$2039,"CCDDD",'2025–26 Worksheet A'!$C$2,"Program","21","Activity","23","Object","2"),0)</f>
        <v>0</v>
      </c>
      <c r="D25" s="45">
        <v>0</v>
      </c>
      <c r="E25" s="31">
        <f t="shared" si="12"/>
        <v>0</v>
      </c>
      <c r="F25" s="32">
        <f t="shared" si="4"/>
        <v>0</v>
      </c>
      <c r="G25" s="26"/>
      <c r="J25" s="164"/>
      <c r="K25" s="22">
        <v>2</v>
      </c>
      <c r="L25" s="31">
        <f>IFERROR(GETPIVOTDATA("Amount",'F-195 ExpendPivot'!$A$5:$K$2039,"CCDDD",'2025–26 Worksheet A'!$C$2,"Program","24","Activity","22","Object","2"),0)</f>
        <v>0</v>
      </c>
      <c r="M25" s="45">
        <v>0</v>
      </c>
      <c r="N25" s="31">
        <f t="shared" si="13"/>
        <v>0</v>
      </c>
      <c r="O25" s="32">
        <f t="shared" si="5"/>
        <v>0</v>
      </c>
      <c r="P25" s="26"/>
      <c r="R25" s="164"/>
      <c r="S25" s="22">
        <v>2</v>
      </c>
      <c r="T25" s="31">
        <f>IFERROR(GETPIVOTDATA("Amount",'F-195 ExpendPivot'!$A$5:$K$2039,"CCDDD",'2025–26 Worksheet A'!$C$2,"Program","26","Activity","23","Object","2"),0)</f>
        <v>0</v>
      </c>
      <c r="U25" s="45">
        <v>0</v>
      </c>
      <c r="V25" s="31">
        <f t="shared" si="14"/>
        <v>0</v>
      </c>
      <c r="W25" s="32">
        <f t="shared" si="6"/>
        <v>0</v>
      </c>
      <c r="X25" s="26"/>
      <c r="Z25" s="164"/>
      <c r="AA25" s="22">
        <v>2</v>
      </c>
      <c r="AB25" s="31">
        <f>IFERROR(GETPIVOTDATA("Amount",'F-195 ExpendPivot'!$A$5:$K$2039,"CCDDD",'2025–26 Worksheet A'!$C$2,"Program","29","Activity","23","Object","2"),0)</f>
        <v>0</v>
      </c>
      <c r="AC25" s="45">
        <v>0</v>
      </c>
      <c r="AD25" s="31">
        <f t="shared" si="15"/>
        <v>0</v>
      </c>
      <c r="AE25" s="32">
        <f t="shared" si="7"/>
        <v>0</v>
      </c>
      <c r="AF25" s="26"/>
    </row>
    <row r="26" spans="1:32">
      <c r="A26" s="164"/>
      <c r="B26" s="22">
        <v>3</v>
      </c>
      <c r="C26" s="31">
        <f>IFERROR(GETPIVOTDATA("Amount",'F-195 ExpendPivot'!$A$5:$K$2039,"CCDDD",'2025–26 Worksheet A'!$C$2,"Program","21","Activity","23","Object","3"),0)</f>
        <v>0</v>
      </c>
      <c r="D26" s="45">
        <v>0</v>
      </c>
      <c r="E26" s="31">
        <f t="shared" si="12"/>
        <v>0</v>
      </c>
      <c r="F26" s="32">
        <f t="shared" si="4"/>
        <v>0</v>
      </c>
      <c r="G26" s="26"/>
      <c r="J26" s="164"/>
      <c r="K26" s="22">
        <v>3</v>
      </c>
      <c r="L26" s="31">
        <f>IFERROR(GETPIVOTDATA("Amount",'F-195 ExpendPivot'!$A$5:$K$2039,"CCDDD",'2025–26 Worksheet A'!$C$2,"Program","24","Activity","22","Object","3"),0)</f>
        <v>0</v>
      </c>
      <c r="M26" s="45">
        <v>0</v>
      </c>
      <c r="N26" s="31">
        <f t="shared" si="13"/>
        <v>0</v>
      </c>
      <c r="O26" s="32">
        <f t="shared" si="5"/>
        <v>0</v>
      </c>
      <c r="P26" s="26"/>
      <c r="R26" s="164"/>
      <c r="S26" s="22">
        <v>3</v>
      </c>
      <c r="T26" s="31">
        <f>IFERROR(GETPIVOTDATA("Amount",'F-195 ExpendPivot'!$A$5:$K$2039,"CCDDD",'2025–26 Worksheet A'!$C$2,"Program","26","Activity","23","Object","3"),0)</f>
        <v>0</v>
      </c>
      <c r="U26" s="45">
        <v>0</v>
      </c>
      <c r="V26" s="31">
        <f t="shared" si="14"/>
        <v>0</v>
      </c>
      <c r="W26" s="32">
        <f t="shared" si="6"/>
        <v>0</v>
      </c>
      <c r="X26" s="26"/>
      <c r="Z26" s="164"/>
      <c r="AA26" s="22">
        <v>3</v>
      </c>
      <c r="AB26" s="31">
        <f>IFERROR(GETPIVOTDATA("Amount",'F-195 ExpendPivot'!$A$5:$K$2039,"CCDDD",'2025–26 Worksheet A'!$C$2,"Program","29","Activity","23","Object","3"),0)</f>
        <v>0</v>
      </c>
      <c r="AC26" s="45">
        <v>0</v>
      </c>
      <c r="AD26" s="31">
        <f t="shared" si="15"/>
        <v>0</v>
      </c>
      <c r="AE26" s="32">
        <f t="shared" si="7"/>
        <v>0</v>
      </c>
      <c r="AF26" s="26"/>
    </row>
    <row r="27" spans="1:32">
      <c r="A27" s="164"/>
      <c r="B27" s="22">
        <v>4</v>
      </c>
      <c r="C27" s="31">
        <f>IFERROR(GETPIVOTDATA("Amount",'F-195 ExpendPivot'!$A$5:$K$2039,"CCDDD",'2025–26 Worksheet A'!$C$2,"Program","21","Activity","23","Object","4"),0)</f>
        <v>0</v>
      </c>
      <c r="D27" s="45">
        <v>0</v>
      </c>
      <c r="E27" s="31">
        <f t="shared" si="12"/>
        <v>0</v>
      </c>
      <c r="F27" s="32">
        <f t="shared" si="4"/>
        <v>0</v>
      </c>
      <c r="G27" s="26"/>
      <c r="J27" s="164"/>
      <c r="K27" s="22">
        <v>4</v>
      </c>
      <c r="L27" s="31">
        <f>IFERROR(GETPIVOTDATA("Amount",'F-195 ExpendPivot'!$A$5:$K$2039,"CCDDD",'2025–26 Worksheet A'!$C$2,"Program","24","Activity","22","Object","4"),0)</f>
        <v>0</v>
      </c>
      <c r="M27" s="45">
        <v>0</v>
      </c>
      <c r="N27" s="31">
        <f t="shared" si="13"/>
        <v>0</v>
      </c>
      <c r="O27" s="32">
        <f t="shared" si="5"/>
        <v>0</v>
      </c>
      <c r="P27" s="26"/>
      <c r="R27" s="164"/>
      <c r="S27" s="22">
        <v>4</v>
      </c>
      <c r="T27" s="31">
        <f>IFERROR(GETPIVOTDATA("Amount",'F-195 ExpendPivot'!$A$5:$K$2039,"CCDDD",'2025–26 Worksheet A'!$C$2,"Program","26","Activity","23","Object","4"),0)</f>
        <v>0</v>
      </c>
      <c r="U27" s="45">
        <v>0</v>
      </c>
      <c r="V27" s="31">
        <f t="shared" si="14"/>
        <v>0</v>
      </c>
      <c r="W27" s="32">
        <f t="shared" si="6"/>
        <v>0</v>
      </c>
      <c r="X27" s="26"/>
      <c r="Z27" s="164"/>
      <c r="AA27" s="22">
        <v>4</v>
      </c>
      <c r="AB27" s="31">
        <f>IFERROR(GETPIVOTDATA("Amount",'F-195 ExpendPivot'!$A$5:$K$2039,"CCDDD",'2025–26 Worksheet A'!$C$2,"Program","29","Activity","23","Object","4"),0)</f>
        <v>0</v>
      </c>
      <c r="AC27" s="45">
        <v>0</v>
      </c>
      <c r="AD27" s="31">
        <f t="shared" si="15"/>
        <v>0</v>
      </c>
      <c r="AE27" s="32">
        <f t="shared" si="7"/>
        <v>0</v>
      </c>
      <c r="AF27" s="26"/>
    </row>
    <row r="28" spans="1:32">
      <c r="A28" s="164"/>
      <c r="B28" s="22">
        <v>5</v>
      </c>
      <c r="C28" s="31">
        <f>IFERROR(GETPIVOTDATA("Amount",'F-195 ExpendPivot'!$A$5:$K$2039,"CCDDD",'2025–26 Worksheet A'!$C$2,"Program","21","Activity","23","Object","5"),0)</f>
        <v>0</v>
      </c>
      <c r="D28" s="45">
        <v>0</v>
      </c>
      <c r="E28" s="31">
        <f t="shared" si="12"/>
        <v>0</v>
      </c>
      <c r="F28" s="32">
        <f t="shared" si="4"/>
        <v>0</v>
      </c>
      <c r="G28" s="26"/>
      <c r="J28" s="164"/>
      <c r="K28" s="22">
        <v>5</v>
      </c>
      <c r="L28" s="31">
        <f>IFERROR(GETPIVOTDATA("Amount",'F-195 ExpendPivot'!$A$5:$K$2039,"CCDDD",'2025–26 Worksheet A'!$C$2,"Program","24","Activity","22","Object","5"),0)</f>
        <v>0</v>
      </c>
      <c r="M28" s="45">
        <v>0</v>
      </c>
      <c r="N28" s="31">
        <f t="shared" si="13"/>
        <v>0</v>
      </c>
      <c r="O28" s="32">
        <f t="shared" si="5"/>
        <v>0</v>
      </c>
      <c r="P28" s="26"/>
      <c r="R28" s="164"/>
      <c r="S28" s="22">
        <v>5</v>
      </c>
      <c r="T28" s="31">
        <f>IFERROR(GETPIVOTDATA("Amount",'F-195 ExpendPivot'!$A$5:$K$2039,"CCDDD",'2025–26 Worksheet A'!$C$2,"Program","26","Activity","23","Object","5"),0)</f>
        <v>0</v>
      </c>
      <c r="U28" s="45">
        <v>0</v>
      </c>
      <c r="V28" s="31">
        <f t="shared" si="14"/>
        <v>0</v>
      </c>
      <c r="W28" s="32">
        <f t="shared" si="6"/>
        <v>0</v>
      </c>
      <c r="X28" s="26"/>
      <c r="Z28" s="164"/>
      <c r="AA28" s="22">
        <v>5</v>
      </c>
      <c r="AB28" s="31">
        <f>IFERROR(GETPIVOTDATA("Amount",'F-195 ExpendPivot'!$A$5:$K$2039,"CCDDD",'2025–26 Worksheet A'!$C$2,"Program","29","Activity","23","Object","5"),0)</f>
        <v>0</v>
      </c>
      <c r="AC28" s="45">
        <v>0</v>
      </c>
      <c r="AD28" s="31">
        <f t="shared" si="15"/>
        <v>0</v>
      </c>
      <c r="AE28" s="32">
        <f t="shared" si="7"/>
        <v>0</v>
      </c>
      <c r="AF28" s="26"/>
    </row>
    <row r="29" spans="1:32">
      <c r="A29" s="164"/>
      <c r="B29" s="22">
        <v>7</v>
      </c>
      <c r="C29" s="31">
        <f>IFERROR(GETPIVOTDATA("Amount",'F-195 ExpendPivot'!$A$5:$K$2039,"CCDDD",'2025–26 Worksheet A'!$C$2,"Program","21","Activity","23","Object","7"),0)</f>
        <v>0</v>
      </c>
      <c r="D29" s="45">
        <v>0</v>
      </c>
      <c r="E29" s="31">
        <f t="shared" si="12"/>
        <v>0</v>
      </c>
      <c r="F29" s="32">
        <f t="shared" si="4"/>
        <v>0</v>
      </c>
      <c r="G29" s="26"/>
      <c r="J29" s="164"/>
      <c r="K29" s="22">
        <v>7</v>
      </c>
      <c r="L29" s="31">
        <f>IFERROR(GETPIVOTDATA("Amount",'F-195 ExpendPivot'!$A$5:$K$2039,"CCDDD",'2025–26 Worksheet A'!$C$2,"Program","24","Activity","22","Object","7"),0)</f>
        <v>0</v>
      </c>
      <c r="M29" s="45">
        <v>0</v>
      </c>
      <c r="N29" s="31">
        <f t="shared" si="13"/>
        <v>0</v>
      </c>
      <c r="O29" s="32">
        <f t="shared" si="5"/>
        <v>0</v>
      </c>
      <c r="P29" s="26"/>
      <c r="R29" s="164"/>
      <c r="S29" s="22">
        <v>7</v>
      </c>
      <c r="T29" s="31">
        <f>IFERROR(GETPIVOTDATA("Amount",'F-195 ExpendPivot'!$A$5:$K$2039,"CCDDD",'2025–26 Worksheet A'!$C$2,"Program","26","Activity","23","Object","7"),0)</f>
        <v>0</v>
      </c>
      <c r="U29" s="45">
        <v>0</v>
      </c>
      <c r="V29" s="31">
        <f t="shared" si="14"/>
        <v>0</v>
      </c>
      <c r="W29" s="32">
        <f t="shared" si="6"/>
        <v>0</v>
      </c>
      <c r="X29" s="26"/>
      <c r="Z29" s="164"/>
      <c r="AA29" s="22">
        <v>7</v>
      </c>
      <c r="AB29" s="31">
        <f>IFERROR(GETPIVOTDATA("Amount",'F-195 ExpendPivot'!$A$5:$K$2039,"CCDDD",'2025–26 Worksheet A'!$C$2,"Program","29","Activity","23","Object","7"),0)</f>
        <v>0</v>
      </c>
      <c r="AC29" s="45">
        <v>0</v>
      </c>
      <c r="AD29" s="31">
        <f t="shared" si="15"/>
        <v>0</v>
      </c>
      <c r="AE29" s="32">
        <f t="shared" si="7"/>
        <v>0</v>
      </c>
      <c r="AF29" s="26"/>
    </row>
    <row r="30" spans="1:32">
      <c r="A30" s="164"/>
      <c r="B30" s="22">
        <v>8</v>
      </c>
      <c r="C30" s="31">
        <f>IFERROR(GETPIVOTDATA("Amount",'F-195 ExpendPivot'!$A$5:$K$2039,"CCDDD",'2025–26 Worksheet A'!$C$2,"Program","21","Activity","23","Object","8"),0)</f>
        <v>0</v>
      </c>
      <c r="D30" s="45">
        <v>0</v>
      </c>
      <c r="E30" s="31">
        <f t="shared" si="12"/>
        <v>0</v>
      </c>
      <c r="F30" s="32">
        <f t="shared" si="4"/>
        <v>0</v>
      </c>
      <c r="G30" s="26"/>
      <c r="J30" s="164"/>
      <c r="K30" s="22">
        <v>8</v>
      </c>
      <c r="L30" s="31">
        <f>IFERROR(GETPIVOTDATA("Amount",'F-195 ExpendPivot'!$A$5:$K$2039,"CCDDD",'2025–26 Worksheet A'!$C$2,"Program","24","Activity","22","Object","8"),0)</f>
        <v>0</v>
      </c>
      <c r="M30" s="45">
        <v>0</v>
      </c>
      <c r="N30" s="31">
        <f t="shared" si="13"/>
        <v>0</v>
      </c>
      <c r="O30" s="32">
        <f t="shared" si="5"/>
        <v>0</v>
      </c>
      <c r="P30" s="26"/>
      <c r="R30" s="164"/>
      <c r="S30" s="22">
        <v>8</v>
      </c>
      <c r="T30" s="31">
        <f>IFERROR(GETPIVOTDATA("Amount",'F-195 ExpendPivot'!$A$5:$K$2039,"CCDDD",'2025–26 Worksheet A'!$C$2,"Program","26","Activity","23","Object","8"),0)</f>
        <v>0</v>
      </c>
      <c r="U30" s="45">
        <v>0</v>
      </c>
      <c r="V30" s="31">
        <f t="shared" si="14"/>
        <v>0</v>
      </c>
      <c r="W30" s="32">
        <f t="shared" si="6"/>
        <v>0</v>
      </c>
      <c r="X30" s="26"/>
      <c r="Z30" s="164"/>
      <c r="AA30" s="22">
        <v>8</v>
      </c>
      <c r="AB30" s="31">
        <f>IFERROR(GETPIVOTDATA("Amount",'F-195 ExpendPivot'!$A$5:$K$2039,"CCDDD",'2025–26 Worksheet A'!$C$2,"Program","29","Activity","23","Object","8"),0)</f>
        <v>0</v>
      </c>
      <c r="AC30" s="45">
        <v>0</v>
      </c>
      <c r="AD30" s="31">
        <f t="shared" si="15"/>
        <v>0</v>
      </c>
      <c r="AE30" s="32">
        <f t="shared" si="7"/>
        <v>0</v>
      </c>
      <c r="AF30" s="26"/>
    </row>
    <row r="31" spans="1:32">
      <c r="A31" s="164"/>
      <c r="B31" s="22">
        <v>9</v>
      </c>
      <c r="C31" s="31">
        <f>IFERROR(GETPIVOTDATA("Amount",'F-195 ExpendPivot'!$A$5:$K$2039,"CCDDD",'2025–26 Worksheet A'!$C$2,"Program","21","Activity","23","Object","9"),0)</f>
        <v>0</v>
      </c>
      <c r="D31" s="45">
        <v>0</v>
      </c>
      <c r="E31" s="31">
        <f t="shared" si="12"/>
        <v>0</v>
      </c>
      <c r="F31" s="32">
        <f t="shared" si="4"/>
        <v>0</v>
      </c>
      <c r="G31" s="26"/>
      <c r="J31" s="164"/>
      <c r="K31" s="22">
        <v>9</v>
      </c>
      <c r="L31" s="31">
        <f>IFERROR(GETPIVOTDATA("Amount",'F-195 ExpendPivot'!$A$5:$K$2039,"CCDDD",'2025–26 Worksheet A'!$C$2,"Program","24","Activity","22","Object","9"),0)</f>
        <v>0</v>
      </c>
      <c r="M31" s="45">
        <v>0</v>
      </c>
      <c r="N31" s="31">
        <f t="shared" si="13"/>
        <v>0</v>
      </c>
      <c r="O31" s="32">
        <f t="shared" si="5"/>
        <v>0</v>
      </c>
      <c r="P31" s="26"/>
      <c r="R31" s="164"/>
      <c r="S31" s="22">
        <v>9</v>
      </c>
      <c r="T31" s="31">
        <f>IFERROR(GETPIVOTDATA("Amount",'F-195 ExpendPivot'!$A$5:$K$2039,"CCDDD",'2025–26 Worksheet A'!$C$2,"Program","26","Activity","23","Object","9"),0)</f>
        <v>0</v>
      </c>
      <c r="U31" s="45">
        <v>0</v>
      </c>
      <c r="V31" s="31">
        <f t="shared" si="14"/>
        <v>0</v>
      </c>
      <c r="W31" s="32">
        <f t="shared" si="6"/>
        <v>0</v>
      </c>
      <c r="X31" s="26"/>
      <c r="Z31" s="164"/>
      <c r="AA31" s="22">
        <v>9</v>
      </c>
      <c r="AB31" s="31">
        <f>IFERROR(GETPIVOTDATA("Amount",'F-195 ExpendPivot'!$A$5:$K$2039,"CCDDD",'2025–26 Worksheet A'!$C$2,"Program","29","Activity","23","Object","9"),0)</f>
        <v>0</v>
      </c>
      <c r="AC31" s="45">
        <v>0</v>
      </c>
      <c r="AD31" s="31">
        <f t="shared" si="15"/>
        <v>0</v>
      </c>
      <c r="AE31" s="32">
        <f t="shared" si="7"/>
        <v>0</v>
      </c>
      <c r="AF31" s="26"/>
    </row>
    <row r="32" spans="1:32">
      <c r="A32" s="165"/>
      <c r="B32" s="40"/>
      <c r="C32" s="46">
        <f>SUM(C24:C31)</f>
        <v>0</v>
      </c>
      <c r="D32" s="46">
        <f>SUM(D24:D31)</f>
        <v>0</v>
      </c>
      <c r="E32" s="46">
        <f>SUM(E24:E31)</f>
        <v>0</v>
      </c>
      <c r="F32" s="47"/>
      <c r="G32" s="48"/>
      <c r="J32" s="165"/>
      <c r="K32" s="40"/>
      <c r="L32" s="46">
        <f>SUM(L24:L31)</f>
        <v>0</v>
      </c>
      <c r="M32" s="46">
        <f>SUM(M24:M31)</f>
        <v>0</v>
      </c>
      <c r="N32" s="46">
        <f>SUM(N24:N31)</f>
        <v>0</v>
      </c>
      <c r="O32" s="47"/>
      <c r="P32" s="48"/>
      <c r="R32" s="165"/>
      <c r="S32" s="40"/>
      <c r="T32" s="46">
        <f>SUM(T24:T31)</f>
        <v>0</v>
      </c>
      <c r="U32" s="46">
        <f>SUM(U24:U31)</f>
        <v>0</v>
      </c>
      <c r="V32" s="46">
        <f>SUM(V24:V31)</f>
        <v>0</v>
      </c>
      <c r="W32" s="47"/>
      <c r="X32" s="48"/>
      <c r="Z32" s="165"/>
      <c r="AA32" s="40"/>
      <c r="AB32" s="46">
        <f>SUM(AB24:AB31)</f>
        <v>0</v>
      </c>
      <c r="AC32" s="46">
        <f>SUM(AC24:AC31)</f>
        <v>0</v>
      </c>
      <c r="AD32" s="46">
        <f>SUM(AD24:AD31)</f>
        <v>0</v>
      </c>
      <c r="AE32" s="47"/>
      <c r="AF32" s="48"/>
    </row>
    <row r="33" spans="1:32">
      <c r="A33" s="163">
        <v>24</v>
      </c>
      <c r="B33" s="27">
        <v>0</v>
      </c>
      <c r="C33" s="28">
        <f>IFERROR(GETPIVOTDATA("Amount",'F-195 ExpendPivot'!$A$5:$K$2039,"CCDDD",'2025–26 Worksheet A'!$C$2,"Program","21","Activity","24","Object","0"),0)</f>
        <v>0</v>
      </c>
      <c r="D33" s="44">
        <v>0</v>
      </c>
      <c r="E33" s="28"/>
      <c r="F33" s="32">
        <f t="shared" si="4"/>
        <v>0</v>
      </c>
      <c r="G33" s="30"/>
      <c r="J33" s="163">
        <v>24</v>
      </c>
      <c r="K33" s="27">
        <v>0</v>
      </c>
      <c r="L33" s="28">
        <f>IFERROR(GETPIVOTDATA("Amount",'F-195 ExpendPivot'!$A$5:$K$2039,"CCDDD",'2025–26 Worksheet A'!$C$2,"Program","24","Activity","24","Object","0"),0)</f>
        <v>0</v>
      </c>
      <c r="M33" s="44">
        <v>0</v>
      </c>
      <c r="N33" s="28"/>
      <c r="O33" s="29">
        <f t="shared" si="5"/>
        <v>0</v>
      </c>
      <c r="P33" s="30"/>
      <c r="R33" s="163">
        <v>24</v>
      </c>
      <c r="S33" s="27">
        <v>0</v>
      </c>
      <c r="T33" s="28">
        <f>IFERROR(GETPIVOTDATA("Amount",'F-195 ExpendPivot'!$A$5:$K$2039,"CCDDD",'2025–26 Worksheet A'!$C$2,"Program","26","Activity","24","Object","0"),0)</f>
        <v>0</v>
      </c>
      <c r="U33" s="44">
        <v>0</v>
      </c>
      <c r="V33" s="28"/>
      <c r="W33" s="29">
        <f t="shared" si="6"/>
        <v>0</v>
      </c>
      <c r="X33" s="30"/>
      <c r="Z33" s="163">
        <v>24</v>
      </c>
      <c r="AA33" s="27">
        <v>0</v>
      </c>
      <c r="AB33" s="28">
        <f>IFERROR(GETPIVOTDATA("Amount",'F-195 ExpendPivot'!$A$5:$K$2039,"CCDDD",'2025–26 Worksheet A'!$C$2,"Program","29","Activity","24","Object","0"),0)</f>
        <v>0</v>
      </c>
      <c r="AC33" s="44">
        <v>0</v>
      </c>
      <c r="AD33" s="28"/>
      <c r="AE33" s="29">
        <f t="shared" si="7"/>
        <v>0</v>
      </c>
      <c r="AF33" s="30"/>
    </row>
    <row r="34" spans="1:32">
      <c r="A34" s="164"/>
      <c r="B34" s="22">
        <v>2</v>
      </c>
      <c r="C34" s="31">
        <f>IFERROR(GETPIVOTDATA("Amount",'F-195 ExpendPivot'!$A$5:$K$2039,"CCDDD",'2025–26 Worksheet A'!$C$2,"Program","21","Activity","24","Object","2"),0)</f>
        <v>0</v>
      </c>
      <c r="D34" s="45">
        <v>0</v>
      </c>
      <c r="E34" s="31">
        <f t="shared" ref="E34:E40" si="16">D34/$D$3*12</f>
        <v>0</v>
      </c>
      <c r="F34" s="32">
        <f t="shared" si="4"/>
        <v>0</v>
      </c>
      <c r="G34" s="26"/>
      <c r="J34" s="164"/>
      <c r="K34" s="22">
        <v>2</v>
      </c>
      <c r="L34" s="31">
        <f>IFERROR(GETPIVOTDATA("Amount",'F-195 ExpendPivot'!$A$5:$K$2039,"CCDDD",'2025–26 Worksheet A'!$C$2,"Program","24","Activity","24","Object","2"),0)</f>
        <v>0</v>
      </c>
      <c r="M34" s="45">
        <v>0</v>
      </c>
      <c r="N34" s="31">
        <f t="shared" ref="N34:N40" si="17">M34/$D$3*12</f>
        <v>0</v>
      </c>
      <c r="O34" s="32">
        <f t="shared" si="5"/>
        <v>0</v>
      </c>
      <c r="P34" s="26"/>
      <c r="R34" s="164"/>
      <c r="S34" s="22">
        <v>2</v>
      </c>
      <c r="T34" s="31">
        <f>IFERROR(GETPIVOTDATA("Amount",'F-195 ExpendPivot'!$A$5:$K$2039,"CCDDD",'2025–26 Worksheet A'!$C$2,"Program","26","Activity","24","Object","2"),0)</f>
        <v>0</v>
      </c>
      <c r="U34" s="45">
        <v>0</v>
      </c>
      <c r="V34" s="31">
        <f t="shared" ref="V34:V40" si="18">U34/$D$3*12</f>
        <v>0</v>
      </c>
      <c r="W34" s="32">
        <f t="shared" si="6"/>
        <v>0</v>
      </c>
      <c r="X34" s="26"/>
      <c r="Z34" s="164"/>
      <c r="AA34" s="22">
        <v>2</v>
      </c>
      <c r="AB34" s="31">
        <f>IFERROR(GETPIVOTDATA("Amount",'F-195 ExpendPivot'!$A$5:$K$2039,"CCDDD",'2025–26 Worksheet A'!$C$2,"Program","29","Activity","24","Object","2"),0)</f>
        <v>0</v>
      </c>
      <c r="AC34" s="45">
        <v>0</v>
      </c>
      <c r="AD34" s="31">
        <f t="shared" ref="AD34:AD40" si="19">AC34/$D$3*12</f>
        <v>0</v>
      </c>
      <c r="AE34" s="32">
        <f t="shared" si="7"/>
        <v>0</v>
      </c>
      <c r="AF34" s="26"/>
    </row>
    <row r="35" spans="1:32">
      <c r="A35" s="164"/>
      <c r="B35" s="22">
        <v>3</v>
      </c>
      <c r="C35" s="31">
        <f>IFERROR(GETPIVOTDATA("Amount",'F-195 ExpendPivot'!$A$5:$K$2039,"CCDDD",'2025–26 Worksheet A'!$C$2,"Program","21","Activity","24","Object","3"),0)</f>
        <v>0</v>
      </c>
      <c r="D35" s="45">
        <v>0</v>
      </c>
      <c r="E35" s="31">
        <f t="shared" si="16"/>
        <v>0</v>
      </c>
      <c r="F35" s="32">
        <f t="shared" si="4"/>
        <v>0</v>
      </c>
      <c r="G35" s="26"/>
      <c r="J35" s="164"/>
      <c r="K35" s="22">
        <v>3</v>
      </c>
      <c r="L35" s="31">
        <f>IFERROR(GETPIVOTDATA("Amount",'F-195 ExpendPivot'!$A$5:$K$2039,"CCDDD",'2025–26 Worksheet A'!$C$2,"Program","24","Activity","24","Object","3"),0)</f>
        <v>0</v>
      </c>
      <c r="M35" s="45">
        <v>0</v>
      </c>
      <c r="N35" s="31">
        <f t="shared" si="17"/>
        <v>0</v>
      </c>
      <c r="O35" s="32">
        <f t="shared" si="5"/>
        <v>0</v>
      </c>
      <c r="P35" s="26"/>
      <c r="R35" s="164"/>
      <c r="S35" s="22">
        <v>3</v>
      </c>
      <c r="T35" s="31">
        <f>IFERROR(GETPIVOTDATA("Amount",'F-195 ExpendPivot'!$A$5:$K$2039,"CCDDD",'2025–26 Worksheet A'!$C$2,"Program","26","Activity","24","Object","3"),0)</f>
        <v>0</v>
      </c>
      <c r="U35" s="45">
        <v>0</v>
      </c>
      <c r="V35" s="31">
        <f t="shared" si="18"/>
        <v>0</v>
      </c>
      <c r="W35" s="32">
        <f t="shared" si="6"/>
        <v>0</v>
      </c>
      <c r="X35" s="26"/>
      <c r="Z35" s="164"/>
      <c r="AA35" s="22">
        <v>3</v>
      </c>
      <c r="AB35" s="31">
        <f>IFERROR(GETPIVOTDATA("Amount",'F-195 ExpendPivot'!$A$5:$K$2039,"CCDDD",'2025–26 Worksheet A'!$C$2,"Program","29","Activity","24","Object","3"),0)</f>
        <v>0</v>
      </c>
      <c r="AC35" s="45">
        <v>0</v>
      </c>
      <c r="AD35" s="31">
        <f t="shared" si="19"/>
        <v>0</v>
      </c>
      <c r="AE35" s="32">
        <f t="shared" si="7"/>
        <v>0</v>
      </c>
      <c r="AF35" s="26"/>
    </row>
    <row r="36" spans="1:32">
      <c r="A36" s="164"/>
      <c r="B36" s="22">
        <v>4</v>
      </c>
      <c r="C36" s="31">
        <f>IFERROR(GETPIVOTDATA("Amount",'F-195 ExpendPivot'!$A$5:$K$2039,"CCDDD",'2025–26 Worksheet A'!$C$2,"Program","21","Activity","24","Object","4"),0)</f>
        <v>0</v>
      </c>
      <c r="D36" s="45">
        <v>0</v>
      </c>
      <c r="E36" s="31">
        <f t="shared" si="16"/>
        <v>0</v>
      </c>
      <c r="F36" s="32">
        <f t="shared" si="4"/>
        <v>0</v>
      </c>
      <c r="G36" s="26"/>
      <c r="J36" s="164"/>
      <c r="K36" s="22">
        <v>4</v>
      </c>
      <c r="L36" s="31">
        <f>IFERROR(GETPIVOTDATA("Amount",'F-195 ExpendPivot'!$A$5:$K$2039,"CCDDD",'2025–26 Worksheet A'!$C$2,"Program","24","Activity","24","Object","4"),0)</f>
        <v>0</v>
      </c>
      <c r="M36" s="45">
        <v>0</v>
      </c>
      <c r="N36" s="31">
        <f t="shared" si="17"/>
        <v>0</v>
      </c>
      <c r="O36" s="32">
        <f t="shared" si="5"/>
        <v>0</v>
      </c>
      <c r="P36" s="26"/>
      <c r="R36" s="164"/>
      <c r="S36" s="22">
        <v>4</v>
      </c>
      <c r="T36" s="31">
        <f>IFERROR(GETPIVOTDATA("Amount",'F-195 ExpendPivot'!$A$5:$K$2039,"CCDDD",'2025–26 Worksheet A'!$C$2,"Program","26","Activity","24","Object","4"),0)</f>
        <v>0</v>
      </c>
      <c r="U36" s="45">
        <v>0</v>
      </c>
      <c r="V36" s="31">
        <f t="shared" si="18"/>
        <v>0</v>
      </c>
      <c r="W36" s="32">
        <f t="shared" si="6"/>
        <v>0</v>
      </c>
      <c r="X36" s="26"/>
      <c r="Z36" s="164"/>
      <c r="AA36" s="22">
        <v>4</v>
      </c>
      <c r="AB36" s="31">
        <f>IFERROR(GETPIVOTDATA("Amount",'F-195 ExpendPivot'!$A$5:$K$2039,"CCDDD",'2025–26 Worksheet A'!$C$2,"Program","29","Activity","24","Object","4"),0)</f>
        <v>0</v>
      </c>
      <c r="AC36" s="45">
        <v>0</v>
      </c>
      <c r="AD36" s="31">
        <f t="shared" si="19"/>
        <v>0</v>
      </c>
      <c r="AE36" s="32">
        <f t="shared" si="7"/>
        <v>0</v>
      </c>
      <c r="AF36" s="26"/>
    </row>
    <row r="37" spans="1:32">
      <c r="A37" s="164"/>
      <c r="B37" s="22">
        <v>5</v>
      </c>
      <c r="C37" s="31">
        <f>IFERROR(GETPIVOTDATA("Amount",'F-195 ExpendPivot'!$A$5:$K$2039,"CCDDD",'2025–26 Worksheet A'!$C$2,"Program","21","Activity","24","Object","5"),0)</f>
        <v>0</v>
      </c>
      <c r="D37" s="45">
        <v>0</v>
      </c>
      <c r="E37" s="31">
        <f t="shared" si="16"/>
        <v>0</v>
      </c>
      <c r="F37" s="32">
        <f t="shared" si="4"/>
        <v>0</v>
      </c>
      <c r="G37" s="26"/>
      <c r="J37" s="164"/>
      <c r="K37" s="22">
        <v>5</v>
      </c>
      <c r="L37" s="31">
        <f>IFERROR(GETPIVOTDATA("Amount",'F-195 ExpendPivot'!$A$5:$K$2039,"CCDDD",'2025–26 Worksheet A'!$C$2,"Program","24","Activity","24","Object","5"),0)</f>
        <v>0</v>
      </c>
      <c r="M37" s="45">
        <v>0</v>
      </c>
      <c r="N37" s="31">
        <f t="shared" si="17"/>
        <v>0</v>
      </c>
      <c r="O37" s="32">
        <f t="shared" si="5"/>
        <v>0</v>
      </c>
      <c r="P37" s="26"/>
      <c r="R37" s="164"/>
      <c r="S37" s="22">
        <v>5</v>
      </c>
      <c r="T37" s="31">
        <f>IFERROR(GETPIVOTDATA("Amount",'F-195 ExpendPivot'!$A$5:$K$2039,"CCDDD",'2025–26 Worksheet A'!$C$2,"Program","26","Activity","24","Object","5"),0)</f>
        <v>0</v>
      </c>
      <c r="U37" s="45">
        <v>0</v>
      </c>
      <c r="V37" s="31">
        <f t="shared" si="18"/>
        <v>0</v>
      </c>
      <c r="W37" s="32">
        <f t="shared" si="6"/>
        <v>0</v>
      </c>
      <c r="X37" s="26"/>
      <c r="Z37" s="164"/>
      <c r="AA37" s="22">
        <v>5</v>
      </c>
      <c r="AB37" s="31">
        <f>IFERROR(GETPIVOTDATA("Amount",'F-195 ExpendPivot'!$A$5:$K$2039,"CCDDD",'2025–26 Worksheet A'!$C$2,"Program","29","Activity","24","Object","5"),0)</f>
        <v>0</v>
      </c>
      <c r="AC37" s="45">
        <v>0</v>
      </c>
      <c r="AD37" s="31">
        <f t="shared" si="19"/>
        <v>0</v>
      </c>
      <c r="AE37" s="32">
        <f t="shared" si="7"/>
        <v>0</v>
      </c>
      <c r="AF37" s="26"/>
    </row>
    <row r="38" spans="1:32">
      <c r="A38" s="164"/>
      <c r="B38" s="22">
        <v>7</v>
      </c>
      <c r="C38" s="31">
        <f>IFERROR(GETPIVOTDATA("Amount",'F-195 ExpendPivot'!$A$5:$K$2039,"CCDDD",'2025–26 Worksheet A'!$C$2,"Program","21","Activity","24","Object","7"),0)</f>
        <v>0</v>
      </c>
      <c r="D38" s="45">
        <v>0</v>
      </c>
      <c r="E38" s="31">
        <f t="shared" si="16"/>
        <v>0</v>
      </c>
      <c r="F38" s="32">
        <f t="shared" si="4"/>
        <v>0</v>
      </c>
      <c r="G38" s="26"/>
      <c r="J38" s="164"/>
      <c r="K38" s="22">
        <v>7</v>
      </c>
      <c r="L38" s="31">
        <f>IFERROR(GETPIVOTDATA("Amount",'F-195 ExpendPivot'!$A$5:$K$2039,"CCDDD",'2025–26 Worksheet A'!$C$2,"Program","24","Activity","24","Object","7"),0)</f>
        <v>0</v>
      </c>
      <c r="M38" s="45">
        <v>0</v>
      </c>
      <c r="N38" s="31">
        <f t="shared" si="17"/>
        <v>0</v>
      </c>
      <c r="O38" s="32">
        <f t="shared" si="5"/>
        <v>0</v>
      </c>
      <c r="P38" s="26"/>
      <c r="R38" s="164"/>
      <c r="S38" s="22">
        <v>7</v>
      </c>
      <c r="T38" s="31">
        <f>IFERROR(GETPIVOTDATA("Amount",'F-195 ExpendPivot'!$A$5:$K$2039,"CCDDD",'2025–26 Worksheet A'!$C$2,"Program","26","Activity","24","Object","7"),0)</f>
        <v>0</v>
      </c>
      <c r="U38" s="45">
        <v>0</v>
      </c>
      <c r="V38" s="31">
        <f t="shared" si="18"/>
        <v>0</v>
      </c>
      <c r="W38" s="32">
        <f t="shared" si="6"/>
        <v>0</v>
      </c>
      <c r="X38" s="26"/>
      <c r="Z38" s="164"/>
      <c r="AA38" s="22">
        <v>7</v>
      </c>
      <c r="AB38" s="31">
        <f>IFERROR(GETPIVOTDATA("Amount",'F-195 ExpendPivot'!$A$5:$K$2039,"CCDDD",'2025–26 Worksheet A'!$C$2,"Program","29","Activity","24","Object","7"),0)</f>
        <v>0</v>
      </c>
      <c r="AC38" s="45">
        <v>0</v>
      </c>
      <c r="AD38" s="31">
        <f t="shared" si="19"/>
        <v>0</v>
      </c>
      <c r="AE38" s="32">
        <f t="shared" si="7"/>
        <v>0</v>
      </c>
      <c r="AF38" s="26"/>
    </row>
    <row r="39" spans="1:32">
      <c r="A39" s="164"/>
      <c r="B39" s="22">
        <v>8</v>
      </c>
      <c r="C39" s="31">
        <f>IFERROR(GETPIVOTDATA("Amount",'F-195 ExpendPivot'!$A$5:$K$2039,"CCDDD",'2025–26 Worksheet A'!$C$2,"Program","21","Activity","24","Object","8"),0)</f>
        <v>0</v>
      </c>
      <c r="D39" s="45">
        <v>0</v>
      </c>
      <c r="E39" s="31">
        <f t="shared" si="16"/>
        <v>0</v>
      </c>
      <c r="F39" s="32">
        <f t="shared" si="4"/>
        <v>0</v>
      </c>
      <c r="G39" s="26"/>
      <c r="J39" s="164"/>
      <c r="K39" s="22">
        <v>8</v>
      </c>
      <c r="L39" s="31">
        <f>IFERROR(GETPIVOTDATA("Amount",'F-195 ExpendPivot'!$A$5:$K$2039,"CCDDD",'2025–26 Worksheet A'!$C$2,"Program","24","Activity","24","Object","8"),0)</f>
        <v>0</v>
      </c>
      <c r="M39" s="45">
        <v>0</v>
      </c>
      <c r="N39" s="31">
        <f t="shared" si="17"/>
        <v>0</v>
      </c>
      <c r="O39" s="32">
        <f t="shared" si="5"/>
        <v>0</v>
      </c>
      <c r="P39" s="26"/>
      <c r="R39" s="164"/>
      <c r="S39" s="22">
        <v>8</v>
      </c>
      <c r="T39" s="31">
        <f>IFERROR(GETPIVOTDATA("Amount",'F-195 ExpendPivot'!$A$5:$K$2039,"CCDDD",'2025–26 Worksheet A'!$C$2,"Program","26","Activity","24","Object","8"),0)</f>
        <v>0</v>
      </c>
      <c r="U39" s="45">
        <v>0</v>
      </c>
      <c r="V39" s="31">
        <f t="shared" si="18"/>
        <v>0</v>
      </c>
      <c r="W39" s="32">
        <f t="shared" si="6"/>
        <v>0</v>
      </c>
      <c r="X39" s="26"/>
      <c r="Z39" s="164"/>
      <c r="AA39" s="22">
        <v>8</v>
      </c>
      <c r="AB39" s="31">
        <f>IFERROR(GETPIVOTDATA("Amount",'F-195 ExpendPivot'!$A$5:$K$2039,"CCDDD",'2025–26 Worksheet A'!$C$2,"Program","29","Activity","24","Object","8"),0)</f>
        <v>0</v>
      </c>
      <c r="AC39" s="45">
        <v>0</v>
      </c>
      <c r="AD39" s="31">
        <f t="shared" si="19"/>
        <v>0</v>
      </c>
      <c r="AE39" s="32">
        <f t="shared" si="7"/>
        <v>0</v>
      </c>
      <c r="AF39" s="26"/>
    </row>
    <row r="40" spans="1:32">
      <c r="A40" s="164"/>
      <c r="B40" s="22">
        <v>9</v>
      </c>
      <c r="C40" s="31">
        <f>IFERROR(GETPIVOTDATA("Amount",'F-195 ExpendPivot'!$A$5:$K$2039,"CCDDD",'2025–26 Worksheet A'!$C$2,"Program","21","Activity","24","Object","9"),0)</f>
        <v>0</v>
      </c>
      <c r="D40" s="45">
        <v>0</v>
      </c>
      <c r="E40" s="31">
        <f t="shared" si="16"/>
        <v>0</v>
      </c>
      <c r="F40" s="32">
        <f t="shared" si="4"/>
        <v>0</v>
      </c>
      <c r="G40" s="26"/>
      <c r="J40" s="164"/>
      <c r="K40" s="22">
        <v>9</v>
      </c>
      <c r="L40" s="31">
        <f>IFERROR(GETPIVOTDATA("Amount",'F-195 ExpendPivot'!$A$5:$K$2039,"CCDDD",'2025–26 Worksheet A'!$C$2,"Program","24","Activity","24","Object","9"),0)</f>
        <v>0</v>
      </c>
      <c r="M40" s="45">
        <v>0</v>
      </c>
      <c r="N40" s="31">
        <f t="shared" si="17"/>
        <v>0</v>
      </c>
      <c r="O40" s="32">
        <f t="shared" si="5"/>
        <v>0</v>
      </c>
      <c r="P40" s="26"/>
      <c r="R40" s="164"/>
      <c r="S40" s="22">
        <v>9</v>
      </c>
      <c r="T40" s="31">
        <f>IFERROR(GETPIVOTDATA("Amount",'F-195 ExpendPivot'!$A$5:$K$2039,"CCDDD",'2025–26 Worksheet A'!$C$2,"Program","26","Activity","24","Object","9"),0)</f>
        <v>0</v>
      </c>
      <c r="U40" s="45">
        <v>0</v>
      </c>
      <c r="V40" s="31">
        <f t="shared" si="18"/>
        <v>0</v>
      </c>
      <c r="W40" s="32">
        <f t="shared" si="6"/>
        <v>0</v>
      </c>
      <c r="X40" s="26"/>
      <c r="Z40" s="164"/>
      <c r="AA40" s="22">
        <v>9</v>
      </c>
      <c r="AB40" s="31">
        <f>IFERROR(GETPIVOTDATA("Amount",'F-195 ExpendPivot'!$A$5:$K$2039,"CCDDD",'2025–26 Worksheet A'!$C$2,"Program","29","Activity","24","Object","9"),0)</f>
        <v>0</v>
      </c>
      <c r="AC40" s="45">
        <v>0</v>
      </c>
      <c r="AD40" s="31">
        <f t="shared" si="19"/>
        <v>0</v>
      </c>
      <c r="AE40" s="32">
        <f t="shared" si="7"/>
        <v>0</v>
      </c>
      <c r="AF40" s="26"/>
    </row>
    <row r="41" spans="1:32">
      <c r="A41" s="165"/>
      <c r="B41" s="40"/>
      <c r="C41" s="46">
        <f>SUM(C33:C40)</f>
        <v>0</v>
      </c>
      <c r="D41" s="46">
        <f>SUM(D33:D40)</f>
        <v>0</v>
      </c>
      <c r="E41" s="46">
        <f>SUM(E33:E40)</f>
        <v>0</v>
      </c>
      <c r="F41" s="47"/>
      <c r="G41" s="48"/>
      <c r="J41" s="165"/>
      <c r="K41" s="40"/>
      <c r="L41" s="46">
        <f>SUM(L33:L40)</f>
        <v>0</v>
      </c>
      <c r="M41" s="46">
        <f>SUM(M33:M40)</f>
        <v>0</v>
      </c>
      <c r="N41" s="46">
        <f>SUM(N33:N40)</f>
        <v>0</v>
      </c>
      <c r="O41" s="47"/>
      <c r="P41" s="48"/>
      <c r="R41" s="165"/>
      <c r="S41" s="40"/>
      <c r="T41" s="46">
        <f>SUM(T33:T40)</f>
        <v>0</v>
      </c>
      <c r="U41" s="46">
        <f>SUM(U33:U40)</f>
        <v>0</v>
      </c>
      <c r="V41" s="46">
        <f>SUM(V33:V40)</f>
        <v>0</v>
      </c>
      <c r="W41" s="47"/>
      <c r="X41" s="48"/>
      <c r="Z41" s="165"/>
      <c r="AA41" s="40"/>
      <c r="AB41" s="46">
        <f>SUM(AB33:AB40)</f>
        <v>0</v>
      </c>
      <c r="AC41" s="46">
        <f>SUM(AC33:AC40)</f>
        <v>0</v>
      </c>
      <c r="AD41" s="46">
        <f>SUM(AD33:AD40)</f>
        <v>0</v>
      </c>
      <c r="AE41" s="47"/>
      <c r="AF41" s="48"/>
    </row>
    <row r="42" spans="1:32">
      <c r="A42" s="163">
        <v>25</v>
      </c>
      <c r="B42" s="27">
        <v>0</v>
      </c>
      <c r="C42" s="28">
        <f>IFERROR(GETPIVOTDATA("Amount",'F-195 ExpendPivot'!$A$5:$K$2039,"CCDDD",'2025–26 Worksheet A'!$C$2,"Program","21","Activity","25","Object","0"),0)</f>
        <v>0</v>
      </c>
      <c r="D42" s="44">
        <v>0</v>
      </c>
      <c r="E42" s="28"/>
      <c r="F42" s="32">
        <f t="shared" si="4"/>
        <v>0</v>
      </c>
      <c r="G42" s="30"/>
      <c r="J42" s="163">
        <v>25</v>
      </c>
      <c r="K42" s="27">
        <v>0</v>
      </c>
      <c r="L42" s="28">
        <f>IFERROR(GETPIVOTDATA("Amount",'F-195 ExpendPivot'!$A$5:$K$2039,"CCDDD",'2025–26 Worksheet A'!$C$2,"Program","25","Activity","25","Object","0"),0)</f>
        <v>0</v>
      </c>
      <c r="M42" s="44">
        <v>0</v>
      </c>
      <c r="N42" s="28"/>
      <c r="O42" s="29">
        <f t="shared" si="5"/>
        <v>0</v>
      </c>
      <c r="P42" s="30"/>
      <c r="R42" s="163">
        <v>25</v>
      </c>
      <c r="S42" s="27">
        <v>0</v>
      </c>
      <c r="T42" s="28">
        <f>IFERROR(GETPIVOTDATA("Amount",'F-195 ExpendPivot'!$A$5:$K$2039,"CCDDD",'2025–26 Worksheet A'!$C$2,"Program","26","Activity","25","Object","0"),0)</f>
        <v>0</v>
      </c>
      <c r="U42" s="44">
        <v>0</v>
      </c>
      <c r="V42" s="28"/>
      <c r="W42" s="29">
        <f t="shared" si="6"/>
        <v>0</v>
      </c>
      <c r="X42" s="30"/>
      <c r="Z42" s="163">
        <v>25</v>
      </c>
      <c r="AA42" s="27">
        <v>0</v>
      </c>
      <c r="AB42" s="28">
        <f>IFERROR(GETPIVOTDATA("Amount",'F-195 ExpendPivot'!$A$5:$K$2039,"CCDDD",'2025–26 Worksheet A'!$C$2,"Program","29","Activity","25","Object","0"),0)</f>
        <v>0</v>
      </c>
      <c r="AC42" s="44">
        <v>0</v>
      </c>
      <c r="AD42" s="28"/>
      <c r="AE42" s="29">
        <f t="shared" si="7"/>
        <v>0</v>
      </c>
      <c r="AF42" s="30"/>
    </row>
    <row r="43" spans="1:32">
      <c r="A43" s="164"/>
      <c r="B43" s="22">
        <v>2</v>
      </c>
      <c r="C43" s="31">
        <f>IFERROR(GETPIVOTDATA("Amount",'F-195 ExpendPivot'!$A$5:$K$2039,"CCDDD",'2025–26 Worksheet A'!$C$2,"Program","21","Activity","25","Object","2"),0)</f>
        <v>0</v>
      </c>
      <c r="D43" s="45">
        <v>0</v>
      </c>
      <c r="E43" s="31">
        <f t="shared" ref="E43:E49" si="20">D43/$D$3*12</f>
        <v>0</v>
      </c>
      <c r="F43" s="32">
        <f t="shared" si="4"/>
        <v>0</v>
      </c>
      <c r="G43" s="26"/>
      <c r="J43" s="164"/>
      <c r="K43" s="22">
        <v>2</v>
      </c>
      <c r="L43" s="31">
        <f>IFERROR(GETPIVOTDATA("Amount",'F-195 ExpendPivot'!$A$5:$K$2039,"CCDDD",'2025–26 Worksheet A'!$C$2,"Program","25","Activity","25","Object","2"),0)</f>
        <v>0</v>
      </c>
      <c r="M43" s="45">
        <v>0</v>
      </c>
      <c r="N43" s="31">
        <f t="shared" ref="N43:N49" si="21">M43/$D$3*12</f>
        <v>0</v>
      </c>
      <c r="O43" s="32">
        <f t="shared" si="5"/>
        <v>0</v>
      </c>
      <c r="P43" s="26"/>
      <c r="R43" s="164"/>
      <c r="S43" s="22">
        <v>2</v>
      </c>
      <c r="T43" s="31">
        <f>IFERROR(GETPIVOTDATA("Amount",'F-195 ExpendPivot'!$A$5:$K$2039,"CCDDD",'2025–26 Worksheet A'!$C$2,"Program","26","Activity","25","Object","2"),0)</f>
        <v>0</v>
      </c>
      <c r="U43" s="45">
        <v>0</v>
      </c>
      <c r="V43" s="31">
        <f t="shared" ref="V43:V49" si="22">U43/$D$3*12</f>
        <v>0</v>
      </c>
      <c r="W43" s="32">
        <f t="shared" si="6"/>
        <v>0</v>
      </c>
      <c r="X43" s="26"/>
      <c r="Z43" s="164"/>
      <c r="AA43" s="22">
        <v>2</v>
      </c>
      <c r="AB43" s="31">
        <f>IFERROR(GETPIVOTDATA("Amount",'F-195 ExpendPivot'!$A$5:$K$2039,"CCDDD",'2025–26 Worksheet A'!$C$2,"Program","29","Activity","25","Object","2"),0)</f>
        <v>0</v>
      </c>
      <c r="AC43" s="45">
        <v>0</v>
      </c>
      <c r="AD43" s="31">
        <f t="shared" ref="AD43:AD49" si="23">AC43/$D$3*12</f>
        <v>0</v>
      </c>
      <c r="AE43" s="32">
        <f t="shared" si="7"/>
        <v>0</v>
      </c>
      <c r="AF43" s="26"/>
    </row>
    <row r="44" spans="1:32">
      <c r="A44" s="164"/>
      <c r="B44" s="22">
        <v>3</v>
      </c>
      <c r="C44" s="31">
        <f>IFERROR(GETPIVOTDATA("Amount",'F-195 ExpendPivot'!$A$5:$K$2039,"CCDDD",'2025–26 Worksheet A'!$C$2,"Program","21","Activity","25","Object","3"),0)</f>
        <v>0</v>
      </c>
      <c r="D44" s="45">
        <v>0</v>
      </c>
      <c r="E44" s="31">
        <f t="shared" si="20"/>
        <v>0</v>
      </c>
      <c r="F44" s="32">
        <f t="shared" si="4"/>
        <v>0</v>
      </c>
      <c r="G44" s="26"/>
      <c r="J44" s="164"/>
      <c r="K44" s="22">
        <v>3</v>
      </c>
      <c r="L44" s="31">
        <f>IFERROR(GETPIVOTDATA("Amount",'F-195 ExpendPivot'!$A$5:$K$2039,"CCDDD",'2025–26 Worksheet A'!$C$2,"Program","25","Activity","25","Object","3"),0)</f>
        <v>0</v>
      </c>
      <c r="M44" s="45">
        <v>0</v>
      </c>
      <c r="N44" s="31">
        <f t="shared" si="21"/>
        <v>0</v>
      </c>
      <c r="O44" s="32">
        <f t="shared" si="5"/>
        <v>0</v>
      </c>
      <c r="P44" s="26"/>
      <c r="R44" s="164"/>
      <c r="S44" s="22">
        <v>3</v>
      </c>
      <c r="T44" s="31">
        <f>IFERROR(GETPIVOTDATA("Amount",'F-195 ExpendPivot'!$A$5:$K$2039,"CCDDD",'2025–26 Worksheet A'!$C$2,"Program","26","Activity","25","Object","3"),0)</f>
        <v>0</v>
      </c>
      <c r="U44" s="45">
        <v>0</v>
      </c>
      <c r="V44" s="31">
        <f t="shared" si="22"/>
        <v>0</v>
      </c>
      <c r="W44" s="32">
        <f t="shared" si="6"/>
        <v>0</v>
      </c>
      <c r="X44" s="26"/>
      <c r="Z44" s="164"/>
      <c r="AA44" s="22">
        <v>3</v>
      </c>
      <c r="AB44" s="31">
        <f>IFERROR(GETPIVOTDATA("Amount",'F-195 ExpendPivot'!$A$5:$K$2039,"CCDDD",'2025–26 Worksheet A'!$C$2,"Program","29","Activity","25","Object","3"),0)</f>
        <v>0</v>
      </c>
      <c r="AC44" s="45">
        <v>0</v>
      </c>
      <c r="AD44" s="31">
        <f t="shared" si="23"/>
        <v>0</v>
      </c>
      <c r="AE44" s="32">
        <f t="shared" si="7"/>
        <v>0</v>
      </c>
      <c r="AF44" s="26"/>
    </row>
    <row r="45" spans="1:32">
      <c r="A45" s="164"/>
      <c r="B45" s="22">
        <v>4</v>
      </c>
      <c r="C45" s="31">
        <f>IFERROR(GETPIVOTDATA("Amount",'F-195 ExpendPivot'!$A$5:$K$2039,"CCDDD",'2025–26 Worksheet A'!$C$2,"Program","21","Activity","25","Object","4"),0)</f>
        <v>0</v>
      </c>
      <c r="D45" s="45">
        <v>0</v>
      </c>
      <c r="E45" s="31">
        <f t="shared" si="20"/>
        <v>0</v>
      </c>
      <c r="F45" s="32">
        <f t="shared" si="4"/>
        <v>0</v>
      </c>
      <c r="G45" s="26"/>
      <c r="J45" s="164"/>
      <c r="K45" s="22">
        <v>4</v>
      </c>
      <c r="L45" s="31">
        <f>IFERROR(GETPIVOTDATA("Amount",'F-195 ExpendPivot'!$A$5:$K$2039,"CCDDD",'2025–26 Worksheet A'!$C$2,"Program","25","Activity","25","Object","4"),0)</f>
        <v>0</v>
      </c>
      <c r="M45" s="45">
        <v>0</v>
      </c>
      <c r="N45" s="31">
        <f t="shared" si="21"/>
        <v>0</v>
      </c>
      <c r="O45" s="32">
        <f t="shared" si="5"/>
        <v>0</v>
      </c>
      <c r="P45" s="26"/>
      <c r="R45" s="164"/>
      <c r="S45" s="22">
        <v>4</v>
      </c>
      <c r="T45" s="31">
        <f>IFERROR(GETPIVOTDATA("Amount",'F-195 ExpendPivot'!$A$5:$K$2039,"CCDDD",'2025–26 Worksheet A'!$C$2,"Program","26","Activity","25","Object","4"),0)</f>
        <v>0</v>
      </c>
      <c r="U45" s="45">
        <v>0</v>
      </c>
      <c r="V45" s="31">
        <f t="shared" si="22"/>
        <v>0</v>
      </c>
      <c r="W45" s="32">
        <f t="shared" si="6"/>
        <v>0</v>
      </c>
      <c r="X45" s="26"/>
      <c r="Z45" s="164"/>
      <c r="AA45" s="22">
        <v>4</v>
      </c>
      <c r="AB45" s="31">
        <f>IFERROR(GETPIVOTDATA("Amount",'F-195 ExpendPivot'!$A$5:$K$2039,"CCDDD",'2025–26 Worksheet A'!$C$2,"Program","29","Activity","25","Object","4"),0)</f>
        <v>0</v>
      </c>
      <c r="AC45" s="45">
        <v>0</v>
      </c>
      <c r="AD45" s="31">
        <f t="shared" si="23"/>
        <v>0</v>
      </c>
      <c r="AE45" s="32">
        <f t="shared" si="7"/>
        <v>0</v>
      </c>
      <c r="AF45" s="26"/>
    </row>
    <row r="46" spans="1:32">
      <c r="A46" s="164"/>
      <c r="B46" s="22">
        <v>5</v>
      </c>
      <c r="C46" s="31">
        <f>IFERROR(GETPIVOTDATA("Amount",'F-195 ExpendPivot'!$A$5:$K$2039,"CCDDD",'2025–26 Worksheet A'!$C$2,"Program","21","Activity","25","Object","5"),0)</f>
        <v>0</v>
      </c>
      <c r="D46" s="45">
        <v>0</v>
      </c>
      <c r="E46" s="31">
        <f t="shared" si="20"/>
        <v>0</v>
      </c>
      <c r="F46" s="32">
        <f t="shared" si="4"/>
        <v>0</v>
      </c>
      <c r="G46" s="26"/>
      <c r="J46" s="164"/>
      <c r="K46" s="22">
        <v>5</v>
      </c>
      <c r="L46" s="31">
        <f>IFERROR(GETPIVOTDATA("Amount",'F-195 ExpendPivot'!$A$5:$K$2039,"CCDDD",'2025–26 Worksheet A'!$C$2,"Program","25","Activity","25","Object","5"),0)</f>
        <v>0</v>
      </c>
      <c r="M46" s="45">
        <v>0</v>
      </c>
      <c r="N46" s="31">
        <f t="shared" si="21"/>
        <v>0</v>
      </c>
      <c r="O46" s="32">
        <f t="shared" si="5"/>
        <v>0</v>
      </c>
      <c r="P46" s="26"/>
      <c r="R46" s="164"/>
      <c r="S46" s="22">
        <v>5</v>
      </c>
      <c r="T46" s="31">
        <f>IFERROR(GETPIVOTDATA("Amount",'F-195 ExpendPivot'!$A$5:$K$2039,"CCDDD",'2025–26 Worksheet A'!$C$2,"Program","26","Activity","25","Object","5"),0)</f>
        <v>0</v>
      </c>
      <c r="U46" s="45">
        <v>0</v>
      </c>
      <c r="V46" s="31">
        <f t="shared" si="22"/>
        <v>0</v>
      </c>
      <c r="W46" s="32">
        <f t="shared" si="6"/>
        <v>0</v>
      </c>
      <c r="X46" s="26"/>
      <c r="Z46" s="164"/>
      <c r="AA46" s="22">
        <v>5</v>
      </c>
      <c r="AB46" s="31">
        <f>IFERROR(GETPIVOTDATA("Amount",'F-195 ExpendPivot'!$A$5:$K$2039,"CCDDD",'2025–26 Worksheet A'!$C$2,"Program","29","Activity","25","Object","5"),0)</f>
        <v>0</v>
      </c>
      <c r="AC46" s="45">
        <v>0</v>
      </c>
      <c r="AD46" s="31">
        <f t="shared" si="23"/>
        <v>0</v>
      </c>
      <c r="AE46" s="32">
        <f t="shared" si="7"/>
        <v>0</v>
      </c>
      <c r="AF46" s="26"/>
    </row>
    <row r="47" spans="1:32">
      <c r="A47" s="164"/>
      <c r="B47" s="22">
        <v>7</v>
      </c>
      <c r="C47" s="31">
        <f>IFERROR(GETPIVOTDATA("Amount",'F-195 ExpendPivot'!$A$5:$K$2039,"CCDDD",'2025–26 Worksheet A'!$C$2,"Program","21","Activity","25","Object","7"),0)</f>
        <v>0</v>
      </c>
      <c r="D47" s="45">
        <v>0</v>
      </c>
      <c r="E47" s="31">
        <f t="shared" si="20"/>
        <v>0</v>
      </c>
      <c r="F47" s="32">
        <f t="shared" si="4"/>
        <v>0</v>
      </c>
      <c r="G47" s="26"/>
      <c r="J47" s="164"/>
      <c r="K47" s="22">
        <v>7</v>
      </c>
      <c r="L47" s="31">
        <f>IFERROR(GETPIVOTDATA("Amount",'F-195 ExpendPivot'!$A$5:$K$2039,"CCDDD",'2025–26 Worksheet A'!$C$2,"Program","25","Activity","25","Object","7"),0)</f>
        <v>0</v>
      </c>
      <c r="M47" s="45">
        <v>0</v>
      </c>
      <c r="N47" s="31">
        <f t="shared" si="21"/>
        <v>0</v>
      </c>
      <c r="O47" s="32">
        <f t="shared" si="5"/>
        <v>0</v>
      </c>
      <c r="P47" s="26"/>
      <c r="R47" s="164"/>
      <c r="S47" s="22">
        <v>7</v>
      </c>
      <c r="T47" s="31">
        <f>IFERROR(GETPIVOTDATA("Amount",'F-195 ExpendPivot'!$A$5:$K$2039,"CCDDD",'2025–26 Worksheet A'!$C$2,"Program","26","Activity","25","Object","7"),0)</f>
        <v>0</v>
      </c>
      <c r="U47" s="45">
        <v>0</v>
      </c>
      <c r="V47" s="31">
        <f t="shared" si="22"/>
        <v>0</v>
      </c>
      <c r="W47" s="32">
        <f t="shared" si="6"/>
        <v>0</v>
      </c>
      <c r="X47" s="26"/>
      <c r="Z47" s="164"/>
      <c r="AA47" s="22">
        <v>7</v>
      </c>
      <c r="AB47" s="31">
        <f>IFERROR(GETPIVOTDATA("Amount",'F-195 ExpendPivot'!$A$5:$K$2039,"CCDDD",'2025–26 Worksheet A'!$C$2,"Program","29","Activity","25","Object","7"),0)</f>
        <v>0</v>
      </c>
      <c r="AC47" s="45">
        <v>0</v>
      </c>
      <c r="AD47" s="31">
        <f t="shared" si="23"/>
        <v>0</v>
      </c>
      <c r="AE47" s="32">
        <f t="shared" si="7"/>
        <v>0</v>
      </c>
      <c r="AF47" s="26"/>
    </row>
    <row r="48" spans="1:32">
      <c r="A48" s="164"/>
      <c r="B48" s="22">
        <v>8</v>
      </c>
      <c r="C48" s="31">
        <f>IFERROR(GETPIVOTDATA("Amount",'F-195 ExpendPivot'!$A$5:$K$2039,"CCDDD",'2025–26 Worksheet A'!$C$2,"Program","21","Activity","25","Object","8"),0)</f>
        <v>0</v>
      </c>
      <c r="D48" s="45">
        <v>0</v>
      </c>
      <c r="E48" s="31">
        <f t="shared" si="20"/>
        <v>0</v>
      </c>
      <c r="F48" s="32">
        <f t="shared" si="4"/>
        <v>0</v>
      </c>
      <c r="G48" s="26"/>
      <c r="J48" s="164"/>
      <c r="K48" s="22">
        <v>8</v>
      </c>
      <c r="L48" s="31">
        <f>IFERROR(GETPIVOTDATA("Amount",'F-195 ExpendPivot'!$A$5:$K$2039,"CCDDD",'2025–26 Worksheet A'!$C$2,"Program","25","Activity","25","Object","8"),0)</f>
        <v>0</v>
      </c>
      <c r="M48" s="45">
        <v>0</v>
      </c>
      <c r="N48" s="31">
        <f t="shared" si="21"/>
        <v>0</v>
      </c>
      <c r="O48" s="32">
        <f t="shared" si="5"/>
        <v>0</v>
      </c>
      <c r="P48" s="26"/>
      <c r="R48" s="164"/>
      <c r="S48" s="22">
        <v>8</v>
      </c>
      <c r="T48" s="31">
        <f>IFERROR(GETPIVOTDATA("Amount",'F-195 ExpendPivot'!$A$5:$K$2039,"CCDDD",'2025–26 Worksheet A'!$C$2,"Program","26","Activity","25","Object","8"),0)</f>
        <v>0</v>
      </c>
      <c r="U48" s="45">
        <v>0</v>
      </c>
      <c r="V48" s="31">
        <f t="shared" si="22"/>
        <v>0</v>
      </c>
      <c r="W48" s="32">
        <f t="shared" si="6"/>
        <v>0</v>
      </c>
      <c r="X48" s="26"/>
      <c r="Z48" s="164"/>
      <c r="AA48" s="22">
        <v>8</v>
      </c>
      <c r="AB48" s="31">
        <f>IFERROR(GETPIVOTDATA("Amount",'F-195 ExpendPivot'!$A$5:$K$2039,"CCDDD",'2025–26 Worksheet A'!$C$2,"Program","29","Activity","25","Object","8"),0)</f>
        <v>0</v>
      </c>
      <c r="AC48" s="45">
        <v>0</v>
      </c>
      <c r="AD48" s="31">
        <f t="shared" si="23"/>
        <v>0</v>
      </c>
      <c r="AE48" s="32">
        <f t="shared" si="7"/>
        <v>0</v>
      </c>
      <c r="AF48" s="26"/>
    </row>
    <row r="49" spans="1:32">
      <c r="A49" s="164"/>
      <c r="B49" s="22">
        <v>9</v>
      </c>
      <c r="C49" s="31">
        <f>IFERROR(GETPIVOTDATA("Amount",'F-195 ExpendPivot'!$A$5:$K$2039,"CCDDD",'2025–26 Worksheet A'!$C$2,"Program","21","Activity","25","Object","9"),0)</f>
        <v>0</v>
      </c>
      <c r="D49" s="45">
        <v>0</v>
      </c>
      <c r="E49" s="31">
        <f t="shared" si="20"/>
        <v>0</v>
      </c>
      <c r="F49" s="32">
        <f t="shared" si="4"/>
        <v>0</v>
      </c>
      <c r="G49" s="26"/>
      <c r="J49" s="164"/>
      <c r="K49" s="22">
        <v>9</v>
      </c>
      <c r="L49" s="31">
        <f>IFERROR(GETPIVOTDATA("Amount",'F-195 ExpendPivot'!$A$5:$K$2039,"CCDDD",'2025–26 Worksheet A'!$C$2,"Program","25","Activity","25","Object","9"),0)</f>
        <v>0</v>
      </c>
      <c r="M49" s="45">
        <v>0</v>
      </c>
      <c r="N49" s="31">
        <f t="shared" si="21"/>
        <v>0</v>
      </c>
      <c r="O49" s="32">
        <f t="shared" si="5"/>
        <v>0</v>
      </c>
      <c r="P49" s="26"/>
      <c r="R49" s="164"/>
      <c r="S49" s="22">
        <v>9</v>
      </c>
      <c r="T49" s="31">
        <f>IFERROR(GETPIVOTDATA("Amount",'F-195 ExpendPivot'!$A$5:$K$2039,"CCDDD",'2025–26 Worksheet A'!$C$2,"Program","26","Activity","25","Object","9"),0)</f>
        <v>0</v>
      </c>
      <c r="U49" s="45">
        <v>0</v>
      </c>
      <c r="V49" s="31">
        <f t="shared" si="22"/>
        <v>0</v>
      </c>
      <c r="W49" s="32">
        <f t="shared" si="6"/>
        <v>0</v>
      </c>
      <c r="X49" s="26"/>
      <c r="Z49" s="164"/>
      <c r="AA49" s="22">
        <v>9</v>
      </c>
      <c r="AB49" s="31">
        <f>IFERROR(GETPIVOTDATA("Amount",'F-195 ExpendPivot'!$A$5:$K$2039,"CCDDD",'2025–26 Worksheet A'!$C$2,"Program","29","Activity","25","Object","9"),0)</f>
        <v>0</v>
      </c>
      <c r="AC49" s="45">
        <v>0</v>
      </c>
      <c r="AD49" s="31">
        <f t="shared" si="23"/>
        <v>0</v>
      </c>
      <c r="AE49" s="32">
        <f t="shared" si="7"/>
        <v>0</v>
      </c>
      <c r="AF49" s="26"/>
    </row>
    <row r="50" spans="1:32">
      <c r="A50" s="165"/>
      <c r="B50" s="40"/>
      <c r="C50" s="46">
        <f>SUM(C42:C49)</f>
        <v>0</v>
      </c>
      <c r="D50" s="46">
        <f>SUM(D42:D49)</f>
        <v>0</v>
      </c>
      <c r="E50" s="46">
        <f>SUM(E42:E49)</f>
        <v>0</v>
      </c>
      <c r="F50" s="47"/>
      <c r="G50" s="48"/>
      <c r="J50" s="165"/>
      <c r="K50" s="40"/>
      <c r="L50" s="46">
        <f>SUM(L42:L49)</f>
        <v>0</v>
      </c>
      <c r="M50" s="46">
        <f>SUM(M42:M49)</f>
        <v>0</v>
      </c>
      <c r="N50" s="46">
        <f>SUM(N42:N49)</f>
        <v>0</v>
      </c>
      <c r="O50" s="47"/>
      <c r="P50" s="48"/>
      <c r="R50" s="165"/>
      <c r="S50" s="40"/>
      <c r="T50" s="46">
        <f>SUM(T42:T49)</f>
        <v>0</v>
      </c>
      <c r="U50" s="46">
        <f>SUM(U42:U49)</f>
        <v>0</v>
      </c>
      <c r="V50" s="46">
        <f>SUM(V42:V49)</f>
        <v>0</v>
      </c>
      <c r="W50" s="47"/>
      <c r="X50" s="48"/>
      <c r="Z50" s="165"/>
      <c r="AA50" s="40"/>
      <c r="AB50" s="46">
        <f>SUM(AB42:AB49)</f>
        <v>0</v>
      </c>
      <c r="AC50" s="46">
        <f>SUM(AC42:AC49)</f>
        <v>0</v>
      </c>
      <c r="AD50" s="46">
        <f>SUM(AD42:AD49)</f>
        <v>0</v>
      </c>
      <c r="AE50" s="47"/>
      <c r="AF50" s="48"/>
    </row>
    <row r="51" spans="1:32">
      <c r="A51" s="163">
        <v>26</v>
      </c>
      <c r="B51" s="27">
        <v>0</v>
      </c>
      <c r="C51" s="28">
        <f>IFERROR(GETPIVOTDATA("Amount",'F-195 ExpendPivot'!$A$5:$K$2039,"CCDDD",'2025–26 Worksheet A'!$C$2,"Program","21","Activity","26","Object","0"),0)</f>
        <v>0</v>
      </c>
      <c r="D51" s="44">
        <v>0</v>
      </c>
      <c r="E51" s="28"/>
      <c r="F51" s="32">
        <f t="shared" si="4"/>
        <v>0</v>
      </c>
      <c r="G51" s="30"/>
      <c r="J51" s="163">
        <v>26</v>
      </c>
      <c r="K51" s="27">
        <v>0</v>
      </c>
      <c r="L51" s="28">
        <f>IFERROR(GETPIVOTDATA("Amount",'F-195 ExpendPivot'!$A$5:$K$2039,"CCDDD",'2025–26 Worksheet A'!$C$2,"Program","24","Activity","26","Object","0"),0)</f>
        <v>0</v>
      </c>
      <c r="M51" s="44">
        <v>0</v>
      </c>
      <c r="N51" s="28"/>
      <c r="O51" s="29">
        <f t="shared" si="5"/>
        <v>0</v>
      </c>
      <c r="P51" s="30"/>
      <c r="R51" s="163">
        <v>26</v>
      </c>
      <c r="S51" s="27">
        <v>0</v>
      </c>
      <c r="T51" s="28">
        <f>IFERROR(GETPIVOTDATA("Amount",'F-195 ExpendPivot'!$A$5:$K$2039,"CCDDD",'2025–26 Worksheet A'!$C$2,"Program","26","Activity","26","Object","0"),0)</f>
        <v>0</v>
      </c>
      <c r="U51" s="44">
        <v>0</v>
      </c>
      <c r="V51" s="28"/>
      <c r="W51" s="29">
        <f t="shared" si="6"/>
        <v>0</v>
      </c>
      <c r="X51" s="30"/>
      <c r="Z51" s="163">
        <v>26</v>
      </c>
      <c r="AA51" s="27">
        <v>0</v>
      </c>
      <c r="AB51" s="28">
        <f>IFERROR(GETPIVOTDATA("Amount",'F-195 ExpendPivot'!$A$5:$K$2039,"CCDDD",'2025–26 Worksheet A'!$C$2,"Program","29","Activity","26","Object","0"),0)</f>
        <v>0</v>
      </c>
      <c r="AC51" s="44">
        <v>0</v>
      </c>
      <c r="AD51" s="28"/>
      <c r="AE51" s="29">
        <f t="shared" si="7"/>
        <v>0</v>
      </c>
      <c r="AF51" s="30"/>
    </row>
    <row r="52" spans="1:32">
      <c r="A52" s="164"/>
      <c r="B52" s="22">
        <v>2</v>
      </c>
      <c r="C52" s="31">
        <f>IFERROR(GETPIVOTDATA("Amount",'F-195 ExpendPivot'!$A$5:$K$2039,"CCDDD",'2025–26 Worksheet A'!$C$2,"Program","21","Activity","26","Object","2"),0)</f>
        <v>0</v>
      </c>
      <c r="D52" s="45">
        <v>0</v>
      </c>
      <c r="E52" s="31">
        <f t="shared" ref="E52:E58" si="24">D52/$D$3*12</f>
        <v>0</v>
      </c>
      <c r="F52" s="32">
        <f t="shared" si="4"/>
        <v>0</v>
      </c>
      <c r="G52" s="26"/>
      <c r="J52" s="164"/>
      <c r="K52" s="22">
        <v>2</v>
      </c>
      <c r="L52" s="31">
        <f>IFERROR(GETPIVOTDATA("Amount",'F-195 ExpendPivot'!$A$5:$K$2039,"CCDDD",'2025–26 Worksheet A'!$C$2,"Program","24","Activity","26","Object","2"),0)</f>
        <v>0</v>
      </c>
      <c r="M52" s="45">
        <v>0</v>
      </c>
      <c r="N52" s="31">
        <f t="shared" ref="N52:N58" si="25">M52/$D$3*12</f>
        <v>0</v>
      </c>
      <c r="O52" s="32">
        <f t="shared" si="5"/>
        <v>0</v>
      </c>
      <c r="P52" s="26"/>
      <c r="R52" s="164"/>
      <c r="S52" s="22">
        <v>2</v>
      </c>
      <c r="T52" s="31">
        <f>IFERROR(GETPIVOTDATA("Amount",'F-195 ExpendPivot'!$A$5:$K$2039,"CCDDD",'2025–26 Worksheet A'!$C$2,"Program","26","Activity","26","Object","2"),0)</f>
        <v>0</v>
      </c>
      <c r="U52" s="45">
        <v>0</v>
      </c>
      <c r="V52" s="31">
        <f t="shared" ref="V52:V58" si="26">U52/$D$3*12</f>
        <v>0</v>
      </c>
      <c r="W52" s="32">
        <f t="shared" si="6"/>
        <v>0</v>
      </c>
      <c r="X52" s="26"/>
      <c r="Z52" s="164"/>
      <c r="AA52" s="22">
        <v>2</v>
      </c>
      <c r="AB52" s="31">
        <f>IFERROR(GETPIVOTDATA("Amount",'F-195 ExpendPivot'!$A$5:$K$2039,"CCDDD",'2025–26 Worksheet A'!$C$2,"Program","29","Activity","26","Object","2"),0)</f>
        <v>0</v>
      </c>
      <c r="AC52" s="45">
        <v>0</v>
      </c>
      <c r="AD52" s="31">
        <f t="shared" ref="AD52:AD58" si="27">AC52/$D$3*12</f>
        <v>0</v>
      </c>
      <c r="AE52" s="32">
        <f t="shared" si="7"/>
        <v>0</v>
      </c>
      <c r="AF52" s="26"/>
    </row>
    <row r="53" spans="1:32">
      <c r="A53" s="164"/>
      <c r="B53" s="22">
        <v>3</v>
      </c>
      <c r="C53" s="31">
        <f>IFERROR(GETPIVOTDATA("Amount",'F-195 ExpendPivot'!$A$5:$K$2039,"CCDDD",'2025–26 Worksheet A'!$C$2,"Program","21","Activity","26","Object","3"),0)</f>
        <v>0</v>
      </c>
      <c r="D53" s="45">
        <v>0</v>
      </c>
      <c r="E53" s="31">
        <f t="shared" si="24"/>
        <v>0</v>
      </c>
      <c r="F53" s="32">
        <f t="shared" si="4"/>
        <v>0</v>
      </c>
      <c r="G53" s="26"/>
      <c r="J53" s="164"/>
      <c r="K53" s="22">
        <v>3</v>
      </c>
      <c r="L53" s="31">
        <f>IFERROR(GETPIVOTDATA("Amount",'F-195 ExpendPivot'!$A$5:$K$2039,"CCDDD",'2025–26 Worksheet A'!$C$2,"Program","24","Activity","26","Object","3"),0)</f>
        <v>0</v>
      </c>
      <c r="M53" s="45">
        <v>0</v>
      </c>
      <c r="N53" s="31">
        <f t="shared" si="25"/>
        <v>0</v>
      </c>
      <c r="O53" s="32">
        <f t="shared" si="5"/>
        <v>0</v>
      </c>
      <c r="P53" s="26"/>
      <c r="R53" s="164"/>
      <c r="S53" s="22">
        <v>3</v>
      </c>
      <c r="T53" s="31">
        <f>IFERROR(GETPIVOTDATA("Amount",'F-195 ExpendPivot'!$A$5:$K$2039,"CCDDD",'2025–26 Worksheet A'!$C$2,"Program","26","Activity","26","Object","3"),0)</f>
        <v>0</v>
      </c>
      <c r="U53" s="45">
        <v>0</v>
      </c>
      <c r="V53" s="31">
        <f t="shared" si="26"/>
        <v>0</v>
      </c>
      <c r="W53" s="32">
        <f t="shared" si="6"/>
        <v>0</v>
      </c>
      <c r="X53" s="26"/>
      <c r="Z53" s="164"/>
      <c r="AA53" s="22">
        <v>3</v>
      </c>
      <c r="AB53" s="31">
        <f>IFERROR(GETPIVOTDATA("Amount",'F-195 ExpendPivot'!$A$5:$K$2039,"CCDDD",'2025–26 Worksheet A'!$C$2,"Program","29","Activity","26","Object","3"),0)</f>
        <v>0</v>
      </c>
      <c r="AC53" s="45">
        <v>0</v>
      </c>
      <c r="AD53" s="31">
        <f t="shared" si="27"/>
        <v>0</v>
      </c>
      <c r="AE53" s="32">
        <f t="shared" si="7"/>
        <v>0</v>
      </c>
      <c r="AF53" s="26"/>
    </row>
    <row r="54" spans="1:32">
      <c r="A54" s="164"/>
      <c r="B54" s="22">
        <v>4</v>
      </c>
      <c r="C54" s="31">
        <f>IFERROR(GETPIVOTDATA("Amount",'F-195 ExpendPivot'!$A$5:$K$2039,"CCDDD",'2025–26 Worksheet A'!$C$2,"Program","21","Activity","26","Object","4"),0)</f>
        <v>0</v>
      </c>
      <c r="D54" s="45">
        <v>0</v>
      </c>
      <c r="E54" s="31">
        <f t="shared" si="24"/>
        <v>0</v>
      </c>
      <c r="F54" s="32">
        <f t="shared" si="4"/>
        <v>0</v>
      </c>
      <c r="G54" s="26"/>
      <c r="J54" s="164"/>
      <c r="K54" s="22">
        <v>4</v>
      </c>
      <c r="L54" s="31">
        <f>IFERROR(GETPIVOTDATA("Amount",'F-195 ExpendPivot'!$A$5:$K$2039,"CCDDD",'2025–26 Worksheet A'!$C$2,"Program","24","Activity","26","Object","4"),0)</f>
        <v>0</v>
      </c>
      <c r="M54" s="45">
        <v>0</v>
      </c>
      <c r="N54" s="31">
        <f t="shared" si="25"/>
        <v>0</v>
      </c>
      <c r="O54" s="32">
        <f t="shared" si="5"/>
        <v>0</v>
      </c>
      <c r="P54" s="26"/>
      <c r="R54" s="164"/>
      <c r="S54" s="22">
        <v>4</v>
      </c>
      <c r="T54" s="31">
        <f>IFERROR(GETPIVOTDATA("Amount",'F-195 ExpendPivot'!$A$5:$K$2039,"CCDDD",'2025–26 Worksheet A'!$C$2,"Program","26","Activity","26","Object","4"),0)</f>
        <v>0</v>
      </c>
      <c r="U54" s="45">
        <v>0</v>
      </c>
      <c r="V54" s="31">
        <f t="shared" si="26"/>
        <v>0</v>
      </c>
      <c r="W54" s="32">
        <f t="shared" si="6"/>
        <v>0</v>
      </c>
      <c r="X54" s="26"/>
      <c r="Z54" s="164"/>
      <c r="AA54" s="22">
        <v>4</v>
      </c>
      <c r="AB54" s="31">
        <f>IFERROR(GETPIVOTDATA("Amount",'F-195 ExpendPivot'!$A$5:$K$2039,"CCDDD",'2025–26 Worksheet A'!$C$2,"Program","29","Activity","26","Object","4"),0)</f>
        <v>0</v>
      </c>
      <c r="AC54" s="45">
        <v>0</v>
      </c>
      <c r="AD54" s="31">
        <f t="shared" si="27"/>
        <v>0</v>
      </c>
      <c r="AE54" s="32">
        <f t="shared" si="7"/>
        <v>0</v>
      </c>
      <c r="AF54" s="26"/>
    </row>
    <row r="55" spans="1:32">
      <c r="A55" s="164"/>
      <c r="B55" s="22">
        <v>5</v>
      </c>
      <c r="C55" s="31">
        <f>IFERROR(GETPIVOTDATA("Amount",'F-195 ExpendPivot'!$A$5:$K$2039,"CCDDD",'2025–26 Worksheet A'!$C$2,"Program","21","Activity","26","Object","5"),0)</f>
        <v>0</v>
      </c>
      <c r="D55" s="45">
        <v>0</v>
      </c>
      <c r="E55" s="31">
        <f t="shared" si="24"/>
        <v>0</v>
      </c>
      <c r="F55" s="32">
        <f t="shared" si="4"/>
        <v>0</v>
      </c>
      <c r="G55" s="26"/>
      <c r="J55" s="164"/>
      <c r="K55" s="22">
        <v>5</v>
      </c>
      <c r="L55" s="31">
        <f>IFERROR(GETPIVOTDATA("Amount",'F-195 ExpendPivot'!$A$5:$K$2039,"CCDDD",'2025–26 Worksheet A'!$C$2,"Program","24","Activity","26","Object","5"),0)</f>
        <v>0</v>
      </c>
      <c r="M55" s="45">
        <v>0</v>
      </c>
      <c r="N55" s="31">
        <f t="shared" si="25"/>
        <v>0</v>
      </c>
      <c r="O55" s="32">
        <f t="shared" si="5"/>
        <v>0</v>
      </c>
      <c r="P55" s="26"/>
      <c r="R55" s="164"/>
      <c r="S55" s="22">
        <v>5</v>
      </c>
      <c r="T55" s="31">
        <f>IFERROR(GETPIVOTDATA("Amount",'F-195 ExpendPivot'!$A$5:$K$2039,"CCDDD",'2025–26 Worksheet A'!$C$2,"Program","26","Activity","26","Object","5"),0)</f>
        <v>0</v>
      </c>
      <c r="U55" s="45">
        <v>0</v>
      </c>
      <c r="V55" s="31">
        <f t="shared" si="26"/>
        <v>0</v>
      </c>
      <c r="W55" s="32">
        <f t="shared" si="6"/>
        <v>0</v>
      </c>
      <c r="X55" s="26"/>
      <c r="Z55" s="164"/>
      <c r="AA55" s="22">
        <v>5</v>
      </c>
      <c r="AB55" s="31">
        <f>IFERROR(GETPIVOTDATA("Amount",'F-195 ExpendPivot'!$A$5:$K$2039,"CCDDD",'2025–26 Worksheet A'!$C$2,"Program","29","Activity","26","Object","5"),0)</f>
        <v>0</v>
      </c>
      <c r="AC55" s="45">
        <v>0</v>
      </c>
      <c r="AD55" s="31">
        <f t="shared" si="27"/>
        <v>0</v>
      </c>
      <c r="AE55" s="32">
        <f t="shared" si="7"/>
        <v>0</v>
      </c>
      <c r="AF55" s="26"/>
    </row>
    <row r="56" spans="1:32">
      <c r="A56" s="164"/>
      <c r="B56" s="22">
        <v>7</v>
      </c>
      <c r="C56" s="31">
        <f>IFERROR(GETPIVOTDATA("Amount",'F-195 ExpendPivot'!$A$5:$K$2039,"CCDDD",'2025–26 Worksheet A'!$C$2,"Program","21","Activity","26","Object","7"),0)</f>
        <v>0</v>
      </c>
      <c r="D56" s="45">
        <v>0</v>
      </c>
      <c r="E56" s="31">
        <f t="shared" si="24"/>
        <v>0</v>
      </c>
      <c r="F56" s="32">
        <f t="shared" si="4"/>
        <v>0</v>
      </c>
      <c r="G56" s="26"/>
      <c r="J56" s="164"/>
      <c r="K56" s="22">
        <v>7</v>
      </c>
      <c r="L56" s="31">
        <f>IFERROR(GETPIVOTDATA("Amount",'F-195 ExpendPivot'!$A$5:$K$2039,"CCDDD",'2025–26 Worksheet A'!$C$2,"Program","24","Activity","26","Object","7"),0)</f>
        <v>0</v>
      </c>
      <c r="M56" s="45">
        <v>0</v>
      </c>
      <c r="N56" s="31">
        <f t="shared" si="25"/>
        <v>0</v>
      </c>
      <c r="O56" s="32">
        <f t="shared" si="5"/>
        <v>0</v>
      </c>
      <c r="P56" s="26"/>
      <c r="R56" s="164"/>
      <c r="S56" s="22">
        <v>7</v>
      </c>
      <c r="T56" s="31">
        <f>IFERROR(GETPIVOTDATA("Amount",'F-195 ExpendPivot'!$A$5:$K$2039,"CCDDD",'2025–26 Worksheet A'!$C$2,"Program","26","Activity","26","Object","7"),0)</f>
        <v>0</v>
      </c>
      <c r="U56" s="45">
        <v>0</v>
      </c>
      <c r="V56" s="31">
        <f t="shared" si="26"/>
        <v>0</v>
      </c>
      <c r="W56" s="32">
        <f t="shared" si="6"/>
        <v>0</v>
      </c>
      <c r="X56" s="26"/>
      <c r="Z56" s="164"/>
      <c r="AA56" s="22">
        <v>7</v>
      </c>
      <c r="AB56" s="31">
        <f>IFERROR(GETPIVOTDATA("Amount",'F-195 ExpendPivot'!$A$5:$K$2039,"CCDDD",'2025–26 Worksheet A'!$C$2,"Program","29","Activity","26","Object","7"),0)</f>
        <v>0</v>
      </c>
      <c r="AC56" s="45">
        <v>0</v>
      </c>
      <c r="AD56" s="31">
        <f t="shared" si="27"/>
        <v>0</v>
      </c>
      <c r="AE56" s="32">
        <f t="shared" si="7"/>
        <v>0</v>
      </c>
      <c r="AF56" s="26"/>
    </row>
    <row r="57" spans="1:32">
      <c r="A57" s="164"/>
      <c r="B57" s="22">
        <v>8</v>
      </c>
      <c r="C57" s="31">
        <f>IFERROR(GETPIVOTDATA("Amount",'F-195 ExpendPivot'!$A$5:$K$2039,"CCDDD",'2025–26 Worksheet A'!$C$2,"Program","21","Activity","26","Object","8"),0)</f>
        <v>0</v>
      </c>
      <c r="D57" s="45">
        <v>0</v>
      </c>
      <c r="E57" s="31">
        <f t="shared" si="24"/>
        <v>0</v>
      </c>
      <c r="F57" s="32">
        <f t="shared" si="4"/>
        <v>0</v>
      </c>
      <c r="G57" s="26"/>
      <c r="J57" s="164"/>
      <c r="K57" s="22">
        <v>8</v>
      </c>
      <c r="L57" s="31">
        <f>IFERROR(GETPIVOTDATA("Amount",'F-195 ExpendPivot'!$A$5:$K$2039,"CCDDD",'2025–26 Worksheet A'!$C$2,"Program","24","Activity","26","Object","8"),0)</f>
        <v>0</v>
      </c>
      <c r="M57" s="45">
        <v>0</v>
      </c>
      <c r="N57" s="31">
        <f t="shared" si="25"/>
        <v>0</v>
      </c>
      <c r="O57" s="32">
        <f t="shared" si="5"/>
        <v>0</v>
      </c>
      <c r="P57" s="26"/>
      <c r="R57" s="164"/>
      <c r="S57" s="22">
        <v>8</v>
      </c>
      <c r="T57" s="31">
        <f>IFERROR(GETPIVOTDATA("Amount",'F-195 ExpendPivot'!$A$5:$K$2039,"CCDDD",'2025–26 Worksheet A'!$C$2,"Program","26","Activity","26","Object","8"),0)</f>
        <v>0</v>
      </c>
      <c r="U57" s="45">
        <v>0</v>
      </c>
      <c r="V57" s="31">
        <f t="shared" si="26"/>
        <v>0</v>
      </c>
      <c r="W57" s="32">
        <f t="shared" si="6"/>
        <v>0</v>
      </c>
      <c r="X57" s="26"/>
      <c r="Z57" s="164"/>
      <c r="AA57" s="22">
        <v>8</v>
      </c>
      <c r="AB57" s="31">
        <f>IFERROR(GETPIVOTDATA("Amount",'F-195 ExpendPivot'!$A$5:$K$2039,"CCDDD",'2025–26 Worksheet A'!$C$2,"Program","29","Activity","26","Object","8"),0)</f>
        <v>0</v>
      </c>
      <c r="AC57" s="45">
        <v>0</v>
      </c>
      <c r="AD57" s="31">
        <f t="shared" si="27"/>
        <v>0</v>
      </c>
      <c r="AE57" s="32">
        <f t="shared" si="7"/>
        <v>0</v>
      </c>
      <c r="AF57" s="26"/>
    </row>
    <row r="58" spans="1:32">
      <c r="A58" s="164"/>
      <c r="B58" s="22">
        <v>9</v>
      </c>
      <c r="C58" s="31">
        <f>IFERROR(GETPIVOTDATA("Amount",'F-195 ExpendPivot'!$A$5:$K$2039,"CCDDD",'2025–26 Worksheet A'!$C$2,"Program","21","Activity","26","Object","9"),0)</f>
        <v>0</v>
      </c>
      <c r="D58" s="45">
        <v>0</v>
      </c>
      <c r="E58" s="31">
        <f t="shared" si="24"/>
        <v>0</v>
      </c>
      <c r="F58" s="32">
        <f t="shared" si="4"/>
        <v>0</v>
      </c>
      <c r="G58" s="26"/>
      <c r="J58" s="164"/>
      <c r="K58" s="22">
        <v>9</v>
      </c>
      <c r="L58" s="31">
        <f>IFERROR(GETPIVOTDATA("Amount",'F-195 ExpendPivot'!$A$5:$K$2039,"CCDDD",'2025–26 Worksheet A'!$C$2,"Program","24","Activity","26","Object","9"),0)</f>
        <v>0</v>
      </c>
      <c r="M58" s="45">
        <v>0</v>
      </c>
      <c r="N58" s="31">
        <f t="shared" si="25"/>
        <v>0</v>
      </c>
      <c r="O58" s="32">
        <f t="shared" si="5"/>
        <v>0</v>
      </c>
      <c r="P58" s="26"/>
      <c r="R58" s="164"/>
      <c r="S58" s="22">
        <v>9</v>
      </c>
      <c r="T58" s="31">
        <f>IFERROR(GETPIVOTDATA("Amount",'F-195 ExpendPivot'!$A$5:$K$2039,"CCDDD",'2025–26 Worksheet A'!$C$2,"Program","26","Activity","26","Object","9"),0)</f>
        <v>0</v>
      </c>
      <c r="U58" s="45">
        <v>0</v>
      </c>
      <c r="V58" s="31">
        <f t="shared" si="26"/>
        <v>0</v>
      </c>
      <c r="W58" s="32">
        <f t="shared" si="6"/>
        <v>0</v>
      </c>
      <c r="X58" s="26"/>
      <c r="Z58" s="164"/>
      <c r="AA58" s="22">
        <v>9</v>
      </c>
      <c r="AB58" s="31">
        <f>IFERROR(GETPIVOTDATA("Amount",'F-195 ExpendPivot'!$A$5:$K$2039,"CCDDD",'2025–26 Worksheet A'!$C$2,"Program","29","Activity","26","Object","9"),0)</f>
        <v>0</v>
      </c>
      <c r="AC58" s="45">
        <v>0</v>
      </c>
      <c r="AD58" s="31">
        <f t="shared" si="27"/>
        <v>0</v>
      </c>
      <c r="AE58" s="32">
        <f t="shared" si="7"/>
        <v>0</v>
      </c>
      <c r="AF58" s="26"/>
    </row>
    <row r="59" spans="1:32">
      <c r="A59" s="165"/>
      <c r="B59" s="40"/>
      <c r="C59" s="46">
        <f>SUM(C51:C58)</f>
        <v>0</v>
      </c>
      <c r="D59" s="46">
        <f>SUM(D51:D58)</f>
        <v>0</v>
      </c>
      <c r="E59" s="46">
        <f>SUM(E51:E58)</f>
        <v>0</v>
      </c>
      <c r="F59" s="47"/>
      <c r="G59" s="48"/>
      <c r="J59" s="165"/>
      <c r="K59" s="40"/>
      <c r="L59" s="46">
        <f>SUM(L51:L58)</f>
        <v>0</v>
      </c>
      <c r="M59" s="46">
        <f>SUM(M51:M58)</f>
        <v>0</v>
      </c>
      <c r="N59" s="46">
        <f>SUM(N51:N58)</f>
        <v>0</v>
      </c>
      <c r="O59" s="47"/>
      <c r="P59" s="48"/>
      <c r="R59" s="165"/>
      <c r="S59" s="40"/>
      <c r="T59" s="46">
        <f>SUM(T51:T58)</f>
        <v>0</v>
      </c>
      <c r="U59" s="46">
        <f>SUM(U51:U58)</f>
        <v>0</v>
      </c>
      <c r="V59" s="46">
        <f>SUM(V51:V58)</f>
        <v>0</v>
      </c>
      <c r="W59" s="47"/>
      <c r="X59" s="48"/>
      <c r="Z59" s="165"/>
      <c r="AA59" s="40"/>
      <c r="AB59" s="46">
        <f>SUM(AB51:AB58)</f>
        <v>0</v>
      </c>
      <c r="AC59" s="46">
        <f>SUM(AC51:AC58)</f>
        <v>0</v>
      </c>
      <c r="AD59" s="46">
        <f>SUM(AD51:AD58)</f>
        <v>0</v>
      </c>
      <c r="AE59" s="47"/>
      <c r="AF59" s="48"/>
    </row>
    <row r="60" spans="1:32">
      <c r="A60" s="163">
        <v>27</v>
      </c>
      <c r="B60" s="27">
        <v>0</v>
      </c>
      <c r="C60" s="28">
        <f>IFERROR(GETPIVOTDATA("Amount",'F-195 ExpendPivot'!$A$5:$K$2039,"CCDDD",'2025–26 Worksheet A'!$C$2,"Program","21","Activity","27","Object","0"),0)</f>
        <v>0</v>
      </c>
      <c r="D60" s="44">
        <v>0</v>
      </c>
      <c r="E60" s="28">
        <f t="shared" ref="E60:E67" si="28">D60/$D$3*12</f>
        <v>0</v>
      </c>
      <c r="F60" s="32">
        <f t="shared" si="4"/>
        <v>0</v>
      </c>
      <c r="G60" s="30"/>
      <c r="J60" s="163">
        <v>27</v>
      </c>
      <c r="K60" s="27">
        <v>0</v>
      </c>
      <c r="L60" s="28">
        <f>IFERROR(GETPIVOTDATA("Amount",'F-195 ExpendPivot'!$A$5:$K$2039,"CCDDD",'2025–26 Worksheet A'!$C$2,"Program","24","Activity","27","Object","0"),0)</f>
        <v>0</v>
      </c>
      <c r="M60" s="44">
        <v>0</v>
      </c>
      <c r="N60" s="28">
        <f t="shared" ref="N60:N67" si="29">M60/$D$3*12</f>
        <v>0</v>
      </c>
      <c r="O60" s="29">
        <f t="shared" si="5"/>
        <v>0</v>
      </c>
      <c r="P60" s="30"/>
      <c r="R60" s="163">
        <v>27</v>
      </c>
      <c r="S60" s="27">
        <v>0</v>
      </c>
      <c r="T60" s="28">
        <f>IFERROR(GETPIVOTDATA("Amount",'F-195 ExpendPivot'!$A$5:$K$2039,"CCDDD",'2025–26 Worksheet A'!$C$2,"Program","26","Activity","27","Object","0"),0)</f>
        <v>0</v>
      </c>
      <c r="U60" s="44">
        <v>0</v>
      </c>
      <c r="V60" s="28">
        <f t="shared" ref="V60:V67" si="30">U60/$D$3*12</f>
        <v>0</v>
      </c>
      <c r="W60" s="29">
        <f t="shared" si="6"/>
        <v>0</v>
      </c>
      <c r="X60" s="30"/>
      <c r="Z60" s="163">
        <v>27</v>
      </c>
      <c r="AA60" s="27">
        <v>0</v>
      </c>
      <c r="AB60" s="28">
        <f>IFERROR(GETPIVOTDATA("Amount",'F-195 ExpendPivot'!$A$5:$K$2039,"CCDDD",'2025–26 Worksheet A'!$C$2,"Program","29","Activity","27","Object","0"),0)</f>
        <v>0</v>
      </c>
      <c r="AC60" s="44">
        <v>0</v>
      </c>
      <c r="AD60" s="28">
        <f t="shared" ref="AD60:AD67" si="31">AC60/$D$3*12</f>
        <v>0</v>
      </c>
      <c r="AE60" s="29">
        <f t="shared" si="7"/>
        <v>0</v>
      </c>
      <c r="AF60" s="30"/>
    </row>
    <row r="61" spans="1:32">
      <c r="A61" s="164"/>
      <c r="B61" s="22">
        <v>2</v>
      </c>
      <c r="C61" s="31">
        <f>IFERROR(GETPIVOTDATA("Amount",'F-195 ExpendPivot'!$A$5:$K$2039,"CCDDD",'2025–26 Worksheet A'!$C$2,"Program","21","Activity","27","Object","2"),0)</f>
        <v>0</v>
      </c>
      <c r="D61" s="45">
        <v>0</v>
      </c>
      <c r="E61" s="31">
        <f t="shared" si="28"/>
        <v>0</v>
      </c>
      <c r="F61" s="32">
        <f t="shared" si="4"/>
        <v>0</v>
      </c>
      <c r="G61" s="26"/>
      <c r="J61" s="164"/>
      <c r="K61" s="22">
        <v>2</v>
      </c>
      <c r="L61" s="31">
        <f>IFERROR(GETPIVOTDATA("Amount",'F-195 ExpendPivot'!$A$5:$K$2039,"CCDDD",'2025–26 Worksheet A'!$C$2,"Program","24","Activity","27","Object","2"),0)</f>
        <v>0</v>
      </c>
      <c r="M61" s="45">
        <v>0</v>
      </c>
      <c r="N61" s="31">
        <f t="shared" si="29"/>
        <v>0</v>
      </c>
      <c r="O61" s="32">
        <f t="shared" si="5"/>
        <v>0</v>
      </c>
      <c r="P61" s="26"/>
      <c r="R61" s="164"/>
      <c r="S61" s="22">
        <v>2</v>
      </c>
      <c r="T61" s="31">
        <f>IFERROR(GETPIVOTDATA("Amount",'F-195 ExpendPivot'!$A$5:$K$2039,"CCDDD",'2025–26 Worksheet A'!$C$2,"Program","26","Activity","27","Object","2"),0)</f>
        <v>0</v>
      </c>
      <c r="U61" s="45">
        <v>0</v>
      </c>
      <c r="V61" s="31">
        <f t="shared" si="30"/>
        <v>0</v>
      </c>
      <c r="W61" s="32">
        <f t="shared" si="6"/>
        <v>0</v>
      </c>
      <c r="X61" s="26"/>
      <c r="Z61" s="164"/>
      <c r="AA61" s="22">
        <v>2</v>
      </c>
      <c r="AB61" s="31">
        <f>IFERROR(GETPIVOTDATA("Amount",'F-195 ExpendPivot'!$A$5:$K$2039,"CCDDD",'2025–26 Worksheet A'!$C$2,"Program","29","Activity","27","Object","2"),0)</f>
        <v>0</v>
      </c>
      <c r="AC61" s="45">
        <v>0</v>
      </c>
      <c r="AD61" s="31">
        <f t="shared" si="31"/>
        <v>0</v>
      </c>
      <c r="AE61" s="32">
        <f t="shared" si="7"/>
        <v>0</v>
      </c>
      <c r="AF61" s="26"/>
    </row>
    <row r="62" spans="1:32">
      <c r="A62" s="164"/>
      <c r="B62" s="22">
        <v>3</v>
      </c>
      <c r="C62" s="31">
        <f>IFERROR(GETPIVOTDATA("Amount",'F-195 ExpendPivot'!$A$5:$K$2039,"CCDDD",'2025–26 Worksheet A'!$C$2,"Program","21","Activity","27","Object","3"),0)</f>
        <v>0</v>
      </c>
      <c r="D62" s="45">
        <v>0</v>
      </c>
      <c r="E62" s="31">
        <f t="shared" si="28"/>
        <v>0</v>
      </c>
      <c r="F62" s="32">
        <f t="shared" si="4"/>
        <v>0</v>
      </c>
      <c r="G62" s="26"/>
      <c r="J62" s="164"/>
      <c r="K62" s="22">
        <v>3</v>
      </c>
      <c r="L62" s="31">
        <f>IFERROR(GETPIVOTDATA("Amount",'F-195 ExpendPivot'!$A$5:$K$2039,"CCDDD",'2025–26 Worksheet A'!$C$2,"Program","24","Activity","27","Object","3"),0)</f>
        <v>0</v>
      </c>
      <c r="M62" s="45">
        <v>0</v>
      </c>
      <c r="N62" s="31">
        <f t="shared" si="29"/>
        <v>0</v>
      </c>
      <c r="O62" s="32">
        <f t="shared" si="5"/>
        <v>0</v>
      </c>
      <c r="P62" s="26"/>
      <c r="R62" s="164"/>
      <c r="S62" s="22">
        <v>3</v>
      </c>
      <c r="T62" s="31">
        <f>IFERROR(GETPIVOTDATA("Amount",'F-195 ExpendPivot'!$A$5:$K$2039,"CCDDD",'2025–26 Worksheet A'!$C$2,"Program","26","Activity","27","Object","3"),0)</f>
        <v>0</v>
      </c>
      <c r="U62" s="45">
        <v>0</v>
      </c>
      <c r="V62" s="31">
        <f t="shared" si="30"/>
        <v>0</v>
      </c>
      <c r="W62" s="32">
        <f t="shared" si="6"/>
        <v>0</v>
      </c>
      <c r="X62" s="26"/>
      <c r="Z62" s="164"/>
      <c r="AA62" s="22">
        <v>3</v>
      </c>
      <c r="AB62" s="31">
        <f>IFERROR(GETPIVOTDATA("Amount",'F-195 ExpendPivot'!$A$5:$K$2039,"CCDDD",'2025–26 Worksheet A'!$C$2,"Program","29","Activity","27","Object","3"),0)</f>
        <v>0</v>
      </c>
      <c r="AC62" s="45">
        <v>0</v>
      </c>
      <c r="AD62" s="31">
        <f t="shared" si="31"/>
        <v>0</v>
      </c>
      <c r="AE62" s="32">
        <f t="shared" si="7"/>
        <v>0</v>
      </c>
      <c r="AF62" s="26"/>
    </row>
    <row r="63" spans="1:32">
      <c r="A63" s="164"/>
      <c r="B63" s="22">
        <v>4</v>
      </c>
      <c r="C63" s="31">
        <f>IFERROR(GETPIVOTDATA("Amount",'F-195 ExpendPivot'!$A$5:$K$2039,"CCDDD",'2025–26 Worksheet A'!$C$2,"Program","21","Activity","27","Object","4"),0)</f>
        <v>0</v>
      </c>
      <c r="D63" s="45">
        <v>0</v>
      </c>
      <c r="E63" s="31">
        <f t="shared" si="28"/>
        <v>0</v>
      </c>
      <c r="F63" s="32">
        <f t="shared" si="4"/>
        <v>0</v>
      </c>
      <c r="G63" s="26"/>
      <c r="J63" s="164"/>
      <c r="K63" s="22">
        <v>4</v>
      </c>
      <c r="L63" s="31">
        <f>IFERROR(GETPIVOTDATA("Amount",'F-195 ExpendPivot'!$A$5:$K$2039,"CCDDD",'2025–26 Worksheet A'!$C$2,"Program","24","Activity","27","Object","4"),0)</f>
        <v>0</v>
      </c>
      <c r="M63" s="45">
        <v>0</v>
      </c>
      <c r="N63" s="31">
        <f t="shared" si="29"/>
        <v>0</v>
      </c>
      <c r="O63" s="32">
        <f t="shared" si="5"/>
        <v>0</v>
      </c>
      <c r="P63" s="26"/>
      <c r="R63" s="164"/>
      <c r="S63" s="22">
        <v>4</v>
      </c>
      <c r="T63" s="31">
        <f>IFERROR(GETPIVOTDATA("Amount",'F-195 ExpendPivot'!$A$5:$K$2039,"CCDDD",'2025–26 Worksheet A'!$C$2,"Program","26","Activity","27","Object","4"),0)</f>
        <v>0</v>
      </c>
      <c r="U63" s="45">
        <v>0</v>
      </c>
      <c r="V63" s="31">
        <f t="shared" si="30"/>
        <v>0</v>
      </c>
      <c r="W63" s="32">
        <f t="shared" si="6"/>
        <v>0</v>
      </c>
      <c r="X63" s="26"/>
      <c r="Z63" s="164"/>
      <c r="AA63" s="22">
        <v>4</v>
      </c>
      <c r="AB63" s="31">
        <f>IFERROR(GETPIVOTDATA("Amount",'F-195 ExpendPivot'!$A$5:$K$2039,"CCDDD",'2025–26 Worksheet A'!$C$2,"Program","29","Activity","27","Object","4"),0)</f>
        <v>0</v>
      </c>
      <c r="AC63" s="45">
        <v>0</v>
      </c>
      <c r="AD63" s="31">
        <f t="shared" si="31"/>
        <v>0</v>
      </c>
      <c r="AE63" s="32">
        <f t="shared" si="7"/>
        <v>0</v>
      </c>
      <c r="AF63" s="26"/>
    </row>
    <row r="64" spans="1:32">
      <c r="A64" s="164"/>
      <c r="B64" s="22">
        <v>5</v>
      </c>
      <c r="C64" s="31">
        <f>IFERROR(GETPIVOTDATA("Amount",'F-195 ExpendPivot'!$A$5:$K$2039,"CCDDD",'2025–26 Worksheet A'!$C$2,"Program","21","Activity","27","Object","5"),0)</f>
        <v>0</v>
      </c>
      <c r="D64" s="45">
        <v>0</v>
      </c>
      <c r="E64" s="31">
        <f t="shared" si="28"/>
        <v>0</v>
      </c>
      <c r="F64" s="32">
        <f t="shared" si="4"/>
        <v>0</v>
      </c>
      <c r="G64" s="26"/>
      <c r="J64" s="164"/>
      <c r="K64" s="22">
        <v>5</v>
      </c>
      <c r="L64" s="31">
        <f>IFERROR(GETPIVOTDATA("Amount",'F-195 ExpendPivot'!$A$5:$K$2039,"CCDDD",'2025–26 Worksheet A'!$C$2,"Program","24","Activity","27","Object","5"),0)</f>
        <v>0</v>
      </c>
      <c r="M64" s="45">
        <v>0</v>
      </c>
      <c r="N64" s="31">
        <f t="shared" si="29"/>
        <v>0</v>
      </c>
      <c r="O64" s="32">
        <f t="shared" si="5"/>
        <v>0</v>
      </c>
      <c r="P64" s="26"/>
      <c r="R64" s="164"/>
      <c r="S64" s="22">
        <v>5</v>
      </c>
      <c r="T64" s="31">
        <f>IFERROR(GETPIVOTDATA("Amount",'F-195 ExpendPivot'!$A$5:$K$2039,"CCDDD",'2025–26 Worksheet A'!$C$2,"Program","26","Activity","27","Object","5"),0)</f>
        <v>0</v>
      </c>
      <c r="U64" s="45">
        <v>0</v>
      </c>
      <c r="V64" s="31">
        <f t="shared" si="30"/>
        <v>0</v>
      </c>
      <c r="W64" s="32">
        <f t="shared" si="6"/>
        <v>0</v>
      </c>
      <c r="X64" s="26"/>
      <c r="Z64" s="164"/>
      <c r="AA64" s="22">
        <v>5</v>
      </c>
      <c r="AB64" s="31">
        <f>IFERROR(GETPIVOTDATA("Amount",'F-195 ExpendPivot'!$A$5:$K$2039,"CCDDD",'2025–26 Worksheet A'!$C$2,"Program","29","Activity","27","Object","5"),0)</f>
        <v>0</v>
      </c>
      <c r="AC64" s="45">
        <v>0</v>
      </c>
      <c r="AD64" s="31">
        <f t="shared" si="31"/>
        <v>0</v>
      </c>
      <c r="AE64" s="32">
        <f t="shared" si="7"/>
        <v>0</v>
      </c>
      <c r="AF64" s="26"/>
    </row>
    <row r="65" spans="1:32">
      <c r="A65" s="164"/>
      <c r="B65" s="22">
        <v>7</v>
      </c>
      <c r="C65" s="31">
        <f>IFERROR(GETPIVOTDATA("Amount",'F-195 ExpendPivot'!$A$5:$K$2039,"CCDDD",'2025–26 Worksheet A'!$C$2,"Program","21","Activity","27","Object","7"),0)</f>
        <v>0</v>
      </c>
      <c r="D65" s="45">
        <v>0</v>
      </c>
      <c r="E65" s="31">
        <f t="shared" si="28"/>
        <v>0</v>
      </c>
      <c r="F65" s="32">
        <f t="shared" si="4"/>
        <v>0</v>
      </c>
      <c r="G65" s="26"/>
      <c r="J65" s="164"/>
      <c r="K65" s="22">
        <v>7</v>
      </c>
      <c r="L65" s="31">
        <f>IFERROR(GETPIVOTDATA("Amount",'F-195 ExpendPivot'!$A$5:$K$2039,"CCDDD",'2025–26 Worksheet A'!$C$2,"Program","24","Activity","27","Object","7"),0)</f>
        <v>0</v>
      </c>
      <c r="M65" s="45">
        <v>0</v>
      </c>
      <c r="N65" s="31">
        <f t="shared" si="29"/>
        <v>0</v>
      </c>
      <c r="O65" s="32">
        <f t="shared" si="5"/>
        <v>0</v>
      </c>
      <c r="P65" s="26"/>
      <c r="R65" s="164"/>
      <c r="S65" s="22">
        <v>7</v>
      </c>
      <c r="T65" s="31">
        <f>IFERROR(GETPIVOTDATA("Amount",'F-195 ExpendPivot'!$A$5:$K$2039,"CCDDD",'2025–26 Worksheet A'!$C$2,"Program","26","Activity","27","Object","7"),0)</f>
        <v>0</v>
      </c>
      <c r="U65" s="45">
        <v>0</v>
      </c>
      <c r="V65" s="31">
        <f t="shared" si="30"/>
        <v>0</v>
      </c>
      <c r="W65" s="32">
        <f t="shared" si="6"/>
        <v>0</v>
      </c>
      <c r="X65" s="26"/>
      <c r="Z65" s="164"/>
      <c r="AA65" s="22">
        <v>7</v>
      </c>
      <c r="AB65" s="31">
        <f>IFERROR(GETPIVOTDATA("Amount",'F-195 ExpendPivot'!$A$5:$K$2039,"CCDDD",'2025–26 Worksheet A'!$C$2,"Program","29","Activity","27","Object","7"),0)</f>
        <v>0</v>
      </c>
      <c r="AC65" s="45">
        <v>0</v>
      </c>
      <c r="AD65" s="31">
        <f t="shared" si="31"/>
        <v>0</v>
      </c>
      <c r="AE65" s="32">
        <f t="shared" si="7"/>
        <v>0</v>
      </c>
      <c r="AF65" s="26"/>
    </row>
    <row r="66" spans="1:32">
      <c r="A66" s="164"/>
      <c r="B66" s="22">
        <v>8</v>
      </c>
      <c r="C66" s="31">
        <f>IFERROR(GETPIVOTDATA("Amount",'F-195 ExpendPivot'!$A$5:$K$2039,"CCDDD",'2025–26 Worksheet A'!$C$2,"Program","21","Activity","27","Object","8"),0)</f>
        <v>0</v>
      </c>
      <c r="D66" s="45">
        <v>0</v>
      </c>
      <c r="E66" s="31">
        <f t="shared" si="28"/>
        <v>0</v>
      </c>
      <c r="F66" s="32">
        <f t="shared" si="4"/>
        <v>0</v>
      </c>
      <c r="G66" s="26"/>
      <c r="J66" s="164"/>
      <c r="K66" s="22">
        <v>8</v>
      </c>
      <c r="L66" s="31">
        <f>IFERROR(GETPIVOTDATA("Amount",'F-195 ExpendPivot'!$A$5:$K$2039,"CCDDD",'2025–26 Worksheet A'!$C$2,"Program","24","Activity","27","Object","8"),0)</f>
        <v>0</v>
      </c>
      <c r="M66" s="45">
        <v>0</v>
      </c>
      <c r="N66" s="31">
        <f t="shared" si="29"/>
        <v>0</v>
      </c>
      <c r="O66" s="32">
        <f t="shared" si="5"/>
        <v>0</v>
      </c>
      <c r="P66" s="26"/>
      <c r="R66" s="164"/>
      <c r="S66" s="22">
        <v>8</v>
      </c>
      <c r="T66" s="31">
        <f>IFERROR(GETPIVOTDATA("Amount",'F-195 ExpendPivot'!$A$5:$K$2039,"CCDDD",'2025–26 Worksheet A'!$C$2,"Program","26","Activity","27","Object","8"),0)</f>
        <v>0</v>
      </c>
      <c r="U66" s="45">
        <v>0</v>
      </c>
      <c r="V66" s="31">
        <f t="shared" si="30"/>
        <v>0</v>
      </c>
      <c r="W66" s="32">
        <f t="shared" si="6"/>
        <v>0</v>
      </c>
      <c r="X66" s="26"/>
      <c r="Z66" s="164"/>
      <c r="AA66" s="22">
        <v>8</v>
      </c>
      <c r="AB66" s="31">
        <f>IFERROR(GETPIVOTDATA("Amount",'F-195 ExpendPivot'!$A$5:$K$2039,"CCDDD",'2025–26 Worksheet A'!$C$2,"Program","29","Activity","27","Object","8"),0)</f>
        <v>0</v>
      </c>
      <c r="AC66" s="45">
        <v>0</v>
      </c>
      <c r="AD66" s="31">
        <f t="shared" si="31"/>
        <v>0</v>
      </c>
      <c r="AE66" s="32">
        <f t="shared" si="7"/>
        <v>0</v>
      </c>
      <c r="AF66" s="26"/>
    </row>
    <row r="67" spans="1:32">
      <c r="A67" s="164"/>
      <c r="B67" s="22">
        <v>9</v>
      </c>
      <c r="C67" s="31">
        <f>IFERROR(GETPIVOTDATA("Amount",'F-195 ExpendPivot'!$A$5:$K$2039,"CCDDD",'2025–26 Worksheet A'!$C$2,"Program","21","Activity","27","Object","9"),0)</f>
        <v>0</v>
      </c>
      <c r="D67" s="45">
        <v>0</v>
      </c>
      <c r="E67" s="31">
        <f t="shared" si="28"/>
        <v>0</v>
      </c>
      <c r="F67" s="32">
        <f t="shared" si="4"/>
        <v>0</v>
      </c>
      <c r="G67" s="26"/>
      <c r="J67" s="164"/>
      <c r="K67" s="22">
        <v>9</v>
      </c>
      <c r="L67" s="31">
        <f>IFERROR(GETPIVOTDATA("Amount",'F-195 ExpendPivot'!$A$5:$K$2039,"CCDDD",'2025–26 Worksheet A'!$C$2,"Program","24","Activity","27","Object","9"),0)</f>
        <v>0</v>
      </c>
      <c r="M67" s="45">
        <v>0</v>
      </c>
      <c r="N67" s="31">
        <f t="shared" si="29"/>
        <v>0</v>
      </c>
      <c r="O67" s="32">
        <f t="shared" si="5"/>
        <v>0</v>
      </c>
      <c r="P67" s="26"/>
      <c r="R67" s="164"/>
      <c r="S67" s="22">
        <v>9</v>
      </c>
      <c r="T67" s="31">
        <f>IFERROR(GETPIVOTDATA("Amount",'F-195 ExpendPivot'!$A$5:$K$2039,"CCDDD",'2025–26 Worksheet A'!$C$2,"Program","26","Activity","27","Object","9"),0)</f>
        <v>0</v>
      </c>
      <c r="U67" s="45">
        <v>0</v>
      </c>
      <c r="V67" s="31">
        <f t="shared" si="30"/>
        <v>0</v>
      </c>
      <c r="W67" s="32">
        <f t="shared" si="6"/>
        <v>0</v>
      </c>
      <c r="X67" s="26"/>
      <c r="Z67" s="164"/>
      <c r="AA67" s="22">
        <v>9</v>
      </c>
      <c r="AB67" s="31">
        <f>IFERROR(GETPIVOTDATA("Amount",'F-195 ExpendPivot'!$A$5:$K$2039,"CCDDD",'2025–26 Worksheet A'!$C$2,"Program","29","Activity","27","Object","9"),0)</f>
        <v>0</v>
      </c>
      <c r="AC67" s="45">
        <v>0</v>
      </c>
      <c r="AD67" s="31">
        <f t="shared" si="31"/>
        <v>0</v>
      </c>
      <c r="AE67" s="32">
        <f t="shared" si="7"/>
        <v>0</v>
      </c>
      <c r="AF67" s="26"/>
    </row>
    <row r="68" spans="1:32">
      <c r="A68" s="165"/>
      <c r="B68" s="40"/>
      <c r="C68" s="46">
        <f>SUM(C60:C67)</f>
        <v>0</v>
      </c>
      <c r="D68" s="46">
        <f>SUM(D60:D67)</f>
        <v>0</v>
      </c>
      <c r="E68" s="46">
        <f>SUM(E60:E67)</f>
        <v>0</v>
      </c>
      <c r="F68" s="47"/>
      <c r="G68" s="48"/>
      <c r="J68" s="165"/>
      <c r="K68" s="40"/>
      <c r="L68" s="46">
        <f>SUM(L60:L67)</f>
        <v>0</v>
      </c>
      <c r="M68" s="46">
        <f>SUM(M60:M67)</f>
        <v>0</v>
      </c>
      <c r="N68" s="46">
        <f>SUM(N60:N67)</f>
        <v>0</v>
      </c>
      <c r="O68" s="47"/>
      <c r="P68" s="48"/>
      <c r="R68" s="165"/>
      <c r="S68" s="40"/>
      <c r="T68" s="46">
        <f>SUM(T60:T67)</f>
        <v>0</v>
      </c>
      <c r="U68" s="46">
        <f>SUM(U60:U67)</f>
        <v>0</v>
      </c>
      <c r="V68" s="46">
        <f>SUM(V60:V67)</f>
        <v>0</v>
      </c>
      <c r="W68" s="47"/>
      <c r="X68" s="48"/>
      <c r="Z68" s="165"/>
      <c r="AA68" s="40"/>
      <c r="AB68" s="46">
        <f>SUM(AB60:AB67)</f>
        <v>0</v>
      </c>
      <c r="AC68" s="46">
        <f>SUM(AC60:AC67)</f>
        <v>0</v>
      </c>
      <c r="AD68" s="46">
        <f>SUM(AD60:AD67)</f>
        <v>0</v>
      </c>
      <c r="AE68" s="47"/>
      <c r="AF68" s="48"/>
    </row>
    <row r="69" spans="1:32">
      <c r="A69" s="163">
        <v>28</v>
      </c>
      <c r="B69" s="27">
        <v>0</v>
      </c>
      <c r="C69" s="28">
        <f>IFERROR(GETPIVOTDATA("Amount",'F-195 ExpendPivot'!$A$5:$K$2039,"CCDDD",'2025–26 Worksheet A'!$C$2,"Program","21","Activity","28","Object","0"),0)</f>
        <v>0</v>
      </c>
      <c r="D69" s="44">
        <v>0</v>
      </c>
      <c r="E69" s="28">
        <f t="shared" ref="E69:E76" si="32">D69/$D$3*12</f>
        <v>0</v>
      </c>
      <c r="F69" s="32">
        <f t="shared" si="4"/>
        <v>0</v>
      </c>
      <c r="G69" s="30"/>
      <c r="J69" s="163">
        <v>28</v>
      </c>
      <c r="K69" s="27">
        <v>0</v>
      </c>
      <c r="L69" s="28">
        <f>IFERROR(GETPIVOTDATA("Amount",'F-195 ExpendPivot'!$A$5:$K$2039,"CCDDD",'2025–26 Worksheet A'!$C$2,"Program","24","Activity","28","Object","0"),0)</f>
        <v>0</v>
      </c>
      <c r="M69" s="44">
        <v>0</v>
      </c>
      <c r="N69" s="28">
        <f t="shared" ref="N69:N76" si="33">M69/$D$3*12</f>
        <v>0</v>
      </c>
      <c r="O69" s="29">
        <f t="shared" si="5"/>
        <v>0</v>
      </c>
      <c r="P69" s="30"/>
      <c r="R69" s="163">
        <v>28</v>
      </c>
      <c r="S69" s="27">
        <v>0</v>
      </c>
      <c r="T69" s="28">
        <f>IFERROR(GETPIVOTDATA("Amount",'F-195 ExpendPivot'!$A$5:$K$2039,"CCDDD",'2025–26 Worksheet A'!$C$2,"Program","26","Activity","28","Object","0"),0)</f>
        <v>0</v>
      </c>
      <c r="U69" s="44">
        <v>0</v>
      </c>
      <c r="V69" s="28">
        <f t="shared" ref="V69:V76" si="34">U69/$D$3*12</f>
        <v>0</v>
      </c>
      <c r="W69" s="29">
        <f t="shared" si="6"/>
        <v>0</v>
      </c>
      <c r="X69" s="30"/>
      <c r="Z69" s="163">
        <v>28</v>
      </c>
      <c r="AA69" s="27">
        <v>0</v>
      </c>
      <c r="AB69" s="28">
        <f>IFERROR(GETPIVOTDATA("Amount",'F-195 ExpendPivot'!$A$5:$K$2039,"CCDDD",'2025–26 Worksheet A'!$C$2,"Program","29","Activity","28","Object","0"),0)</f>
        <v>0</v>
      </c>
      <c r="AC69" s="44">
        <v>0</v>
      </c>
      <c r="AD69" s="28">
        <f t="shared" ref="AD69:AD76" si="35">AC69/$D$3*12</f>
        <v>0</v>
      </c>
      <c r="AE69" s="29">
        <f t="shared" si="7"/>
        <v>0</v>
      </c>
      <c r="AF69" s="30"/>
    </row>
    <row r="70" spans="1:32">
      <c r="A70" s="164"/>
      <c r="B70" s="22">
        <v>2</v>
      </c>
      <c r="C70" s="31">
        <f>IFERROR(GETPIVOTDATA("Amount",'F-195 ExpendPivot'!$A$5:$K$2039,"CCDDD",'2025–26 Worksheet A'!$C$2,"Program","21","Activity","28","Object","2"),0)</f>
        <v>0</v>
      </c>
      <c r="D70" s="45">
        <v>0</v>
      </c>
      <c r="E70" s="31">
        <f t="shared" si="32"/>
        <v>0</v>
      </c>
      <c r="F70" s="32">
        <f t="shared" si="4"/>
        <v>0</v>
      </c>
      <c r="G70" s="26"/>
      <c r="J70" s="164"/>
      <c r="K70" s="22">
        <v>2</v>
      </c>
      <c r="L70" s="31">
        <f>IFERROR(GETPIVOTDATA("Amount",'F-195 ExpendPivot'!$A$5:$K$2039,"CCDDD",'2025–26 Worksheet A'!$C$2,"Program","24","Activity","28","Object","2"),0)</f>
        <v>0</v>
      </c>
      <c r="M70" s="45">
        <v>0</v>
      </c>
      <c r="N70" s="31">
        <f t="shared" si="33"/>
        <v>0</v>
      </c>
      <c r="O70" s="32">
        <f t="shared" si="5"/>
        <v>0</v>
      </c>
      <c r="P70" s="26"/>
      <c r="R70" s="164"/>
      <c r="S70" s="22">
        <v>2</v>
      </c>
      <c r="T70" s="31">
        <f>IFERROR(GETPIVOTDATA("Amount",'F-195 ExpendPivot'!$A$5:$K$2039,"CCDDD",'2025–26 Worksheet A'!$C$2,"Program","26","Activity","28","Object","2"),0)</f>
        <v>0</v>
      </c>
      <c r="U70" s="45">
        <v>0</v>
      </c>
      <c r="V70" s="31">
        <f t="shared" si="34"/>
        <v>0</v>
      </c>
      <c r="W70" s="32">
        <f t="shared" si="6"/>
        <v>0</v>
      </c>
      <c r="X70" s="26"/>
      <c r="Z70" s="164"/>
      <c r="AA70" s="22">
        <v>2</v>
      </c>
      <c r="AB70" s="31">
        <f>IFERROR(GETPIVOTDATA("Amount",'F-195 ExpendPivot'!$A$5:$K$2039,"CCDDD",'2025–26 Worksheet A'!$C$2,"Program","29","Activity","28","Object","2"),0)</f>
        <v>0</v>
      </c>
      <c r="AC70" s="45">
        <v>0</v>
      </c>
      <c r="AD70" s="31">
        <f t="shared" si="35"/>
        <v>0</v>
      </c>
      <c r="AE70" s="32">
        <f t="shared" si="7"/>
        <v>0</v>
      </c>
      <c r="AF70" s="26"/>
    </row>
    <row r="71" spans="1:32">
      <c r="A71" s="164"/>
      <c r="B71" s="22">
        <v>3</v>
      </c>
      <c r="C71" s="31">
        <f>IFERROR(GETPIVOTDATA("Amount",'F-195 ExpendPivot'!$A$5:$K$2039,"CCDDD",'2025–26 Worksheet A'!$C$2,"Program","21","Activity","28","Object","3"),0)</f>
        <v>0</v>
      </c>
      <c r="D71" s="45">
        <v>0</v>
      </c>
      <c r="E71" s="31">
        <f t="shared" si="32"/>
        <v>0</v>
      </c>
      <c r="F71" s="32">
        <f t="shared" ref="F71:F76" si="36">IFERROR((E71-C71)/C71,0)</f>
        <v>0</v>
      </c>
      <c r="G71" s="26"/>
      <c r="J71" s="164"/>
      <c r="K71" s="22">
        <v>3</v>
      </c>
      <c r="L71" s="31">
        <f>IFERROR(GETPIVOTDATA("Amount",'F-195 ExpendPivot'!$A$5:$K$2039,"CCDDD",'2025–26 Worksheet A'!$C$2,"Program","24","Activity","28","Object","3"),0)</f>
        <v>0</v>
      </c>
      <c r="M71" s="45">
        <v>0</v>
      </c>
      <c r="N71" s="31">
        <f t="shared" si="33"/>
        <v>0</v>
      </c>
      <c r="O71" s="32">
        <f t="shared" ref="O71:O76" si="37">IFERROR((N71-L71)/L71,0)</f>
        <v>0</v>
      </c>
      <c r="P71" s="26"/>
      <c r="R71" s="164"/>
      <c r="S71" s="22">
        <v>3</v>
      </c>
      <c r="T71" s="31">
        <f>IFERROR(GETPIVOTDATA("Amount",'F-195 ExpendPivot'!$A$5:$K$2039,"CCDDD",'2025–26 Worksheet A'!$C$2,"Program","26","Activity","28","Object","3"),0)</f>
        <v>0</v>
      </c>
      <c r="U71" s="45">
        <v>0</v>
      </c>
      <c r="V71" s="31">
        <f t="shared" si="34"/>
        <v>0</v>
      </c>
      <c r="W71" s="32">
        <f t="shared" ref="W71:W76" si="38">IFERROR((V71-T71)/T71,0)</f>
        <v>0</v>
      </c>
      <c r="X71" s="26"/>
      <c r="Z71" s="164"/>
      <c r="AA71" s="22">
        <v>3</v>
      </c>
      <c r="AB71" s="31">
        <f>IFERROR(GETPIVOTDATA("Amount",'F-195 ExpendPivot'!$A$5:$K$2039,"CCDDD",'2025–26 Worksheet A'!$C$2,"Program","29","Activity","28","Object","3"),0)</f>
        <v>0</v>
      </c>
      <c r="AC71" s="45">
        <v>0</v>
      </c>
      <c r="AD71" s="31">
        <f t="shared" si="35"/>
        <v>0</v>
      </c>
      <c r="AE71" s="32">
        <f t="shared" ref="AE71:AE76" si="39">IFERROR((AD71-AB71)/AB71,0)</f>
        <v>0</v>
      </c>
      <c r="AF71" s="26"/>
    </row>
    <row r="72" spans="1:32">
      <c r="A72" s="164"/>
      <c r="B72" s="22">
        <v>4</v>
      </c>
      <c r="C72" s="31">
        <f>IFERROR(GETPIVOTDATA("Amount",'F-195 ExpendPivot'!$A$5:$K$2039,"CCDDD",'2025–26 Worksheet A'!$C$2,"Program","21","Activity","28","Object","4"),0)</f>
        <v>0</v>
      </c>
      <c r="D72" s="45">
        <v>0</v>
      </c>
      <c r="E72" s="31">
        <f t="shared" si="32"/>
        <v>0</v>
      </c>
      <c r="F72" s="32">
        <f t="shared" si="36"/>
        <v>0</v>
      </c>
      <c r="G72" s="26"/>
      <c r="J72" s="164"/>
      <c r="K72" s="22">
        <v>4</v>
      </c>
      <c r="L72" s="31">
        <f>IFERROR(GETPIVOTDATA("Amount",'F-195 ExpendPivot'!$A$5:$K$2039,"CCDDD",'2025–26 Worksheet A'!$C$2,"Program","24","Activity","28","Object","4"),0)</f>
        <v>0</v>
      </c>
      <c r="M72" s="45">
        <v>0</v>
      </c>
      <c r="N72" s="31">
        <f t="shared" si="33"/>
        <v>0</v>
      </c>
      <c r="O72" s="32">
        <f t="shared" si="37"/>
        <v>0</v>
      </c>
      <c r="P72" s="26"/>
      <c r="R72" s="164"/>
      <c r="S72" s="22">
        <v>4</v>
      </c>
      <c r="T72" s="31">
        <f>IFERROR(GETPIVOTDATA("Amount",'F-195 ExpendPivot'!$A$5:$K$2039,"CCDDD",'2025–26 Worksheet A'!$C$2,"Program","26","Activity","28","Object","4"),0)</f>
        <v>0</v>
      </c>
      <c r="U72" s="45">
        <v>0</v>
      </c>
      <c r="V72" s="31">
        <f t="shared" si="34"/>
        <v>0</v>
      </c>
      <c r="W72" s="32">
        <f t="shared" si="38"/>
        <v>0</v>
      </c>
      <c r="X72" s="26"/>
      <c r="Z72" s="164"/>
      <c r="AA72" s="22">
        <v>4</v>
      </c>
      <c r="AB72" s="31">
        <f>IFERROR(GETPIVOTDATA("Amount",'F-195 ExpendPivot'!$A$5:$K$2039,"CCDDD",'2025–26 Worksheet A'!$C$2,"Program","29","Activity","28","Object","4"),0)</f>
        <v>0</v>
      </c>
      <c r="AC72" s="45">
        <v>0</v>
      </c>
      <c r="AD72" s="31">
        <f t="shared" si="35"/>
        <v>0</v>
      </c>
      <c r="AE72" s="32">
        <f t="shared" si="39"/>
        <v>0</v>
      </c>
      <c r="AF72" s="26"/>
    </row>
    <row r="73" spans="1:32">
      <c r="A73" s="164"/>
      <c r="B73" s="22">
        <v>5</v>
      </c>
      <c r="C73" s="31">
        <f>IFERROR(GETPIVOTDATA("Amount",'F-195 ExpendPivot'!$A$5:$K$2039,"CCDDD",'2025–26 Worksheet A'!$C$2,"Program","21","Activity","28","Object","5"),0)</f>
        <v>0</v>
      </c>
      <c r="D73" s="45">
        <v>0</v>
      </c>
      <c r="E73" s="31">
        <f t="shared" si="32"/>
        <v>0</v>
      </c>
      <c r="F73" s="32">
        <f t="shared" si="36"/>
        <v>0</v>
      </c>
      <c r="G73" s="26"/>
      <c r="J73" s="164"/>
      <c r="K73" s="22">
        <v>5</v>
      </c>
      <c r="L73" s="31">
        <f>IFERROR(GETPIVOTDATA("Amount",'F-195 ExpendPivot'!$A$5:$K$2039,"CCDDD",'2025–26 Worksheet A'!$C$2,"Program","24","Activity","28","Object","5"),0)</f>
        <v>0</v>
      </c>
      <c r="M73" s="45">
        <v>0</v>
      </c>
      <c r="N73" s="31">
        <f t="shared" si="33"/>
        <v>0</v>
      </c>
      <c r="O73" s="32">
        <f t="shared" si="37"/>
        <v>0</v>
      </c>
      <c r="P73" s="26"/>
      <c r="R73" s="164"/>
      <c r="S73" s="22">
        <v>5</v>
      </c>
      <c r="T73" s="31">
        <f>IFERROR(GETPIVOTDATA("Amount",'F-195 ExpendPivot'!$A$5:$K$2039,"CCDDD",'2025–26 Worksheet A'!$C$2,"Program","26","Activity","28","Object","5"),0)</f>
        <v>0</v>
      </c>
      <c r="U73" s="45">
        <v>0</v>
      </c>
      <c r="V73" s="31">
        <f t="shared" si="34"/>
        <v>0</v>
      </c>
      <c r="W73" s="32">
        <f t="shared" si="38"/>
        <v>0</v>
      </c>
      <c r="X73" s="26"/>
      <c r="Z73" s="164"/>
      <c r="AA73" s="22">
        <v>5</v>
      </c>
      <c r="AB73" s="31">
        <f>IFERROR(GETPIVOTDATA("Amount",'F-195 ExpendPivot'!$A$5:$K$2039,"CCDDD",'2025–26 Worksheet A'!$C$2,"Program","29","Activity","28","Object","5"),0)</f>
        <v>0</v>
      </c>
      <c r="AC73" s="45">
        <v>0</v>
      </c>
      <c r="AD73" s="31">
        <f t="shared" si="35"/>
        <v>0</v>
      </c>
      <c r="AE73" s="32">
        <f t="shared" si="39"/>
        <v>0</v>
      </c>
      <c r="AF73" s="26"/>
    </row>
    <row r="74" spans="1:32">
      <c r="A74" s="164"/>
      <c r="B74" s="22">
        <v>7</v>
      </c>
      <c r="C74" s="31">
        <f>IFERROR(GETPIVOTDATA("Amount",'F-195 ExpendPivot'!$A$5:$K$2039,"CCDDD",'2025–26 Worksheet A'!$C$2,"Program","21","Activity","28","Object","7"),0)</f>
        <v>0</v>
      </c>
      <c r="D74" s="45">
        <v>0</v>
      </c>
      <c r="E74" s="31">
        <f t="shared" si="32"/>
        <v>0</v>
      </c>
      <c r="F74" s="32">
        <f t="shared" si="36"/>
        <v>0</v>
      </c>
      <c r="G74" s="26"/>
      <c r="J74" s="164"/>
      <c r="K74" s="22">
        <v>7</v>
      </c>
      <c r="L74" s="31">
        <f>IFERROR(GETPIVOTDATA("Amount",'F-195 ExpendPivot'!$A$5:$K$2039,"CCDDD",'2025–26 Worksheet A'!$C$2,"Program","24","Activity","28","Object","7"),0)</f>
        <v>0</v>
      </c>
      <c r="M74" s="45">
        <v>0</v>
      </c>
      <c r="N74" s="31">
        <f t="shared" si="33"/>
        <v>0</v>
      </c>
      <c r="O74" s="32">
        <f t="shared" si="37"/>
        <v>0</v>
      </c>
      <c r="P74" s="26"/>
      <c r="R74" s="164"/>
      <c r="S74" s="22">
        <v>7</v>
      </c>
      <c r="T74" s="31">
        <f>IFERROR(GETPIVOTDATA("Amount",'F-195 ExpendPivot'!$A$5:$K$2039,"CCDDD",'2025–26 Worksheet A'!$C$2,"Program","26","Activity","28","Object","7"),0)</f>
        <v>0</v>
      </c>
      <c r="U74" s="45">
        <v>0</v>
      </c>
      <c r="V74" s="31">
        <f t="shared" si="34"/>
        <v>0</v>
      </c>
      <c r="W74" s="32">
        <f t="shared" si="38"/>
        <v>0</v>
      </c>
      <c r="X74" s="26"/>
      <c r="Z74" s="164"/>
      <c r="AA74" s="22">
        <v>7</v>
      </c>
      <c r="AB74" s="31">
        <f>IFERROR(GETPIVOTDATA("Amount",'F-195 ExpendPivot'!$A$5:$K$2039,"CCDDD",'2025–26 Worksheet A'!$C$2,"Program","29","Activity","28","Object","7"),0)</f>
        <v>0</v>
      </c>
      <c r="AC74" s="45">
        <v>0</v>
      </c>
      <c r="AD74" s="31">
        <f t="shared" si="35"/>
        <v>0</v>
      </c>
      <c r="AE74" s="32">
        <f t="shared" si="39"/>
        <v>0</v>
      </c>
      <c r="AF74" s="26"/>
    </row>
    <row r="75" spans="1:32">
      <c r="A75" s="164"/>
      <c r="B75" s="22">
        <v>8</v>
      </c>
      <c r="C75" s="31">
        <f>IFERROR(GETPIVOTDATA("Amount",'F-195 ExpendPivot'!$A$5:$K$2039,"CCDDD",'2025–26 Worksheet A'!$C$2,"Program","21","Activity","28","Object","8"),0)</f>
        <v>0</v>
      </c>
      <c r="D75" s="45">
        <v>0</v>
      </c>
      <c r="E75" s="31">
        <f t="shared" si="32"/>
        <v>0</v>
      </c>
      <c r="F75" s="32">
        <f t="shared" si="36"/>
        <v>0</v>
      </c>
      <c r="G75" s="26"/>
      <c r="J75" s="164"/>
      <c r="K75" s="22">
        <v>8</v>
      </c>
      <c r="L75" s="31">
        <f>IFERROR(GETPIVOTDATA("Amount",'F-195 ExpendPivot'!$A$5:$K$2039,"CCDDD",'2025–26 Worksheet A'!$C$2,"Program","24","Activity","28","Object","8"),0)</f>
        <v>0</v>
      </c>
      <c r="M75" s="45">
        <v>0</v>
      </c>
      <c r="N75" s="31">
        <f t="shared" si="33"/>
        <v>0</v>
      </c>
      <c r="O75" s="32">
        <f t="shared" si="37"/>
        <v>0</v>
      </c>
      <c r="P75" s="26"/>
      <c r="R75" s="164"/>
      <c r="S75" s="22">
        <v>8</v>
      </c>
      <c r="T75" s="31">
        <f>IFERROR(GETPIVOTDATA("Amount",'F-195 ExpendPivot'!$A$5:$K$2039,"CCDDD",'2025–26 Worksheet A'!$C$2,"Program","26","Activity","28","Object","8"),0)</f>
        <v>0</v>
      </c>
      <c r="U75" s="45">
        <v>0</v>
      </c>
      <c r="V75" s="31">
        <f t="shared" si="34"/>
        <v>0</v>
      </c>
      <c r="W75" s="32">
        <f t="shared" si="38"/>
        <v>0</v>
      </c>
      <c r="X75" s="26"/>
      <c r="Z75" s="164"/>
      <c r="AA75" s="22">
        <v>8</v>
      </c>
      <c r="AB75" s="31">
        <f>IFERROR(GETPIVOTDATA("Amount",'F-195 ExpendPivot'!$A$5:$K$2039,"CCDDD",'2025–26 Worksheet A'!$C$2,"Program","29","Activity","28","Object","8"),0)</f>
        <v>0</v>
      </c>
      <c r="AC75" s="45">
        <v>0</v>
      </c>
      <c r="AD75" s="31">
        <f t="shared" si="35"/>
        <v>0</v>
      </c>
      <c r="AE75" s="32">
        <f t="shared" si="39"/>
        <v>0</v>
      </c>
      <c r="AF75" s="26"/>
    </row>
    <row r="76" spans="1:32">
      <c r="A76" s="164"/>
      <c r="B76" s="22">
        <v>9</v>
      </c>
      <c r="C76" s="31">
        <f>IFERROR(GETPIVOTDATA("Amount",'F-195 ExpendPivot'!$A$5:$K$2039,"CCDDD",'2025–26 Worksheet A'!$C$2,"Program","21","Activity","28","Object","9"),0)</f>
        <v>0</v>
      </c>
      <c r="D76" s="45">
        <v>0</v>
      </c>
      <c r="E76" s="31">
        <f t="shared" si="32"/>
        <v>0</v>
      </c>
      <c r="F76" s="32">
        <f t="shared" si="36"/>
        <v>0</v>
      </c>
      <c r="G76" s="26"/>
      <c r="J76" s="164"/>
      <c r="K76" s="22">
        <v>9</v>
      </c>
      <c r="L76" s="31">
        <f>IFERROR(GETPIVOTDATA("Amount",'F-195 ExpendPivot'!$A$5:$K$2039,"CCDDD",'2025–26 Worksheet A'!$C$2,"Program","24","Activity","28","Object","9"),0)</f>
        <v>0</v>
      </c>
      <c r="M76" s="45">
        <v>0</v>
      </c>
      <c r="N76" s="31">
        <f t="shared" si="33"/>
        <v>0</v>
      </c>
      <c r="O76" s="32">
        <f t="shared" si="37"/>
        <v>0</v>
      </c>
      <c r="P76" s="26"/>
      <c r="R76" s="164"/>
      <c r="S76" s="22">
        <v>9</v>
      </c>
      <c r="T76" s="31">
        <f>IFERROR(GETPIVOTDATA("Amount",'F-195 ExpendPivot'!$A$5:$K$2039,"CCDDD",'2025–26 Worksheet A'!$C$2,"Program","26","Activity","28","Object","9"),0)</f>
        <v>0</v>
      </c>
      <c r="U76" s="45">
        <v>0</v>
      </c>
      <c r="V76" s="31">
        <f t="shared" si="34"/>
        <v>0</v>
      </c>
      <c r="W76" s="32">
        <f t="shared" si="38"/>
        <v>0</v>
      </c>
      <c r="X76" s="26"/>
      <c r="Z76" s="164"/>
      <c r="AA76" s="22">
        <v>9</v>
      </c>
      <c r="AB76" s="31">
        <f>IFERROR(GETPIVOTDATA("Amount",'F-195 ExpendPivot'!$A$5:$K$2039,"CCDDD",'2025–26 Worksheet A'!$C$2,"Program","29","Activity","28","Object","9"),0)</f>
        <v>0</v>
      </c>
      <c r="AC76" s="45">
        <v>0</v>
      </c>
      <c r="AD76" s="31">
        <f t="shared" si="35"/>
        <v>0</v>
      </c>
      <c r="AE76" s="32">
        <f t="shared" si="39"/>
        <v>0</v>
      </c>
      <c r="AF76" s="26"/>
    </row>
    <row r="77" spans="1:32">
      <c r="A77" s="165"/>
      <c r="B77" s="40"/>
      <c r="C77" s="46">
        <f>SUM(C69:C76)</f>
        <v>0</v>
      </c>
      <c r="D77" s="46">
        <f>SUM(D69:D76)</f>
        <v>0</v>
      </c>
      <c r="E77" s="46">
        <f>SUM(E69:E76)</f>
        <v>0</v>
      </c>
      <c r="F77" s="47"/>
      <c r="G77" s="48"/>
      <c r="J77" s="165"/>
      <c r="K77" s="40"/>
      <c r="L77" s="46">
        <f>SUM(L69:L76)</f>
        <v>0</v>
      </c>
      <c r="M77" s="46">
        <f>SUM(M69:M76)</f>
        <v>0</v>
      </c>
      <c r="N77" s="46">
        <f>SUM(N69:N76)</f>
        <v>0</v>
      </c>
      <c r="O77" s="47"/>
      <c r="P77" s="48"/>
      <c r="R77" s="165"/>
      <c r="S77" s="40"/>
      <c r="T77" s="46">
        <f>SUM(T69:T76)</f>
        <v>0</v>
      </c>
      <c r="U77" s="46">
        <f>SUM(U69:U76)</f>
        <v>0</v>
      </c>
      <c r="V77" s="46">
        <f>SUM(V69:V76)</f>
        <v>0</v>
      </c>
      <c r="W77" s="47"/>
      <c r="X77" s="48"/>
      <c r="Z77" s="165"/>
      <c r="AA77" s="40"/>
      <c r="AB77" s="46">
        <f>SUM(AB69:AB76)</f>
        <v>0</v>
      </c>
      <c r="AC77" s="46">
        <f>SUM(AC69:AC76)</f>
        <v>0</v>
      </c>
      <c r="AD77" s="46">
        <f>SUM(AD69:AD76)</f>
        <v>0</v>
      </c>
      <c r="AE77" s="47"/>
      <c r="AF77" s="48"/>
    </row>
    <row r="78" spans="1:32">
      <c r="A78" s="163">
        <v>29</v>
      </c>
      <c r="B78" s="22"/>
      <c r="C78" s="31"/>
      <c r="D78" s="33"/>
      <c r="E78" s="31"/>
      <c r="F78" s="31"/>
      <c r="G78" s="26"/>
      <c r="J78" s="163">
        <v>29</v>
      </c>
      <c r="K78" s="22"/>
      <c r="L78" s="31"/>
      <c r="M78" s="33"/>
      <c r="N78" s="31"/>
      <c r="O78" s="31"/>
      <c r="P78" s="26"/>
      <c r="R78" s="163">
        <v>29</v>
      </c>
      <c r="S78" s="22"/>
      <c r="T78" s="31"/>
      <c r="U78" s="33"/>
      <c r="V78" s="31"/>
      <c r="W78" s="31"/>
      <c r="X78" s="26"/>
      <c r="Z78" s="163">
        <v>29</v>
      </c>
      <c r="AA78" s="22"/>
      <c r="AB78" s="31"/>
      <c r="AC78" s="33"/>
      <c r="AD78" s="31"/>
      <c r="AE78" s="31"/>
      <c r="AF78" s="26"/>
    </row>
    <row r="79" spans="1:32">
      <c r="A79" s="164"/>
      <c r="B79" s="22">
        <v>7</v>
      </c>
      <c r="C79" s="31">
        <f>IFERROR(GETPIVOTDATA("Amount",'F-195 ExpendPivot'!$A$5:$K$2039,"CCDDD",'2025–26 Worksheet A'!$C$2,"Program","21","Activity","29","Object","7"),0)</f>
        <v>0</v>
      </c>
      <c r="D79" s="45">
        <v>0</v>
      </c>
      <c r="E79" s="31">
        <f>D79/$D$3*12</f>
        <v>0</v>
      </c>
      <c r="F79" s="32">
        <f>IFERROR((E79-C79)/C79,0)</f>
        <v>0</v>
      </c>
      <c r="G79" s="26"/>
      <c r="J79" s="164"/>
      <c r="K79" s="22">
        <v>7</v>
      </c>
      <c r="L79" s="31">
        <f>IFERROR(GETPIVOTDATA("Amount",'F-195 ExpendPivot'!$A$5:$K$2039,"CCDDD",'2025–26 Worksheet A'!$C$2,"Program","24","Activity","29","Object","7"),0)</f>
        <v>0</v>
      </c>
      <c r="M79" s="45">
        <v>0</v>
      </c>
      <c r="N79" s="31">
        <f>M79/$D$3*12</f>
        <v>0</v>
      </c>
      <c r="O79" s="32">
        <f>IFERROR((N79-L79)/L79,0)</f>
        <v>0</v>
      </c>
      <c r="P79" s="26"/>
      <c r="R79" s="164"/>
      <c r="S79" s="22">
        <v>7</v>
      </c>
      <c r="T79" s="31">
        <f>IFERROR(GETPIVOTDATA("Amount",'F-195 ExpendPivot'!$A$5:$K$2039,"CCDDD",'2025–26 Worksheet A'!$C$2,"Program","26","Activity","29","Object","7"),0)</f>
        <v>0</v>
      </c>
      <c r="U79" s="45">
        <v>0</v>
      </c>
      <c r="V79" s="31">
        <f>U79/$D$3*12</f>
        <v>0</v>
      </c>
      <c r="W79" s="32">
        <f>IFERROR((V79-T79)/T79,0)</f>
        <v>0</v>
      </c>
      <c r="X79" s="26"/>
      <c r="Z79" s="164"/>
      <c r="AA79" s="22">
        <v>7</v>
      </c>
      <c r="AB79" s="31">
        <f>IFERROR(GETPIVOTDATA("Amount",'F-195 ExpendPivot'!$A$5:$K$2039,"CCDDD",'2025–26 Worksheet A'!$C$2,"Program","29","Activity","29","Object","7"),0)</f>
        <v>0</v>
      </c>
      <c r="AC79" s="45">
        <v>0</v>
      </c>
      <c r="AD79" s="31">
        <f>AC79/$D$3*12</f>
        <v>0</v>
      </c>
      <c r="AE79" s="32">
        <f>IFERROR((AD79-AB79)/AB79,0)</f>
        <v>0</v>
      </c>
      <c r="AF79" s="26"/>
    </row>
    <row r="80" spans="1:32">
      <c r="A80" s="164"/>
      <c r="B80" s="39"/>
      <c r="C80" s="49">
        <f>SUM(C79)</f>
        <v>0</v>
      </c>
      <c r="D80" s="49">
        <f>SUM(D79)</f>
        <v>0</v>
      </c>
      <c r="E80" s="49">
        <f>SUM(E79)</f>
        <v>0</v>
      </c>
      <c r="F80" s="50"/>
      <c r="G80" s="51"/>
      <c r="J80" s="164"/>
      <c r="K80" s="39"/>
      <c r="L80" s="49">
        <f>SUM(L79)</f>
        <v>0</v>
      </c>
      <c r="M80" s="49">
        <f>SUM(M79)</f>
        <v>0</v>
      </c>
      <c r="N80" s="49">
        <f>SUM(N79)</f>
        <v>0</v>
      </c>
      <c r="O80" s="50"/>
      <c r="P80" s="51"/>
      <c r="R80" s="164"/>
      <c r="S80" s="39"/>
      <c r="T80" s="49">
        <f>SUM(T79)</f>
        <v>0</v>
      </c>
      <c r="U80" s="49">
        <f>SUM(U79)</f>
        <v>0</v>
      </c>
      <c r="V80" s="49">
        <f>SUM(V79)</f>
        <v>0</v>
      </c>
      <c r="W80" s="50"/>
      <c r="X80" s="51"/>
      <c r="Z80" s="164"/>
      <c r="AA80" s="39"/>
      <c r="AB80" s="49">
        <f>SUM(AB79)</f>
        <v>0</v>
      </c>
      <c r="AC80" s="49">
        <f>SUM(AC79)</f>
        <v>0</v>
      </c>
      <c r="AD80" s="49">
        <f>SUM(AD79)</f>
        <v>0</v>
      </c>
      <c r="AE80" s="50"/>
      <c r="AF80" s="51"/>
    </row>
    <row r="81" spans="1:32">
      <c r="A81" s="163">
        <v>31</v>
      </c>
      <c r="B81" s="27">
        <v>0</v>
      </c>
      <c r="C81" s="28">
        <f>IFERROR(GETPIVOTDATA("Amount",'F-195 ExpendPivot'!$A$5:$K$2039,"CCDDD",'2025–26 Worksheet A'!$C$2,"Program","21","Activity","31","Object","0"),0)</f>
        <v>0</v>
      </c>
      <c r="D81" s="44">
        <v>0</v>
      </c>
      <c r="E81" s="28">
        <f t="shared" ref="E81:E88" si="40">D81/$D$3*12</f>
        <v>0</v>
      </c>
      <c r="F81" s="29">
        <f t="shared" ref="F81:F88" si="41">IFERROR((E81-C81)/C81,0)</f>
        <v>0</v>
      </c>
      <c r="G81" s="30"/>
      <c r="J81" s="163">
        <v>31</v>
      </c>
      <c r="K81" s="27">
        <v>0</v>
      </c>
      <c r="L81" s="28">
        <f>IFERROR(GETPIVOTDATA("Amount",'F-195 ExpendPivot'!$A$5:$K$2039,"CCDDD",'2025–26 Worksheet A'!$C$2,"Program","24","Activity","31","Object","0"),0)</f>
        <v>0</v>
      </c>
      <c r="M81" s="44">
        <v>0</v>
      </c>
      <c r="N81" s="28">
        <f t="shared" ref="N81:N88" si="42">M81/$D$3*12</f>
        <v>0</v>
      </c>
      <c r="O81" s="29">
        <f t="shared" ref="O81:O88" si="43">IFERROR((N81-L81)/L81,0)</f>
        <v>0</v>
      </c>
      <c r="P81" s="30"/>
      <c r="R81" s="163">
        <v>31</v>
      </c>
      <c r="S81" s="27">
        <v>0</v>
      </c>
      <c r="T81" s="28">
        <f>IFERROR(GETPIVOTDATA("Amount",'F-195 ExpendPivot'!$A$5:$K$2039,"CCDDD",'2025–26 Worksheet A'!$C$2,"Program","26","Activity","31","Object","0"),0)</f>
        <v>0</v>
      </c>
      <c r="U81" s="44">
        <v>0</v>
      </c>
      <c r="V81" s="28">
        <f t="shared" ref="V81:V88" si="44">U81/$D$3*12</f>
        <v>0</v>
      </c>
      <c r="W81" s="29">
        <f t="shared" ref="W81:W88" si="45">IFERROR((V81-T81)/T81,0)</f>
        <v>0</v>
      </c>
      <c r="X81" s="30"/>
      <c r="Z81" s="163">
        <v>31</v>
      </c>
      <c r="AA81" s="27">
        <v>0</v>
      </c>
      <c r="AB81" s="28">
        <f>IFERROR(GETPIVOTDATA("Amount",'F-195 ExpendPivot'!$A$5:$K$2039,"CCDDD",'2025–26 Worksheet A'!$C$2,"Program","29","Activity","31","Object","0"),0)</f>
        <v>0</v>
      </c>
      <c r="AC81" s="44">
        <v>0</v>
      </c>
      <c r="AD81" s="28">
        <f t="shared" ref="AD81:AD88" si="46">AC81/$D$3*12</f>
        <v>0</v>
      </c>
      <c r="AE81" s="29">
        <f t="shared" ref="AE81:AE88" si="47">IFERROR((AD81-AB81)/AB81,0)</f>
        <v>0</v>
      </c>
      <c r="AF81" s="30"/>
    </row>
    <row r="82" spans="1:32">
      <c r="A82" s="164"/>
      <c r="B82" s="22">
        <v>2</v>
      </c>
      <c r="C82" s="31">
        <f>IFERROR(GETPIVOTDATA("Amount",'F-195 ExpendPivot'!$A$5:$K$2039,"CCDDD",'2025–26 Worksheet A'!$C$2,"Program","21","Activity","31","Object","2"),0)</f>
        <v>0</v>
      </c>
      <c r="D82" s="45">
        <v>0</v>
      </c>
      <c r="E82" s="31">
        <f t="shared" si="40"/>
        <v>0</v>
      </c>
      <c r="F82" s="32">
        <f t="shared" si="41"/>
        <v>0</v>
      </c>
      <c r="G82" s="26"/>
      <c r="J82" s="164"/>
      <c r="K82" s="22">
        <v>2</v>
      </c>
      <c r="L82" s="31">
        <f>IFERROR(GETPIVOTDATA("Amount",'F-195 ExpendPivot'!$A$5:$K$2039,"CCDDD",'2025–26 Worksheet A'!$C$2,"Program","24","Activity","31","Object","2"),0)</f>
        <v>0</v>
      </c>
      <c r="M82" s="45">
        <v>0</v>
      </c>
      <c r="N82" s="31">
        <f t="shared" si="42"/>
        <v>0</v>
      </c>
      <c r="O82" s="32">
        <f t="shared" si="43"/>
        <v>0</v>
      </c>
      <c r="P82" s="26"/>
      <c r="R82" s="164"/>
      <c r="S82" s="22">
        <v>2</v>
      </c>
      <c r="T82" s="31">
        <f>IFERROR(GETPIVOTDATA("Amount",'F-195 ExpendPivot'!$A$5:$K$2039,"CCDDD",'2025–26 Worksheet A'!$C$2,"Program","26","Activity","31","Object","2"),0)</f>
        <v>0</v>
      </c>
      <c r="U82" s="45">
        <v>0</v>
      </c>
      <c r="V82" s="31">
        <f t="shared" si="44"/>
        <v>0</v>
      </c>
      <c r="W82" s="32">
        <f t="shared" si="45"/>
        <v>0</v>
      </c>
      <c r="X82" s="26"/>
      <c r="Z82" s="164"/>
      <c r="AA82" s="22">
        <v>2</v>
      </c>
      <c r="AB82" s="31">
        <f>IFERROR(GETPIVOTDATA("Amount",'F-195 ExpendPivot'!$A$5:$K$2039,"CCDDD",'2025–26 Worksheet A'!$C$2,"Program","29","Activity","31","Object","2"),0)</f>
        <v>0</v>
      </c>
      <c r="AC82" s="45">
        <v>0</v>
      </c>
      <c r="AD82" s="31">
        <f t="shared" si="46"/>
        <v>0</v>
      </c>
      <c r="AE82" s="32">
        <f t="shared" si="47"/>
        <v>0</v>
      </c>
      <c r="AF82" s="26"/>
    </row>
    <row r="83" spans="1:32">
      <c r="A83" s="164"/>
      <c r="B83" s="22">
        <v>3</v>
      </c>
      <c r="C83" s="31">
        <f>IFERROR(GETPIVOTDATA("Amount",'F-195 ExpendPivot'!$A$5:$K$2039,"CCDDD",'2025–26 Worksheet A'!$C$2,"Program","21","Activity","31","Object","3"),0)</f>
        <v>0</v>
      </c>
      <c r="D83" s="45">
        <v>0</v>
      </c>
      <c r="E83" s="31">
        <f t="shared" si="40"/>
        <v>0</v>
      </c>
      <c r="F83" s="32">
        <f t="shared" si="41"/>
        <v>0</v>
      </c>
      <c r="G83" s="26"/>
      <c r="J83" s="164"/>
      <c r="K83" s="22">
        <v>3</v>
      </c>
      <c r="L83" s="31">
        <f>IFERROR(GETPIVOTDATA("Amount",'F-195 ExpendPivot'!$A$5:$K$2039,"CCDDD",'2025–26 Worksheet A'!$C$2,"Program","24","Activity","31","Object","3"),0)</f>
        <v>0</v>
      </c>
      <c r="M83" s="45">
        <v>0</v>
      </c>
      <c r="N83" s="31">
        <f t="shared" si="42"/>
        <v>0</v>
      </c>
      <c r="O83" s="32">
        <f t="shared" si="43"/>
        <v>0</v>
      </c>
      <c r="P83" s="26"/>
      <c r="R83" s="164"/>
      <c r="S83" s="22">
        <v>3</v>
      </c>
      <c r="T83" s="31">
        <f>IFERROR(GETPIVOTDATA("Amount",'F-195 ExpendPivot'!$A$5:$K$2039,"CCDDD",'2025–26 Worksheet A'!$C$2,"Program","26","Activity","31","Object","3"),0)</f>
        <v>0</v>
      </c>
      <c r="U83" s="45">
        <v>0</v>
      </c>
      <c r="V83" s="31">
        <f t="shared" si="44"/>
        <v>0</v>
      </c>
      <c r="W83" s="32">
        <f t="shared" si="45"/>
        <v>0</v>
      </c>
      <c r="X83" s="26"/>
      <c r="Z83" s="164"/>
      <c r="AA83" s="22">
        <v>3</v>
      </c>
      <c r="AB83" s="31">
        <f>IFERROR(GETPIVOTDATA("Amount",'F-195 ExpendPivot'!$A$5:$K$2039,"CCDDD",'2025–26 Worksheet A'!$C$2,"Program","29","Activity","31","Object","3"),0)</f>
        <v>0</v>
      </c>
      <c r="AC83" s="45">
        <v>0</v>
      </c>
      <c r="AD83" s="31">
        <f t="shared" si="46"/>
        <v>0</v>
      </c>
      <c r="AE83" s="32">
        <f t="shared" si="47"/>
        <v>0</v>
      </c>
      <c r="AF83" s="26"/>
    </row>
    <row r="84" spans="1:32">
      <c r="A84" s="164"/>
      <c r="B84" s="22">
        <v>4</v>
      </c>
      <c r="C84" s="31">
        <f>IFERROR(GETPIVOTDATA("Amount",'F-195 ExpendPivot'!$A$5:$K$2039,"CCDDD",'2025–26 Worksheet A'!$C$2,"Program","21","Activity","31","Object","4"),0)</f>
        <v>0</v>
      </c>
      <c r="D84" s="45">
        <v>0</v>
      </c>
      <c r="E84" s="31">
        <f t="shared" si="40"/>
        <v>0</v>
      </c>
      <c r="F84" s="32">
        <f t="shared" si="41"/>
        <v>0</v>
      </c>
      <c r="G84" s="26"/>
      <c r="J84" s="164"/>
      <c r="K84" s="22">
        <v>4</v>
      </c>
      <c r="L84" s="31">
        <f>IFERROR(GETPIVOTDATA("Amount",'F-195 ExpendPivot'!$A$5:$K$2039,"CCDDD",'2025–26 Worksheet A'!$C$2,"Program","24","Activity","31","Object","4"),0)</f>
        <v>0</v>
      </c>
      <c r="M84" s="45">
        <v>0</v>
      </c>
      <c r="N84" s="31">
        <f t="shared" si="42"/>
        <v>0</v>
      </c>
      <c r="O84" s="32">
        <f t="shared" si="43"/>
        <v>0</v>
      </c>
      <c r="P84" s="26"/>
      <c r="R84" s="164"/>
      <c r="S84" s="22">
        <v>4</v>
      </c>
      <c r="T84" s="31">
        <f>IFERROR(GETPIVOTDATA("Amount",'F-195 ExpendPivot'!$A$5:$K$2039,"CCDDD",'2025–26 Worksheet A'!$C$2,"Program","26","Activity","31","Object","4"),0)</f>
        <v>0</v>
      </c>
      <c r="U84" s="45">
        <v>0</v>
      </c>
      <c r="V84" s="31">
        <f t="shared" si="44"/>
        <v>0</v>
      </c>
      <c r="W84" s="32">
        <f t="shared" si="45"/>
        <v>0</v>
      </c>
      <c r="X84" s="26"/>
      <c r="Z84" s="164"/>
      <c r="AA84" s="22">
        <v>4</v>
      </c>
      <c r="AB84" s="31">
        <f>IFERROR(GETPIVOTDATA("Amount",'F-195 ExpendPivot'!$A$5:$K$2039,"CCDDD",'2025–26 Worksheet A'!$C$2,"Program","29","Activity","31","Object","4"),0)</f>
        <v>0</v>
      </c>
      <c r="AC84" s="45">
        <v>0</v>
      </c>
      <c r="AD84" s="31">
        <f t="shared" si="46"/>
        <v>0</v>
      </c>
      <c r="AE84" s="32">
        <f t="shared" si="47"/>
        <v>0</v>
      </c>
      <c r="AF84" s="26"/>
    </row>
    <row r="85" spans="1:32">
      <c r="A85" s="164"/>
      <c r="B85" s="22">
        <v>5</v>
      </c>
      <c r="C85" s="31">
        <f>IFERROR(GETPIVOTDATA("Amount",'F-195 ExpendPivot'!$A$5:$K$2039,"CCDDD",'2025–26 Worksheet A'!$C$2,"Program","21","Activity","31","Object","5"),0)</f>
        <v>0</v>
      </c>
      <c r="D85" s="45">
        <v>0</v>
      </c>
      <c r="E85" s="31">
        <f t="shared" si="40"/>
        <v>0</v>
      </c>
      <c r="F85" s="32">
        <f t="shared" si="41"/>
        <v>0</v>
      </c>
      <c r="G85" s="26"/>
      <c r="J85" s="164"/>
      <c r="K85" s="22">
        <v>5</v>
      </c>
      <c r="L85" s="31">
        <f>IFERROR(GETPIVOTDATA("Amount",'F-195 ExpendPivot'!$A$5:$K$2039,"CCDDD",'2025–26 Worksheet A'!$C$2,"Program","24","Activity","31","Object","5"),0)</f>
        <v>0</v>
      </c>
      <c r="M85" s="45">
        <v>0</v>
      </c>
      <c r="N85" s="31">
        <f t="shared" si="42"/>
        <v>0</v>
      </c>
      <c r="O85" s="32">
        <f t="shared" si="43"/>
        <v>0</v>
      </c>
      <c r="P85" s="26"/>
      <c r="R85" s="164"/>
      <c r="S85" s="22">
        <v>5</v>
      </c>
      <c r="T85" s="31">
        <f>IFERROR(GETPIVOTDATA("Amount",'F-195 ExpendPivot'!$A$5:$K$2039,"CCDDD",'2025–26 Worksheet A'!$C$2,"Program","26","Activity","31","Object","5"),0)</f>
        <v>0</v>
      </c>
      <c r="U85" s="45">
        <v>0</v>
      </c>
      <c r="V85" s="31">
        <f t="shared" si="44"/>
        <v>0</v>
      </c>
      <c r="W85" s="32">
        <f t="shared" si="45"/>
        <v>0</v>
      </c>
      <c r="X85" s="26"/>
      <c r="Z85" s="164"/>
      <c r="AA85" s="22">
        <v>5</v>
      </c>
      <c r="AB85" s="31">
        <f>IFERROR(GETPIVOTDATA("Amount",'F-195 ExpendPivot'!$A$5:$K$2039,"CCDDD",'2025–26 Worksheet A'!$C$2,"Program","29","Activity","31","Object","5"),0)</f>
        <v>0</v>
      </c>
      <c r="AC85" s="45">
        <v>0</v>
      </c>
      <c r="AD85" s="31">
        <f t="shared" si="46"/>
        <v>0</v>
      </c>
      <c r="AE85" s="32">
        <f t="shared" si="47"/>
        <v>0</v>
      </c>
      <c r="AF85" s="26"/>
    </row>
    <row r="86" spans="1:32">
      <c r="A86" s="164"/>
      <c r="B86" s="22">
        <v>7</v>
      </c>
      <c r="C86" s="31">
        <f>IFERROR(GETPIVOTDATA("Amount",'F-195 ExpendPivot'!$A$5:$K$2039,"CCDDD",'2025–26 Worksheet A'!$C$2,"Program","21","Activity","31","Object","7"),0)</f>
        <v>0</v>
      </c>
      <c r="D86" s="45">
        <v>0</v>
      </c>
      <c r="E86" s="31">
        <f t="shared" si="40"/>
        <v>0</v>
      </c>
      <c r="F86" s="32">
        <f t="shared" si="41"/>
        <v>0</v>
      </c>
      <c r="G86" s="26"/>
      <c r="J86" s="164"/>
      <c r="K86" s="22">
        <v>7</v>
      </c>
      <c r="L86" s="31">
        <f>IFERROR(GETPIVOTDATA("Amount",'F-195 ExpendPivot'!$A$5:$K$2039,"CCDDD",'2025–26 Worksheet A'!$C$2,"Program","24","Activity","31","Object","7"),0)</f>
        <v>0</v>
      </c>
      <c r="M86" s="45">
        <v>0</v>
      </c>
      <c r="N86" s="31">
        <f t="shared" si="42"/>
        <v>0</v>
      </c>
      <c r="O86" s="32">
        <f t="shared" si="43"/>
        <v>0</v>
      </c>
      <c r="P86" s="26"/>
      <c r="R86" s="164"/>
      <c r="S86" s="22">
        <v>7</v>
      </c>
      <c r="T86" s="31">
        <f>IFERROR(GETPIVOTDATA("Amount",'F-195 ExpendPivot'!$A$5:$K$2039,"CCDDD",'2025–26 Worksheet A'!$C$2,"Program","26","Activity","31","Object","7"),0)</f>
        <v>0</v>
      </c>
      <c r="U86" s="45">
        <v>0</v>
      </c>
      <c r="V86" s="31">
        <f t="shared" si="44"/>
        <v>0</v>
      </c>
      <c r="W86" s="32">
        <f t="shared" si="45"/>
        <v>0</v>
      </c>
      <c r="X86" s="26"/>
      <c r="Z86" s="164"/>
      <c r="AA86" s="22">
        <v>7</v>
      </c>
      <c r="AB86" s="31">
        <f>IFERROR(GETPIVOTDATA("Amount",'F-195 ExpendPivot'!$A$5:$K$2039,"CCDDD",'2025–26 Worksheet A'!$C$2,"Program","29","Activity","31","Object","7"),0)</f>
        <v>0</v>
      </c>
      <c r="AC86" s="45">
        <v>0</v>
      </c>
      <c r="AD86" s="31">
        <f t="shared" si="46"/>
        <v>0</v>
      </c>
      <c r="AE86" s="32">
        <f t="shared" si="47"/>
        <v>0</v>
      </c>
      <c r="AF86" s="26"/>
    </row>
    <row r="87" spans="1:32">
      <c r="A87" s="164"/>
      <c r="B87" s="22">
        <v>8</v>
      </c>
      <c r="C87" s="31">
        <f>IFERROR(GETPIVOTDATA("Amount",'F-195 ExpendPivot'!$A$5:$K$2039,"CCDDD",'2025–26 Worksheet A'!$C$2,"Program","21","Activity","31","Object","8"),0)</f>
        <v>0</v>
      </c>
      <c r="D87" s="45">
        <v>0</v>
      </c>
      <c r="E87" s="31">
        <f t="shared" si="40"/>
        <v>0</v>
      </c>
      <c r="F87" s="32">
        <f t="shared" si="41"/>
        <v>0</v>
      </c>
      <c r="G87" s="26"/>
      <c r="J87" s="164"/>
      <c r="K87" s="22">
        <v>8</v>
      </c>
      <c r="L87" s="31">
        <f>IFERROR(GETPIVOTDATA("Amount",'F-195 ExpendPivot'!$A$5:$K$2039,"CCDDD",'2025–26 Worksheet A'!$C$2,"Program","24","Activity","31","Object","8"),0)</f>
        <v>0</v>
      </c>
      <c r="M87" s="45">
        <v>0</v>
      </c>
      <c r="N87" s="31">
        <f t="shared" si="42"/>
        <v>0</v>
      </c>
      <c r="O87" s="32">
        <f t="shared" si="43"/>
        <v>0</v>
      </c>
      <c r="P87" s="26"/>
      <c r="R87" s="164"/>
      <c r="S87" s="22">
        <v>8</v>
      </c>
      <c r="T87" s="31">
        <f>IFERROR(GETPIVOTDATA("Amount",'F-195 ExpendPivot'!$A$5:$K$2039,"CCDDD",'2025–26 Worksheet A'!$C$2,"Program","26","Activity","31","Object","8"),0)</f>
        <v>0</v>
      </c>
      <c r="U87" s="45">
        <v>0</v>
      </c>
      <c r="V87" s="31">
        <f t="shared" si="44"/>
        <v>0</v>
      </c>
      <c r="W87" s="32">
        <f t="shared" si="45"/>
        <v>0</v>
      </c>
      <c r="X87" s="26"/>
      <c r="Z87" s="164"/>
      <c r="AA87" s="22">
        <v>8</v>
      </c>
      <c r="AB87" s="31">
        <f>IFERROR(GETPIVOTDATA("Amount",'F-195 ExpendPivot'!$A$5:$K$2039,"CCDDD",'2025–26 Worksheet A'!$C$2,"Program","29","Activity","31","Object","8"),0)</f>
        <v>0</v>
      </c>
      <c r="AC87" s="45">
        <v>0</v>
      </c>
      <c r="AD87" s="31">
        <f t="shared" si="46"/>
        <v>0</v>
      </c>
      <c r="AE87" s="32">
        <f t="shared" si="47"/>
        <v>0</v>
      </c>
      <c r="AF87" s="26"/>
    </row>
    <row r="88" spans="1:32">
      <c r="A88" s="164"/>
      <c r="B88" s="22">
        <v>9</v>
      </c>
      <c r="C88" s="31">
        <f>IFERROR(GETPIVOTDATA("Amount",'F-195 ExpendPivot'!$A$5:$K$2039,"CCDDD",'2025–26 Worksheet A'!$C$2,"Program","21","Activity","31","Object","9"),0)</f>
        <v>0</v>
      </c>
      <c r="D88" s="45">
        <v>0</v>
      </c>
      <c r="E88" s="31">
        <f t="shared" si="40"/>
        <v>0</v>
      </c>
      <c r="F88" s="32">
        <f t="shared" si="41"/>
        <v>0</v>
      </c>
      <c r="G88" s="26"/>
      <c r="J88" s="164"/>
      <c r="K88" s="22">
        <v>9</v>
      </c>
      <c r="L88" s="31">
        <f>IFERROR(GETPIVOTDATA("Amount",'F-195 ExpendPivot'!$A$5:$K$2039,"CCDDD",'2025–26 Worksheet A'!$C$2,"Program","24","Activity","31","Object","9"),0)</f>
        <v>0</v>
      </c>
      <c r="M88" s="45">
        <v>0</v>
      </c>
      <c r="N88" s="31">
        <f t="shared" si="42"/>
        <v>0</v>
      </c>
      <c r="O88" s="32">
        <f t="shared" si="43"/>
        <v>0</v>
      </c>
      <c r="P88" s="26"/>
      <c r="R88" s="164"/>
      <c r="S88" s="22">
        <v>9</v>
      </c>
      <c r="T88" s="31">
        <f>IFERROR(GETPIVOTDATA("Amount",'F-195 ExpendPivot'!$A$5:$K$2039,"CCDDD",'2025–26 Worksheet A'!$C$2,"Program","26","Activity","31","Object","9"),0)</f>
        <v>0</v>
      </c>
      <c r="U88" s="45">
        <v>0</v>
      </c>
      <c r="V88" s="31">
        <f t="shared" si="44"/>
        <v>0</v>
      </c>
      <c r="W88" s="32">
        <f t="shared" si="45"/>
        <v>0</v>
      </c>
      <c r="X88" s="26"/>
      <c r="Z88" s="164"/>
      <c r="AA88" s="22">
        <v>9</v>
      </c>
      <c r="AB88" s="31">
        <f>IFERROR(GETPIVOTDATA("Amount",'F-195 ExpendPivot'!$A$5:$K$2039,"CCDDD",'2025–26 Worksheet A'!$C$2,"Program","29","Activity","31","Object","9"),0)</f>
        <v>0</v>
      </c>
      <c r="AC88" s="45">
        <v>0</v>
      </c>
      <c r="AD88" s="31">
        <f t="shared" si="46"/>
        <v>0</v>
      </c>
      <c r="AE88" s="32">
        <f t="shared" si="47"/>
        <v>0</v>
      </c>
      <c r="AF88" s="26"/>
    </row>
    <row r="89" spans="1:32">
      <c r="A89" s="165"/>
      <c r="B89" s="40"/>
      <c r="C89" s="46">
        <f>SUM(C81:C88)</f>
        <v>0</v>
      </c>
      <c r="D89" s="46">
        <f>SUM(D81:D88)</f>
        <v>0</v>
      </c>
      <c r="E89" s="46">
        <f>SUM(E81:E88)</f>
        <v>0</v>
      </c>
      <c r="F89" s="47"/>
      <c r="G89" s="48"/>
      <c r="J89" s="165"/>
      <c r="K89" s="40"/>
      <c r="L89" s="46">
        <f>SUM(L81:L88)</f>
        <v>0</v>
      </c>
      <c r="M89" s="46">
        <f>SUM(M81:M88)</f>
        <v>0</v>
      </c>
      <c r="N89" s="46">
        <f>SUM(N81:N88)</f>
        <v>0</v>
      </c>
      <c r="O89" s="47"/>
      <c r="P89" s="48"/>
      <c r="R89" s="165"/>
      <c r="S89" s="40"/>
      <c r="T89" s="46">
        <f>SUM(T81:T88)</f>
        <v>0</v>
      </c>
      <c r="U89" s="46">
        <f>SUM(U81:U88)</f>
        <v>0</v>
      </c>
      <c r="V89" s="46">
        <f>SUM(V81:V88)</f>
        <v>0</v>
      </c>
      <c r="W89" s="47"/>
      <c r="X89" s="48"/>
      <c r="Z89" s="165"/>
      <c r="AA89" s="40"/>
      <c r="AB89" s="46">
        <f>SUM(AB81:AB88)</f>
        <v>0</v>
      </c>
      <c r="AC89" s="46">
        <f>SUM(AC81:AC88)</f>
        <v>0</v>
      </c>
      <c r="AD89" s="46">
        <f>SUM(AD81:AD88)</f>
        <v>0</v>
      </c>
      <c r="AE89" s="47"/>
      <c r="AF89" s="48"/>
    </row>
    <row r="90" spans="1:32">
      <c r="A90" s="163">
        <v>32</v>
      </c>
      <c r="B90" s="27">
        <v>0</v>
      </c>
      <c r="C90" s="28">
        <f>IFERROR(GETPIVOTDATA("Amount",'F-195 ExpendPivot'!$A$5:$K$2039,"CCDDD",'2025–26 Worksheet A'!$C$2,"Program","21","Activity","32","Object","0"),0)</f>
        <v>0</v>
      </c>
      <c r="D90" s="44">
        <v>0</v>
      </c>
      <c r="E90" s="28">
        <f t="shared" ref="E90:E97" si="48">D90/$D$3*12</f>
        <v>0</v>
      </c>
      <c r="F90" s="32">
        <f t="shared" ref="F90:F97" si="49">IFERROR((E90-C90)/C90,0)</f>
        <v>0</v>
      </c>
      <c r="G90" s="30"/>
      <c r="J90" s="163">
        <v>32</v>
      </c>
      <c r="K90" s="27">
        <v>0</v>
      </c>
      <c r="L90" s="28">
        <f>IFERROR(GETPIVOTDATA("Amount",'F-195 ExpendPivot'!$A$5:$K$2039,"CCDDD",'2025–26 Worksheet A'!$C$2,"Program","24","Activity","32","Object","0"),0)</f>
        <v>0</v>
      </c>
      <c r="M90" s="44">
        <v>0</v>
      </c>
      <c r="N90" s="28">
        <f t="shared" ref="N90:N97" si="50">M90/$D$3*12</f>
        <v>0</v>
      </c>
      <c r="O90" s="29">
        <f t="shared" ref="O90:O97" si="51">IFERROR((N90-L90)/L90,0)</f>
        <v>0</v>
      </c>
      <c r="P90" s="30"/>
      <c r="R90" s="163">
        <v>32</v>
      </c>
      <c r="S90" s="27">
        <v>0</v>
      </c>
      <c r="T90" s="28">
        <f>IFERROR(GETPIVOTDATA("Amount",'F-195 ExpendPivot'!$A$5:$K$2039,"CCDDD",'2025–26 Worksheet A'!$C$2,"Program","26","Activity","32","Object","0"),0)</f>
        <v>0</v>
      </c>
      <c r="U90" s="44">
        <v>0</v>
      </c>
      <c r="V90" s="28">
        <f t="shared" ref="V90:V97" si="52">U90/$D$3*12</f>
        <v>0</v>
      </c>
      <c r="W90" s="29">
        <f t="shared" ref="W90:W97" si="53">IFERROR((V90-T90)/T90,0)</f>
        <v>0</v>
      </c>
      <c r="X90" s="30"/>
      <c r="Z90" s="163">
        <v>32</v>
      </c>
      <c r="AA90" s="27">
        <v>0</v>
      </c>
      <c r="AB90" s="28">
        <f>IFERROR(GETPIVOTDATA("Amount",'F-195 ExpendPivot'!$A$5:$K$2039,"CCDDD",'2025–26 Worksheet A'!$C$2,"Program","29","Activity","32","Object","0"),0)</f>
        <v>0</v>
      </c>
      <c r="AC90" s="44">
        <v>0</v>
      </c>
      <c r="AD90" s="28">
        <f t="shared" ref="AD90:AD97" si="54">AC90/$D$3*12</f>
        <v>0</v>
      </c>
      <c r="AE90" s="29">
        <f t="shared" ref="AE90:AE97" si="55">IFERROR((AD90-AB90)/AB90,0)</f>
        <v>0</v>
      </c>
      <c r="AF90" s="30"/>
    </row>
    <row r="91" spans="1:32">
      <c r="A91" s="164"/>
      <c r="B91" s="22">
        <v>2</v>
      </c>
      <c r="C91" s="31">
        <f>IFERROR(GETPIVOTDATA("Amount",'F-195 ExpendPivot'!$A$5:$K$2039,"CCDDD",'2025–26 Worksheet A'!$C$2,"Program","21","Activity","32","Object","2"),0)</f>
        <v>0</v>
      </c>
      <c r="D91" s="45">
        <v>0</v>
      </c>
      <c r="E91" s="31">
        <f t="shared" si="48"/>
        <v>0</v>
      </c>
      <c r="F91" s="32">
        <f t="shared" si="49"/>
        <v>0</v>
      </c>
      <c r="G91" s="26"/>
      <c r="J91" s="164"/>
      <c r="K91" s="22">
        <v>2</v>
      </c>
      <c r="L91" s="31">
        <f>IFERROR(GETPIVOTDATA("Amount",'F-195 ExpendPivot'!$A$5:$K$2039,"CCDDD",'2025–26 Worksheet A'!$C$2,"Program","24","Activity","32","Object","2"),0)</f>
        <v>0</v>
      </c>
      <c r="M91" s="45">
        <v>0</v>
      </c>
      <c r="N91" s="31">
        <f t="shared" si="50"/>
        <v>0</v>
      </c>
      <c r="O91" s="32">
        <f t="shared" si="51"/>
        <v>0</v>
      </c>
      <c r="P91" s="26"/>
      <c r="R91" s="164"/>
      <c r="S91" s="22">
        <v>2</v>
      </c>
      <c r="T91" s="31">
        <f>IFERROR(GETPIVOTDATA("Amount",'F-195 ExpendPivot'!$A$5:$K$2039,"CCDDD",'2025–26 Worksheet A'!$C$2,"Program","26","Activity","32","Object","2"),0)</f>
        <v>0</v>
      </c>
      <c r="U91" s="45">
        <v>0</v>
      </c>
      <c r="V91" s="31">
        <f t="shared" si="52"/>
        <v>0</v>
      </c>
      <c r="W91" s="32">
        <f t="shared" si="53"/>
        <v>0</v>
      </c>
      <c r="X91" s="26"/>
      <c r="Z91" s="164"/>
      <c r="AA91" s="22">
        <v>2</v>
      </c>
      <c r="AB91" s="31">
        <f>IFERROR(GETPIVOTDATA("Amount",'F-195 ExpendPivot'!$A$5:$K$2039,"CCDDD",'2025–26 Worksheet A'!$C$2,"Program","29","Activity","32","Object","2"),0)</f>
        <v>0</v>
      </c>
      <c r="AC91" s="45">
        <v>0</v>
      </c>
      <c r="AD91" s="31">
        <f t="shared" si="54"/>
        <v>0</v>
      </c>
      <c r="AE91" s="32">
        <f t="shared" si="55"/>
        <v>0</v>
      </c>
      <c r="AF91" s="26"/>
    </row>
    <row r="92" spans="1:32">
      <c r="A92" s="164"/>
      <c r="B92" s="22">
        <v>3</v>
      </c>
      <c r="C92" s="31">
        <f>IFERROR(GETPIVOTDATA("Amount",'F-195 ExpendPivot'!$A$5:$K$2039,"CCDDD",'2025–26 Worksheet A'!$C$2,"Program","21","Activity","32","Object","3"),0)</f>
        <v>0</v>
      </c>
      <c r="D92" s="45">
        <v>0</v>
      </c>
      <c r="E92" s="31">
        <f t="shared" si="48"/>
        <v>0</v>
      </c>
      <c r="F92" s="32">
        <f t="shared" si="49"/>
        <v>0</v>
      </c>
      <c r="G92" s="26"/>
      <c r="J92" s="164"/>
      <c r="K92" s="22">
        <v>3</v>
      </c>
      <c r="L92" s="31">
        <f>IFERROR(GETPIVOTDATA("Amount",'F-195 ExpendPivot'!$A$5:$K$2039,"CCDDD",'2025–26 Worksheet A'!$C$2,"Program","24","Activity","32","Object","3"),0)</f>
        <v>0</v>
      </c>
      <c r="M92" s="45">
        <v>0</v>
      </c>
      <c r="N92" s="31">
        <f t="shared" si="50"/>
        <v>0</v>
      </c>
      <c r="O92" s="32">
        <f t="shared" si="51"/>
        <v>0</v>
      </c>
      <c r="P92" s="26"/>
      <c r="R92" s="164"/>
      <c r="S92" s="22">
        <v>3</v>
      </c>
      <c r="T92" s="31">
        <f>IFERROR(GETPIVOTDATA("Amount",'F-195 ExpendPivot'!$A$5:$K$2039,"CCDDD",'2025–26 Worksheet A'!$C$2,"Program","26","Activity","32","Object","3"),0)</f>
        <v>0</v>
      </c>
      <c r="U92" s="45">
        <v>0</v>
      </c>
      <c r="V92" s="31">
        <f t="shared" si="52"/>
        <v>0</v>
      </c>
      <c r="W92" s="32">
        <f t="shared" si="53"/>
        <v>0</v>
      </c>
      <c r="X92" s="26"/>
      <c r="Z92" s="164"/>
      <c r="AA92" s="22">
        <v>3</v>
      </c>
      <c r="AB92" s="31">
        <f>IFERROR(GETPIVOTDATA("Amount",'F-195 ExpendPivot'!$A$5:$K$2039,"CCDDD",'2025–26 Worksheet A'!$C$2,"Program","29","Activity","32","Object","3"),0)</f>
        <v>0</v>
      </c>
      <c r="AC92" s="45">
        <v>0</v>
      </c>
      <c r="AD92" s="31">
        <f t="shared" si="54"/>
        <v>0</v>
      </c>
      <c r="AE92" s="32">
        <f t="shared" si="55"/>
        <v>0</v>
      </c>
      <c r="AF92" s="26"/>
    </row>
    <row r="93" spans="1:32">
      <c r="A93" s="164"/>
      <c r="B93" s="22">
        <v>4</v>
      </c>
      <c r="C93" s="31">
        <f>IFERROR(GETPIVOTDATA("Amount",'F-195 ExpendPivot'!$A$5:$K$2039,"CCDDD",'2025–26 Worksheet A'!$C$2,"Program","21","Activity","32","Object","4"),0)</f>
        <v>0</v>
      </c>
      <c r="D93" s="45">
        <v>0</v>
      </c>
      <c r="E93" s="31">
        <f t="shared" si="48"/>
        <v>0</v>
      </c>
      <c r="F93" s="32">
        <f t="shared" si="49"/>
        <v>0</v>
      </c>
      <c r="G93" s="26"/>
      <c r="J93" s="164"/>
      <c r="K93" s="22">
        <v>4</v>
      </c>
      <c r="L93" s="31">
        <f>IFERROR(GETPIVOTDATA("Amount",'F-195 ExpendPivot'!$A$5:$K$2039,"CCDDD",'2025–26 Worksheet A'!$C$2,"Program","24","Activity","32","Object","4"),0)</f>
        <v>0</v>
      </c>
      <c r="M93" s="45">
        <v>0</v>
      </c>
      <c r="N93" s="31">
        <f t="shared" si="50"/>
        <v>0</v>
      </c>
      <c r="O93" s="32">
        <f t="shared" si="51"/>
        <v>0</v>
      </c>
      <c r="P93" s="26"/>
      <c r="R93" s="164"/>
      <c r="S93" s="22">
        <v>4</v>
      </c>
      <c r="T93" s="31">
        <f>IFERROR(GETPIVOTDATA("Amount",'F-195 ExpendPivot'!$A$5:$K$2039,"CCDDD",'2025–26 Worksheet A'!$C$2,"Program","26","Activity","32","Object","4"),0)</f>
        <v>0</v>
      </c>
      <c r="U93" s="45">
        <v>0</v>
      </c>
      <c r="V93" s="31">
        <f t="shared" si="52"/>
        <v>0</v>
      </c>
      <c r="W93" s="32">
        <f t="shared" si="53"/>
        <v>0</v>
      </c>
      <c r="X93" s="26"/>
      <c r="Z93" s="164"/>
      <c r="AA93" s="22">
        <v>4</v>
      </c>
      <c r="AB93" s="31">
        <f>IFERROR(GETPIVOTDATA("Amount",'F-195 ExpendPivot'!$A$5:$K$2039,"CCDDD",'2025–26 Worksheet A'!$C$2,"Program","29","Activity","32","Object","4"),0)</f>
        <v>0</v>
      </c>
      <c r="AC93" s="45">
        <v>0</v>
      </c>
      <c r="AD93" s="31">
        <f t="shared" si="54"/>
        <v>0</v>
      </c>
      <c r="AE93" s="32">
        <f t="shared" si="55"/>
        <v>0</v>
      </c>
      <c r="AF93" s="26"/>
    </row>
    <row r="94" spans="1:32">
      <c r="A94" s="164"/>
      <c r="B94" s="22">
        <v>5</v>
      </c>
      <c r="C94" s="31">
        <f>IFERROR(GETPIVOTDATA("Amount",'F-195 ExpendPivot'!$A$5:$K$2039,"CCDDD",'2025–26 Worksheet A'!$C$2,"Program","21","Activity","32","Object","5"),0)</f>
        <v>0</v>
      </c>
      <c r="D94" s="45">
        <v>0</v>
      </c>
      <c r="E94" s="31">
        <f t="shared" si="48"/>
        <v>0</v>
      </c>
      <c r="F94" s="32">
        <f t="shared" si="49"/>
        <v>0</v>
      </c>
      <c r="G94" s="26"/>
      <c r="J94" s="164"/>
      <c r="K94" s="22">
        <v>5</v>
      </c>
      <c r="L94" s="31">
        <f>IFERROR(GETPIVOTDATA("Amount",'F-195 ExpendPivot'!$A$5:$K$2039,"CCDDD",'2025–26 Worksheet A'!$C$2,"Program","24","Activity","32","Object","5"),0)</f>
        <v>0</v>
      </c>
      <c r="M94" s="45">
        <v>0</v>
      </c>
      <c r="N94" s="31">
        <f t="shared" si="50"/>
        <v>0</v>
      </c>
      <c r="O94" s="32">
        <f t="shared" si="51"/>
        <v>0</v>
      </c>
      <c r="P94" s="26"/>
      <c r="R94" s="164"/>
      <c r="S94" s="22">
        <v>5</v>
      </c>
      <c r="T94" s="31">
        <f>IFERROR(GETPIVOTDATA("Amount",'F-195 ExpendPivot'!$A$5:$K$2039,"CCDDD",'2025–26 Worksheet A'!$C$2,"Program","26","Activity","32","Object","5"),0)</f>
        <v>0</v>
      </c>
      <c r="U94" s="45">
        <v>0</v>
      </c>
      <c r="V94" s="31">
        <f t="shared" si="52"/>
        <v>0</v>
      </c>
      <c r="W94" s="32">
        <f t="shared" si="53"/>
        <v>0</v>
      </c>
      <c r="X94" s="26"/>
      <c r="Z94" s="164"/>
      <c r="AA94" s="22">
        <v>5</v>
      </c>
      <c r="AB94" s="31">
        <f>IFERROR(GETPIVOTDATA("Amount",'F-195 ExpendPivot'!$A$5:$K$2039,"CCDDD",'2025–26 Worksheet A'!$C$2,"Program","29","Activity","32","Object","5"),0)</f>
        <v>0</v>
      </c>
      <c r="AC94" s="45">
        <v>0</v>
      </c>
      <c r="AD94" s="31">
        <f t="shared" si="54"/>
        <v>0</v>
      </c>
      <c r="AE94" s="32">
        <f t="shared" si="55"/>
        <v>0</v>
      </c>
      <c r="AF94" s="26"/>
    </row>
    <row r="95" spans="1:32">
      <c r="A95" s="164"/>
      <c r="B95" s="22">
        <v>7</v>
      </c>
      <c r="C95" s="31">
        <f>IFERROR(GETPIVOTDATA("Amount",'F-195 ExpendPivot'!$A$5:$K$2039,"CCDDD",'2025–26 Worksheet A'!$C$2,"Program","21","Activity","32","Object","7"),0)</f>
        <v>0</v>
      </c>
      <c r="D95" s="45">
        <v>0</v>
      </c>
      <c r="E95" s="31">
        <f t="shared" si="48"/>
        <v>0</v>
      </c>
      <c r="F95" s="32">
        <f t="shared" si="49"/>
        <v>0</v>
      </c>
      <c r="G95" s="26"/>
      <c r="J95" s="164"/>
      <c r="K95" s="22">
        <v>7</v>
      </c>
      <c r="L95" s="31">
        <f>IFERROR(GETPIVOTDATA("Amount",'F-195 ExpendPivot'!$A$5:$K$2039,"CCDDD",'2025–26 Worksheet A'!$C$2,"Program","24","Activity","32","Object","7"),0)</f>
        <v>0</v>
      </c>
      <c r="M95" s="45">
        <v>0</v>
      </c>
      <c r="N95" s="31">
        <f t="shared" si="50"/>
        <v>0</v>
      </c>
      <c r="O95" s="32">
        <f t="shared" si="51"/>
        <v>0</v>
      </c>
      <c r="P95" s="26"/>
      <c r="R95" s="164"/>
      <c r="S95" s="22">
        <v>7</v>
      </c>
      <c r="T95" s="31">
        <f>IFERROR(GETPIVOTDATA("Amount",'F-195 ExpendPivot'!$A$5:$K$2039,"CCDDD",'2025–26 Worksheet A'!$C$2,"Program","26","Activity","32","Object","7"),0)</f>
        <v>0</v>
      </c>
      <c r="U95" s="45">
        <v>0</v>
      </c>
      <c r="V95" s="31">
        <f t="shared" si="52"/>
        <v>0</v>
      </c>
      <c r="W95" s="32">
        <f t="shared" si="53"/>
        <v>0</v>
      </c>
      <c r="X95" s="26"/>
      <c r="Z95" s="164"/>
      <c r="AA95" s="22">
        <v>7</v>
      </c>
      <c r="AB95" s="31">
        <f>IFERROR(GETPIVOTDATA("Amount",'F-195 ExpendPivot'!$A$5:$K$2039,"CCDDD",'2025–26 Worksheet A'!$C$2,"Program","29","Activity","32","Object","7"),0)</f>
        <v>0</v>
      </c>
      <c r="AC95" s="45">
        <v>0</v>
      </c>
      <c r="AD95" s="31">
        <f t="shared" si="54"/>
        <v>0</v>
      </c>
      <c r="AE95" s="32">
        <f t="shared" si="55"/>
        <v>0</v>
      </c>
      <c r="AF95" s="26"/>
    </row>
    <row r="96" spans="1:32">
      <c r="A96" s="164"/>
      <c r="B96" s="22">
        <v>8</v>
      </c>
      <c r="C96" s="31">
        <f>IFERROR(GETPIVOTDATA("Amount",'F-195 ExpendPivot'!$A$5:$K$2039,"CCDDD",'2025–26 Worksheet A'!$C$2,"Program","21","Activity","32","Object","8"),0)</f>
        <v>0</v>
      </c>
      <c r="D96" s="45">
        <v>0</v>
      </c>
      <c r="E96" s="31">
        <f t="shared" si="48"/>
        <v>0</v>
      </c>
      <c r="F96" s="32">
        <f t="shared" si="49"/>
        <v>0</v>
      </c>
      <c r="G96" s="26"/>
      <c r="J96" s="164"/>
      <c r="K96" s="22">
        <v>8</v>
      </c>
      <c r="L96" s="31">
        <f>IFERROR(GETPIVOTDATA("Amount",'F-195 ExpendPivot'!$A$5:$K$2039,"CCDDD",'2025–26 Worksheet A'!$C$2,"Program","24","Activity","32","Object","8"),0)</f>
        <v>0</v>
      </c>
      <c r="M96" s="45">
        <v>0</v>
      </c>
      <c r="N96" s="31">
        <f t="shared" si="50"/>
        <v>0</v>
      </c>
      <c r="O96" s="32">
        <f t="shared" si="51"/>
        <v>0</v>
      </c>
      <c r="P96" s="26"/>
      <c r="R96" s="164"/>
      <c r="S96" s="22">
        <v>8</v>
      </c>
      <c r="T96" s="31">
        <f>IFERROR(GETPIVOTDATA("Amount",'F-195 ExpendPivot'!$A$5:$K$2039,"CCDDD",'2025–26 Worksheet A'!$C$2,"Program","26","Activity","32","Object","8"),0)</f>
        <v>0</v>
      </c>
      <c r="U96" s="45">
        <v>0</v>
      </c>
      <c r="V96" s="31">
        <f t="shared" si="52"/>
        <v>0</v>
      </c>
      <c r="W96" s="32">
        <f t="shared" si="53"/>
        <v>0</v>
      </c>
      <c r="X96" s="26"/>
      <c r="Z96" s="164"/>
      <c r="AA96" s="22">
        <v>8</v>
      </c>
      <c r="AB96" s="31">
        <f>IFERROR(GETPIVOTDATA("Amount",'F-195 ExpendPivot'!$A$5:$K$2039,"CCDDD",'2025–26 Worksheet A'!$C$2,"Program","29","Activity","32","Object","8"),0)</f>
        <v>0</v>
      </c>
      <c r="AC96" s="45">
        <v>0</v>
      </c>
      <c r="AD96" s="31">
        <f t="shared" si="54"/>
        <v>0</v>
      </c>
      <c r="AE96" s="32">
        <f t="shared" si="55"/>
        <v>0</v>
      </c>
      <c r="AF96" s="26"/>
    </row>
    <row r="97" spans="1:32">
      <c r="A97" s="164"/>
      <c r="B97" s="22">
        <v>9</v>
      </c>
      <c r="C97" s="31">
        <f>IFERROR(GETPIVOTDATA("Amount",'F-195 ExpendPivot'!$A$5:$K$2039,"CCDDD",'2025–26 Worksheet A'!$C$2,"Program","21","Activity","32","Object","9"),0)</f>
        <v>0</v>
      </c>
      <c r="D97" s="45">
        <v>0</v>
      </c>
      <c r="E97" s="31">
        <f t="shared" si="48"/>
        <v>0</v>
      </c>
      <c r="F97" s="32">
        <f t="shared" si="49"/>
        <v>0</v>
      </c>
      <c r="G97" s="26"/>
      <c r="J97" s="164"/>
      <c r="K97" s="22">
        <v>9</v>
      </c>
      <c r="L97" s="31">
        <f>IFERROR(GETPIVOTDATA("Amount",'F-195 ExpendPivot'!$A$5:$K$2039,"CCDDD",'2025–26 Worksheet A'!$C$2,"Program","24","Activity","32","Object","9"),0)</f>
        <v>0</v>
      </c>
      <c r="M97" s="45">
        <v>0</v>
      </c>
      <c r="N97" s="31">
        <f t="shared" si="50"/>
        <v>0</v>
      </c>
      <c r="O97" s="32">
        <f t="shared" si="51"/>
        <v>0</v>
      </c>
      <c r="P97" s="26"/>
      <c r="R97" s="164"/>
      <c r="S97" s="22">
        <v>9</v>
      </c>
      <c r="T97" s="31">
        <f>IFERROR(GETPIVOTDATA("Amount",'F-195 ExpendPivot'!$A$5:$K$2039,"CCDDD",'2025–26 Worksheet A'!$C$2,"Program","26","Activity","32","Object","9"),0)</f>
        <v>0</v>
      </c>
      <c r="U97" s="45">
        <v>0</v>
      </c>
      <c r="V97" s="31">
        <f t="shared" si="52"/>
        <v>0</v>
      </c>
      <c r="W97" s="32">
        <f t="shared" si="53"/>
        <v>0</v>
      </c>
      <c r="X97" s="26"/>
      <c r="Z97" s="164"/>
      <c r="AA97" s="22">
        <v>9</v>
      </c>
      <c r="AB97" s="31">
        <f>IFERROR(GETPIVOTDATA("Amount",'F-195 ExpendPivot'!$A$5:$K$2039,"CCDDD",'2025–26 Worksheet A'!$C$2,"Program","29","Activity","32","Object","9"),0)</f>
        <v>0</v>
      </c>
      <c r="AC97" s="45">
        <v>0</v>
      </c>
      <c r="AD97" s="31">
        <f t="shared" si="54"/>
        <v>0</v>
      </c>
      <c r="AE97" s="32">
        <f t="shared" si="55"/>
        <v>0</v>
      </c>
      <c r="AF97" s="26"/>
    </row>
    <row r="98" spans="1:32">
      <c r="A98" s="165"/>
      <c r="B98" s="40"/>
      <c r="C98" s="46">
        <f>SUM(C90:C97)</f>
        <v>0</v>
      </c>
      <c r="D98" s="46">
        <f>SUM(D90:D97)</f>
        <v>0</v>
      </c>
      <c r="E98" s="46">
        <f>SUM(E90:E97)</f>
        <v>0</v>
      </c>
      <c r="F98" s="47"/>
      <c r="G98" s="48"/>
      <c r="J98" s="165"/>
      <c r="K98" s="40"/>
      <c r="L98" s="46">
        <f>SUM(L90:L97)</f>
        <v>0</v>
      </c>
      <c r="M98" s="46">
        <f>SUM(M90:M97)</f>
        <v>0</v>
      </c>
      <c r="N98" s="46">
        <f>SUM(N90:N97)</f>
        <v>0</v>
      </c>
      <c r="O98" s="47"/>
      <c r="P98" s="48"/>
      <c r="R98" s="165"/>
      <c r="S98" s="40"/>
      <c r="T98" s="46">
        <f>SUM(T90:T97)</f>
        <v>0</v>
      </c>
      <c r="U98" s="46">
        <f>SUM(U90:U97)</f>
        <v>0</v>
      </c>
      <c r="V98" s="46">
        <f>SUM(V90:V97)</f>
        <v>0</v>
      </c>
      <c r="W98" s="47"/>
      <c r="X98" s="48"/>
      <c r="Z98" s="165"/>
      <c r="AA98" s="40"/>
      <c r="AB98" s="46">
        <f>SUM(AB90:AB97)</f>
        <v>0</v>
      </c>
      <c r="AC98" s="46">
        <f>SUM(AC90:AC97)</f>
        <v>0</v>
      </c>
      <c r="AD98" s="46">
        <f>SUM(AD90:AD97)</f>
        <v>0</v>
      </c>
      <c r="AE98" s="47"/>
      <c r="AF98" s="48"/>
    </row>
    <row r="99" spans="1:32">
      <c r="A99" s="163">
        <v>33</v>
      </c>
      <c r="B99" s="27">
        <v>0</v>
      </c>
      <c r="C99" s="28">
        <f>IFERROR(GETPIVOTDATA("Amount",'F-195 ExpendPivot'!$A$5:$K$2039,"CCDDD",'2025–26 Worksheet A'!$C$2,"Program","21","Activity","33","Object","0"),0)</f>
        <v>0</v>
      </c>
      <c r="D99" s="44">
        <v>0</v>
      </c>
      <c r="E99" s="28">
        <f t="shared" ref="E99:E106" si="56">D99/$D$3*12</f>
        <v>0</v>
      </c>
      <c r="F99" s="32">
        <f t="shared" ref="F99:F106" si="57">IFERROR((E99-C99)/C99,0)</f>
        <v>0</v>
      </c>
      <c r="G99" s="30"/>
      <c r="J99" s="163">
        <v>33</v>
      </c>
      <c r="K99" s="27">
        <v>0</v>
      </c>
      <c r="L99" s="28">
        <f>IFERROR(GETPIVOTDATA("Amount",'F-195 ExpendPivot'!$A$5:$K$2039,"CCDDD",'2025–26 Worksheet A'!$C$2,"Program","24","Activity","33","Object","0"),0)</f>
        <v>0</v>
      </c>
      <c r="M99" s="44">
        <v>0</v>
      </c>
      <c r="N99" s="28">
        <f t="shared" ref="N99:N106" si="58">M99/$D$3*12</f>
        <v>0</v>
      </c>
      <c r="O99" s="29">
        <f t="shared" ref="O99:O106" si="59">IFERROR((N99-L99)/L99,0)</f>
        <v>0</v>
      </c>
      <c r="P99" s="30"/>
      <c r="R99" s="163">
        <v>33</v>
      </c>
      <c r="S99" s="27">
        <v>0</v>
      </c>
      <c r="T99" s="28">
        <f>IFERROR(GETPIVOTDATA("Amount",'F-195 ExpendPivot'!$A$5:$K$2039,"CCDDD",'2025–26 Worksheet A'!$C$2,"Program","26","Activity","33","Object","0"),0)</f>
        <v>0</v>
      </c>
      <c r="U99" s="44">
        <v>0</v>
      </c>
      <c r="V99" s="28">
        <f t="shared" ref="V99:V106" si="60">U99/$D$3*12</f>
        <v>0</v>
      </c>
      <c r="W99" s="29">
        <f t="shared" ref="W99:W106" si="61">IFERROR((V99-T99)/T99,0)</f>
        <v>0</v>
      </c>
      <c r="X99" s="30"/>
      <c r="Z99" s="163">
        <v>33</v>
      </c>
      <c r="AA99" s="27">
        <v>0</v>
      </c>
      <c r="AB99" s="28">
        <f>IFERROR(GETPIVOTDATA("Amount",'F-195 ExpendPivot'!$A$5:$K$2039,"CCDDD",'2025–26 Worksheet A'!$C$2,"Program","29","Activity","33","Object","0"),0)</f>
        <v>0</v>
      </c>
      <c r="AC99" s="44">
        <v>0</v>
      </c>
      <c r="AD99" s="28">
        <f t="shared" ref="AD99:AD106" si="62">AC99/$D$3*12</f>
        <v>0</v>
      </c>
      <c r="AE99" s="29">
        <f t="shared" ref="AE99:AE106" si="63">IFERROR((AD99-AB99)/AB99,0)</f>
        <v>0</v>
      </c>
      <c r="AF99" s="30"/>
    </row>
    <row r="100" spans="1:32">
      <c r="A100" s="164"/>
      <c r="B100" s="22">
        <v>2</v>
      </c>
      <c r="C100" s="31">
        <f>IFERROR(GETPIVOTDATA("Amount",'F-195 ExpendPivot'!$A$5:$K$2039,"CCDDD",'2025–26 Worksheet A'!$C$2,"Program","21","Activity","33","Object","2"),0)</f>
        <v>0</v>
      </c>
      <c r="D100" s="45">
        <v>0</v>
      </c>
      <c r="E100" s="31">
        <f t="shared" si="56"/>
        <v>0</v>
      </c>
      <c r="F100" s="32">
        <f t="shared" si="57"/>
        <v>0</v>
      </c>
      <c r="G100" s="26"/>
      <c r="J100" s="164"/>
      <c r="K100" s="22">
        <v>2</v>
      </c>
      <c r="L100" s="31">
        <f>IFERROR(GETPIVOTDATA("Amount",'F-195 ExpendPivot'!$A$5:$K$2039,"CCDDD",'2025–26 Worksheet A'!$C$2,"Program","24","Activity","33","Object","2"),0)</f>
        <v>0</v>
      </c>
      <c r="M100" s="45">
        <v>0</v>
      </c>
      <c r="N100" s="31">
        <f t="shared" si="58"/>
        <v>0</v>
      </c>
      <c r="O100" s="32">
        <f t="shared" si="59"/>
        <v>0</v>
      </c>
      <c r="P100" s="26"/>
      <c r="R100" s="164"/>
      <c r="S100" s="22">
        <v>2</v>
      </c>
      <c r="T100" s="31">
        <f>IFERROR(GETPIVOTDATA("Amount",'F-195 ExpendPivot'!$A$5:$K$2039,"CCDDD",'2025–26 Worksheet A'!$C$2,"Program","26","Activity","33","Object","2"),0)</f>
        <v>0</v>
      </c>
      <c r="U100" s="45">
        <v>0</v>
      </c>
      <c r="V100" s="31">
        <f t="shared" si="60"/>
        <v>0</v>
      </c>
      <c r="W100" s="32">
        <f t="shared" si="61"/>
        <v>0</v>
      </c>
      <c r="X100" s="26"/>
      <c r="Z100" s="164"/>
      <c r="AA100" s="22">
        <v>2</v>
      </c>
      <c r="AB100" s="31">
        <f>IFERROR(GETPIVOTDATA("Amount",'F-195 ExpendPivot'!$A$5:$K$2039,"CCDDD",'2025–26 Worksheet A'!$C$2,"Program","29","Activity","33","Object","2"),0)</f>
        <v>0</v>
      </c>
      <c r="AC100" s="45">
        <v>0</v>
      </c>
      <c r="AD100" s="31">
        <f t="shared" si="62"/>
        <v>0</v>
      </c>
      <c r="AE100" s="32">
        <f t="shared" si="63"/>
        <v>0</v>
      </c>
      <c r="AF100" s="26"/>
    </row>
    <row r="101" spans="1:32">
      <c r="A101" s="164"/>
      <c r="B101" s="22">
        <v>3</v>
      </c>
      <c r="C101" s="31">
        <f>IFERROR(GETPIVOTDATA("Amount",'F-195 ExpendPivot'!$A$5:$K$2039,"CCDDD",'2025–26 Worksheet A'!$C$2,"Program","21","Activity","33","Object","3"),0)</f>
        <v>0</v>
      </c>
      <c r="D101" s="45">
        <v>0</v>
      </c>
      <c r="E101" s="31">
        <f t="shared" si="56"/>
        <v>0</v>
      </c>
      <c r="F101" s="32">
        <f t="shared" si="57"/>
        <v>0</v>
      </c>
      <c r="G101" s="26"/>
      <c r="J101" s="164"/>
      <c r="K101" s="22">
        <v>3</v>
      </c>
      <c r="L101" s="31">
        <f>IFERROR(GETPIVOTDATA("Amount",'F-195 ExpendPivot'!$A$5:$K$2039,"CCDDD",'2025–26 Worksheet A'!$C$2,"Program","24","Activity","33","Object","3"),0)</f>
        <v>0</v>
      </c>
      <c r="M101" s="45">
        <v>0</v>
      </c>
      <c r="N101" s="31">
        <f t="shared" si="58"/>
        <v>0</v>
      </c>
      <c r="O101" s="32">
        <f t="shared" si="59"/>
        <v>0</v>
      </c>
      <c r="P101" s="26"/>
      <c r="R101" s="164"/>
      <c r="S101" s="22">
        <v>3</v>
      </c>
      <c r="T101" s="31">
        <f>IFERROR(GETPIVOTDATA("Amount",'F-195 ExpendPivot'!$A$5:$K$2039,"CCDDD",'2025–26 Worksheet A'!$C$2,"Program","26","Activity","33","Object","3"),0)</f>
        <v>0</v>
      </c>
      <c r="U101" s="45">
        <v>0</v>
      </c>
      <c r="V101" s="31">
        <f t="shared" si="60"/>
        <v>0</v>
      </c>
      <c r="W101" s="32">
        <f t="shared" si="61"/>
        <v>0</v>
      </c>
      <c r="X101" s="26"/>
      <c r="Z101" s="164"/>
      <c r="AA101" s="22">
        <v>3</v>
      </c>
      <c r="AB101" s="31">
        <f>IFERROR(GETPIVOTDATA("Amount",'F-195 ExpendPivot'!$A$5:$K$2039,"CCDDD",'2025–26 Worksheet A'!$C$2,"Program","29","Activity","33","Object","3"),0)</f>
        <v>0</v>
      </c>
      <c r="AC101" s="45">
        <v>0</v>
      </c>
      <c r="AD101" s="31">
        <f t="shared" si="62"/>
        <v>0</v>
      </c>
      <c r="AE101" s="32">
        <f t="shared" si="63"/>
        <v>0</v>
      </c>
      <c r="AF101" s="26"/>
    </row>
    <row r="102" spans="1:32">
      <c r="A102" s="164"/>
      <c r="B102" s="22">
        <v>4</v>
      </c>
      <c r="C102" s="31">
        <f>IFERROR(GETPIVOTDATA("Amount",'F-195 ExpendPivot'!$A$5:$K$2039,"CCDDD",'2025–26 Worksheet A'!$C$2,"Program","21","Activity","33","Object","4"),0)</f>
        <v>0</v>
      </c>
      <c r="D102" s="45">
        <v>0</v>
      </c>
      <c r="E102" s="31">
        <f t="shared" si="56"/>
        <v>0</v>
      </c>
      <c r="F102" s="32">
        <f t="shared" si="57"/>
        <v>0</v>
      </c>
      <c r="G102" s="26"/>
      <c r="J102" s="164"/>
      <c r="K102" s="22">
        <v>4</v>
      </c>
      <c r="L102" s="31">
        <f>IFERROR(GETPIVOTDATA("Amount",'F-195 ExpendPivot'!$A$5:$K$2039,"CCDDD",'2025–26 Worksheet A'!$C$2,"Program","24","Activity","33","Object","4"),0)</f>
        <v>0</v>
      </c>
      <c r="M102" s="45">
        <v>0</v>
      </c>
      <c r="N102" s="31">
        <f t="shared" si="58"/>
        <v>0</v>
      </c>
      <c r="O102" s="32">
        <f t="shared" si="59"/>
        <v>0</v>
      </c>
      <c r="P102" s="26"/>
      <c r="R102" s="164"/>
      <c r="S102" s="22">
        <v>4</v>
      </c>
      <c r="T102" s="31">
        <f>IFERROR(GETPIVOTDATA("Amount",'F-195 ExpendPivot'!$A$5:$K$2039,"CCDDD",'2025–26 Worksheet A'!$C$2,"Program","26","Activity","33","Object","4"),0)</f>
        <v>0</v>
      </c>
      <c r="U102" s="45">
        <v>0</v>
      </c>
      <c r="V102" s="31">
        <f t="shared" si="60"/>
        <v>0</v>
      </c>
      <c r="W102" s="32">
        <f t="shared" si="61"/>
        <v>0</v>
      </c>
      <c r="X102" s="26"/>
      <c r="Z102" s="164"/>
      <c r="AA102" s="22">
        <v>4</v>
      </c>
      <c r="AB102" s="31">
        <f>IFERROR(GETPIVOTDATA("Amount",'F-195 ExpendPivot'!$A$5:$K$2039,"CCDDD",'2025–26 Worksheet A'!$C$2,"Program","29","Activity","33","Object","4"),0)</f>
        <v>0</v>
      </c>
      <c r="AC102" s="45">
        <v>0</v>
      </c>
      <c r="AD102" s="31">
        <f t="shared" si="62"/>
        <v>0</v>
      </c>
      <c r="AE102" s="32">
        <f t="shared" si="63"/>
        <v>0</v>
      </c>
      <c r="AF102" s="26"/>
    </row>
    <row r="103" spans="1:32">
      <c r="A103" s="164"/>
      <c r="B103" s="22">
        <v>5</v>
      </c>
      <c r="C103" s="31">
        <f>IFERROR(GETPIVOTDATA("Amount",'F-195 ExpendPivot'!$A$5:$K$2039,"CCDDD",'2025–26 Worksheet A'!$C$2,"Program","21","Activity","33","Object","5"),0)</f>
        <v>0</v>
      </c>
      <c r="D103" s="45">
        <v>0</v>
      </c>
      <c r="E103" s="31">
        <f t="shared" si="56"/>
        <v>0</v>
      </c>
      <c r="F103" s="32">
        <f t="shared" si="57"/>
        <v>0</v>
      </c>
      <c r="G103" s="26"/>
      <c r="J103" s="164"/>
      <c r="K103" s="22">
        <v>5</v>
      </c>
      <c r="L103" s="31">
        <f>IFERROR(GETPIVOTDATA("Amount",'F-195 ExpendPivot'!$A$5:$K$2039,"CCDDD",'2025–26 Worksheet A'!$C$2,"Program","24","Activity","33","Object","5"),0)</f>
        <v>0</v>
      </c>
      <c r="M103" s="45">
        <v>0</v>
      </c>
      <c r="N103" s="31">
        <f t="shared" si="58"/>
        <v>0</v>
      </c>
      <c r="O103" s="32">
        <f t="shared" si="59"/>
        <v>0</v>
      </c>
      <c r="P103" s="26"/>
      <c r="R103" s="164"/>
      <c r="S103" s="22">
        <v>5</v>
      </c>
      <c r="T103" s="31">
        <f>IFERROR(GETPIVOTDATA("Amount",'F-195 ExpendPivot'!$A$5:$K$2039,"CCDDD",'2025–26 Worksheet A'!$C$2,"Program","26","Activity","33","Object","5"),0)</f>
        <v>0</v>
      </c>
      <c r="U103" s="45">
        <v>0</v>
      </c>
      <c r="V103" s="31">
        <f t="shared" si="60"/>
        <v>0</v>
      </c>
      <c r="W103" s="32">
        <f t="shared" si="61"/>
        <v>0</v>
      </c>
      <c r="X103" s="26"/>
      <c r="Z103" s="164"/>
      <c r="AA103" s="22">
        <v>5</v>
      </c>
      <c r="AB103" s="31">
        <f>IFERROR(GETPIVOTDATA("Amount",'F-195 ExpendPivot'!$A$5:$K$2039,"CCDDD",'2025–26 Worksheet A'!$C$2,"Program","29","Activity","33","Object","5"),0)</f>
        <v>0</v>
      </c>
      <c r="AC103" s="45">
        <v>0</v>
      </c>
      <c r="AD103" s="31">
        <f t="shared" si="62"/>
        <v>0</v>
      </c>
      <c r="AE103" s="32">
        <f t="shared" si="63"/>
        <v>0</v>
      </c>
      <c r="AF103" s="26"/>
    </row>
    <row r="104" spans="1:32">
      <c r="A104" s="164"/>
      <c r="B104" s="22">
        <v>7</v>
      </c>
      <c r="C104" s="31">
        <f>IFERROR(GETPIVOTDATA("Amount",'F-195 ExpendPivot'!$A$5:$K$2039,"CCDDD",'2025–26 Worksheet A'!$C$2,"Program","21","Activity","33","Object","7"),0)</f>
        <v>0</v>
      </c>
      <c r="D104" s="45">
        <v>0</v>
      </c>
      <c r="E104" s="31">
        <f t="shared" si="56"/>
        <v>0</v>
      </c>
      <c r="F104" s="32">
        <f t="shared" si="57"/>
        <v>0</v>
      </c>
      <c r="G104" s="26"/>
      <c r="J104" s="164"/>
      <c r="K104" s="22">
        <v>7</v>
      </c>
      <c r="L104" s="31">
        <f>IFERROR(GETPIVOTDATA("Amount",'F-195 ExpendPivot'!$A$5:$K$2039,"CCDDD",'2025–26 Worksheet A'!$C$2,"Program","24","Activity","33","Object","7"),0)</f>
        <v>0</v>
      </c>
      <c r="M104" s="45">
        <v>0</v>
      </c>
      <c r="N104" s="31">
        <f t="shared" si="58"/>
        <v>0</v>
      </c>
      <c r="O104" s="32">
        <f t="shared" si="59"/>
        <v>0</v>
      </c>
      <c r="P104" s="26"/>
      <c r="R104" s="164"/>
      <c r="S104" s="22">
        <v>7</v>
      </c>
      <c r="T104" s="31">
        <f>IFERROR(GETPIVOTDATA("Amount",'F-195 ExpendPivot'!$A$5:$K$2039,"CCDDD",'2025–26 Worksheet A'!$C$2,"Program","26","Activity","33","Object","7"),0)</f>
        <v>0</v>
      </c>
      <c r="U104" s="45">
        <v>0</v>
      </c>
      <c r="V104" s="31">
        <f t="shared" si="60"/>
        <v>0</v>
      </c>
      <c r="W104" s="32">
        <f t="shared" si="61"/>
        <v>0</v>
      </c>
      <c r="X104" s="26"/>
      <c r="Z104" s="164"/>
      <c r="AA104" s="22">
        <v>7</v>
      </c>
      <c r="AB104" s="31">
        <f>IFERROR(GETPIVOTDATA("Amount",'F-195 ExpendPivot'!$A$5:$K$2039,"CCDDD",'2025–26 Worksheet A'!$C$2,"Program","29","Activity","33","Object","7"),0)</f>
        <v>0</v>
      </c>
      <c r="AC104" s="45">
        <v>0</v>
      </c>
      <c r="AD104" s="31">
        <f t="shared" si="62"/>
        <v>0</v>
      </c>
      <c r="AE104" s="32">
        <f t="shared" si="63"/>
        <v>0</v>
      </c>
      <c r="AF104" s="26"/>
    </row>
    <row r="105" spans="1:32">
      <c r="A105" s="164"/>
      <c r="B105" s="22">
        <v>8</v>
      </c>
      <c r="C105" s="31">
        <f>IFERROR(GETPIVOTDATA("Amount",'F-195 ExpendPivot'!$A$5:$K$2039,"CCDDD",'2025–26 Worksheet A'!$C$2,"Program","21","Activity","33","Object","8"),0)</f>
        <v>0</v>
      </c>
      <c r="D105" s="45">
        <v>0</v>
      </c>
      <c r="E105" s="31">
        <f t="shared" si="56"/>
        <v>0</v>
      </c>
      <c r="F105" s="32">
        <f t="shared" si="57"/>
        <v>0</v>
      </c>
      <c r="G105" s="26"/>
      <c r="J105" s="164"/>
      <c r="K105" s="22">
        <v>8</v>
      </c>
      <c r="L105" s="31">
        <f>IFERROR(GETPIVOTDATA("Amount",'F-195 ExpendPivot'!$A$5:$K$2039,"CCDDD",'2025–26 Worksheet A'!$C$2,"Program","24","Activity","33","Object","8"),0)</f>
        <v>0</v>
      </c>
      <c r="M105" s="45">
        <v>0</v>
      </c>
      <c r="N105" s="31">
        <f t="shared" si="58"/>
        <v>0</v>
      </c>
      <c r="O105" s="32">
        <f t="shared" si="59"/>
        <v>0</v>
      </c>
      <c r="P105" s="26"/>
      <c r="R105" s="164"/>
      <c r="S105" s="22">
        <v>8</v>
      </c>
      <c r="T105" s="31">
        <f>IFERROR(GETPIVOTDATA("Amount",'F-195 ExpendPivot'!$A$5:$K$2039,"CCDDD",'2025–26 Worksheet A'!$C$2,"Program","26","Activity","33","Object","8"),0)</f>
        <v>0</v>
      </c>
      <c r="U105" s="45">
        <v>0</v>
      </c>
      <c r="V105" s="31">
        <f t="shared" si="60"/>
        <v>0</v>
      </c>
      <c r="W105" s="32">
        <f t="shared" si="61"/>
        <v>0</v>
      </c>
      <c r="X105" s="26"/>
      <c r="Z105" s="164"/>
      <c r="AA105" s="22">
        <v>8</v>
      </c>
      <c r="AB105" s="31">
        <f>IFERROR(GETPIVOTDATA("Amount",'F-195 ExpendPivot'!$A$5:$K$2039,"CCDDD",'2025–26 Worksheet A'!$C$2,"Program","29","Activity","33","Object","8"),0)</f>
        <v>0</v>
      </c>
      <c r="AC105" s="45">
        <v>0</v>
      </c>
      <c r="AD105" s="31">
        <f t="shared" si="62"/>
        <v>0</v>
      </c>
      <c r="AE105" s="32">
        <f t="shared" si="63"/>
        <v>0</v>
      </c>
      <c r="AF105" s="26"/>
    </row>
    <row r="106" spans="1:32">
      <c r="A106" s="164"/>
      <c r="B106" s="22">
        <v>9</v>
      </c>
      <c r="C106" s="31">
        <f>IFERROR(GETPIVOTDATA("Amount",'F-195 ExpendPivot'!$A$5:$K$2039,"CCDDD",'2025–26 Worksheet A'!$C$2,"Program","21","Activity","33","Object","9"),0)</f>
        <v>0</v>
      </c>
      <c r="D106" s="45">
        <v>0</v>
      </c>
      <c r="E106" s="31">
        <f t="shared" si="56"/>
        <v>0</v>
      </c>
      <c r="F106" s="32">
        <f t="shared" si="57"/>
        <v>0</v>
      </c>
      <c r="G106" s="26"/>
      <c r="J106" s="164"/>
      <c r="K106" s="22">
        <v>9</v>
      </c>
      <c r="L106" s="31">
        <f>IFERROR(GETPIVOTDATA("Amount",'F-195 ExpendPivot'!$A$5:$K$2039,"CCDDD",'2025–26 Worksheet A'!$C$2,"Program","24","Activity","33","Object","9"),0)</f>
        <v>0</v>
      </c>
      <c r="M106" s="45">
        <v>0</v>
      </c>
      <c r="N106" s="31">
        <f t="shared" si="58"/>
        <v>0</v>
      </c>
      <c r="O106" s="32">
        <f t="shared" si="59"/>
        <v>0</v>
      </c>
      <c r="P106" s="26"/>
      <c r="R106" s="164"/>
      <c r="S106" s="22">
        <v>9</v>
      </c>
      <c r="T106" s="31">
        <f>IFERROR(GETPIVOTDATA("Amount",'F-195 ExpendPivot'!$A$5:$K$2039,"CCDDD",'2025–26 Worksheet A'!$C$2,"Program","26","Activity","33","Object","9"),0)</f>
        <v>0</v>
      </c>
      <c r="U106" s="45">
        <v>0</v>
      </c>
      <c r="V106" s="31">
        <f t="shared" si="60"/>
        <v>0</v>
      </c>
      <c r="W106" s="32">
        <f t="shared" si="61"/>
        <v>0</v>
      </c>
      <c r="X106" s="26"/>
      <c r="Z106" s="164"/>
      <c r="AA106" s="22">
        <v>9</v>
      </c>
      <c r="AB106" s="31">
        <f>IFERROR(GETPIVOTDATA("Amount",'F-195 ExpendPivot'!$A$5:$K$2039,"CCDDD",'2025–26 Worksheet A'!$C$2,"Program","29","Activity","33","Object","9"),0)</f>
        <v>0</v>
      </c>
      <c r="AC106" s="45">
        <v>0</v>
      </c>
      <c r="AD106" s="31">
        <f t="shared" si="62"/>
        <v>0</v>
      </c>
      <c r="AE106" s="32">
        <f t="shared" si="63"/>
        <v>0</v>
      </c>
      <c r="AF106" s="26"/>
    </row>
    <row r="107" spans="1:32">
      <c r="A107" s="165"/>
      <c r="B107" s="40"/>
      <c r="C107" s="46">
        <f>SUM(C99:C106)</f>
        <v>0</v>
      </c>
      <c r="D107" s="46">
        <f>SUM(D99:D106)</f>
        <v>0</v>
      </c>
      <c r="E107" s="46">
        <f>SUM(E99:E106)</f>
        <v>0</v>
      </c>
      <c r="F107" s="47"/>
      <c r="G107" s="48"/>
      <c r="J107" s="165"/>
      <c r="K107" s="40"/>
      <c r="L107" s="46">
        <f>SUM(L99:L106)</f>
        <v>0</v>
      </c>
      <c r="M107" s="46">
        <f>SUM(M99:M106)</f>
        <v>0</v>
      </c>
      <c r="N107" s="46">
        <f>SUM(N99:N106)</f>
        <v>0</v>
      </c>
      <c r="O107" s="47"/>
      <c r="P107" s="48"/>
      <c r="R107" s="165"/>
      <c r="S107" s="40"/>
      <c r="T107" s="46">
        <f>SUM(T99:T106)</f>
        <v>0</v>
      </c>
      <c r="U107" s="46">
        <f>SUM(U99:U106)</f>
        <v>0</v>
      </c>
      <c r="V107" s="46">
        <f>SUM(V99:V106)</f>
        <v>0</v>
      </c>
      <c r="W107" s="47"/>
      <c r="X107" s="48"/>
      <c r="Z107" s="165"/>
      <c r="AA107" s="40"/>
      <c r="AB107" s="46">
        <f>SUM(AB99:AB106)</f>
        <v>0</v>
      </c>
      <c r="AC107" s="46">
        <f>SUM(AC99:AC106)</f>
        <v>0</v>
      </c>
      <c r="AD107" s="46">
        <f>SUM(AD99:AD106)</f>
        <v>0</v>
      </c>
      <c r="AE107" s="47"/>
      <c r="AF107" s="48"/>
    </row>
    <row r="108" spans="1:32">
      <c r="A108" s="163">
        <v>34</v>
      </c>
      <c r="B108" s="27">
        <v>0</v>
      </c>
      <c r="C108" s="28">
        <f>IFERROR(GETPIVOTDATA("Amount",'F-195 ExpendPivot'!$A$5:$K$2039,"CCDDD",'2025–26 Worksheet A'!$C$2,"Program","21","Activity","34","Object","0"),0)</f>
        <v>0</v>
      </c>
      <c r="D108" s="44">
        <v>0</v>
      </c>
      <c r="E108" s="28">
        <f t="shared" ref="E108:E115" si="64">D108/$D$3*12</f>
        <v>0</v>
      </c>
      <c r="F108" s="32">
        <f t="shared" ref="F108:F115" si="65">IFERROR((E108-C108)/C108,0)</f>
        <v>0</v>
      </c>
      <c r="G108" s="30"/>
      <c r="J108" s="163">
        <v>34</v>
      </c>
      <c r="K108" s="27">
        <v>0</v>
      </c>
      <c r="L108" s="28">
        <f>IFERROR(GETPIVOTDATA("Amount",'F-195 ExpendPivot'!$A$5:$K$2039,"CCDDD",'2025–26 Worksheet A'!$C$2,"Program","24","Activity","34","Object","0"),0)</f>
        <v>0</v>
      </c>
      <c r="M108" s="44">
        <v>0</v>
      </c>
      <c r="N108" s="28">
        <f t="shared" ref="N108:N115" si="66">M108/$D$3*12</f>
        <v>0</v>
      </c>
      <c r="O108" s="29">
        <f t="shared" ref="O108:O115" si="67">IFERROR((N108-L108)/L108,0)</f>
        <v>0</v>
      </c>
      <c r="P108" s="30"/>
      <c r="R108" s="163">
        <v>34</v>
      </c>
      <c r="S108" s="27">
        <v>0</v>
      </c>
      <c r="T108" s="28">
        <f>IFERROR(GETPIVOTDATA("Amount",'F-195 ExpendPivot'!$A$5:$K$2039,"CCDDD",'2025–26 Worksheet A'!$C$2,"Program","26","Activity","34","Object","0"),0)</f>
        <v>0</v>
      </c>
      <c r="U108" s="44">
        <v>0</v>
      </c>
      <c r="V108" s="28">
        <f t="shared" ref="V108:V115" si="68">U108/$D$3*12</f>
        <v>0</v>
      </c>
      <c r="W108" s="29">
        <f t="shared" ref="W108:W115" si="69">IFERROR((V108-T108)/T108,0)</f>
        <v>0</v>
      </c>
      <c r="X108" s="30"/>
      <c r="Z108" s="163">
        <v>34</v>
      </c>
      <c r="AA108" s="27">
        <v>0</v>
      </c>
      <c r="AB108" s="28">
        <f>IFERROR(GETPIVOTDATA("Amount",'F-195 ExpendPivot'!$A$5:$K$2039,"CCDDD",'2025–26 Worksheet A'!$C$2,"Program","29","Activity","34","Object","0"),0)</f>
        <v>0</v>
      </c>
      <c r="AC108" s="44">
        <v>0</v>
      </c>
      <c r="AD108" s="28">
        <f t="shared" ref="AD108:AD115" si="70">AC108/$D$3*12</f>
        <v>0</v>
      </c>
      <c r="AE108" s="29">
        <f t="shared" ref="AE108:AE115" si="71">IFERROR((AD108-AB108)/AB108,0)</f>
        <v>0</v>
      </c>
      <c r="AF108" s="30"/>
    </row>
    <row r="109" spans="1:32">
      <c r="A109" s="164"/>
      <c r="B109" s="22">
        <v>2</v>
      </c>
      <c r="C109" s="31">
        <f>IFERROR(GETPIVOTDATA("Amount",'F-195 ExpendPivot'!$A$5:$K$2039,"CCDDD",'2025–26 Worksheet A'!$C$2,"Program","21","Activity","34","Object","2"),0)</f>
        <v>0</v>
      </c>
      <c r="D109" s="45">
        <v>0</v>
      </c>
      <c r="E109" s="31">
        <f t="shared" si="64"/>
        <v>0</v>
      </c>
      <c r="F109" s="32">
        <f t="shared" si="65"/>
        <v>0</v>
      </c>
      <c r="G109" s="26"/>
      <c r="J109" s="164"/>
      <c r="K109" s="22">
        <v>2</v>
      </c>
      <c r="L109" s="31">
        <f>IFERROR(GETPIVOTDATA("Amount",'F-195 ExpendPivot'!$A$5:$K$2039,"CCDDD",'2025–26 Worksheet A'!$C$2,"Program","24","Activity","34","Object","2"),0)</f>
        <v>0</v>
      </c>
      <c r="M109" s="45">
        <v>0</v>
      </c>
      <c r="N109" s="31">
        <f t="shared" si="66"/>
        <v>0</v>
      </c>
      <c r="O109" s="32">
        <f t="shared" si="67"/>
        <v>0</v>
      </c>
      <c r="P109" s="26"/>
      <c r="R109" s="164"/>
      <c r="S109" s="22">
        <v>2</v>
      </c>
      <c r="T109" s="31">
        <f>IFERROR(GETPIVOTDATA("Amount",'F-195 ExpendPivot'!$A$5:$K$2039,"CCDDD",'2025–26 Worksheet A'!$C$2,"Program","26","Activity","34","Object","2"),0)</f>
        <v>0</v>
      </c>
      <c r="U109" s="45">
        <v>0</v>
      </c>
      <c r="V109" s="31">
        <f t="shared" si="68"/>
        <v>0</v>
      </c>
      <c r="W109" s="32">
        <f t="shared" si="69"/>
        <v>0</v>
      </c>
      <c r="X109" s="26"/>
      <c r="Z109" s="164"/>
      <c r="AA109" s="22">
        <v>2</v>
      </c>
      <c r="AB109" s="31">
        <f>IFERROR(GETPIVOTDATA("Amount",'F-195 ExpendPivot'!$A$5:$K$2039,"CCDDD",'2025–26 Worksheet A'!$C$2,"Program","29","Activity","34","Object","2"),0)</f>
        <v>0</v>
      </c>
      <c r="AC109" s="45">
        <v>0</v>
      </c>
      <c r="AD109" s="31">
        <f t="shared" si="70"/>
        <v>0</v>
      </c>
      <c r="AE109" s="32">
        <f t="shared" si="71"/>
        <v>0</v>
      </c>
      <c r="AF109" s="26"/>
    </row>
    <row r="110" spans="1:32">
      <c r="A110" s="164"/>
      <c r="B110" s="22">
        <v>3</v>
      </c>
      <c r="C110" s="31">
        <f>IFERROR(GETPIVOTDATA("Amount",'F-195 ExpendPivot'!$A$5:$K$2039,"CCDDD",'2025–26 Worksheet A'!$C$2,"Program","21","Activity","34","Object","3"),0)</f>
        <v>0</v>
      </c>
      <c r="D110" s="45">
        <v>0</v>
      </c>
      <c r="E110" s="31">
        <f t="shared" si="64"/>
        <v>0</v>
      </c>
      <c r="F110" s="32">
        <f t="shared" si="65"/>
        <v>0</v>
      </c>
      <c r="G110" s="26"/>
      <c r="J110" s="164"/>
      <c r="K110" s="22">
        <v>3</v>
      </c>
      <c r="L110" s="31">
        <f>IFERROR(GETPIVOTDATA("Amount",'F-195 ExpendPivot'!$A$5:$K$2039,"CCDDD",'2025–26 Worksheet A'!$C$2,"Program","24","Activity","34","Object","3"),0)</f>
        <v>0</v>
      </c>
      <c r="M110" s="45">
        <v>0</v>
      </c>
      <c r="N110" s="31">
        <f t="shared" si="66"/>
        <v>0</v>
      </c>
      <c r="O110" s="32">
        <f t="shared" si="67"/>
        <v>0</v>
      </c>
      <c r="P110" s="26"/>
      <c r="R110" s="164"/>
      <c r="S110" s="22">
        <v>3</v>
      </c>
      <c r="T110" s="31">
        <f>IFERROR(GETPIVOTDATA("Amount",'F-195 ExpendPivot'!$A$5:$K$2039,"CCDDD",'2025–26 Worksheet A'!$C$2,"Program","26","Activity","34","Object","3"),0)</f>
        <v>0</v>
      </c>
      <c r="U110" s="45">
        <v>0</v>
      </c>
      <c r="V110" s="31">
        <f t="shared" si="68"/>
        <v>0</v>
      </c>
      <c r="W110" s="32">
        <f t="shared" si="69"/>
        <v>0</v>
      </c>
      <c r="X110" s="26"/>
      <c r="Z110" s="164"/>
      <c r="AA110" s="22">
        <v>3</v>
      </c>
      <c r="AB110" s="31">
        <f>IFERROR(GETPIVOTDATA("Amount",'F-195 ExpendPivot'!$A$5:$K$2039,"CCDDD",'2025–26 Worksheet A'!$C$2,"Program","29","Activity","34","Object","3"),0)</f>
        <v>0</v>
      </c>
      <c r="AC110" s="45">
        <v>0</v>
      </c>
      <c r="AD110" s="31">
        <f t="shared" si="70"/>
        <v>0</v>
      </c>
      <c r="AE110" s="32">
        <f t="shared" si="71"/>
        <v>0</v>
      </c>
      <c r="AF110" s="26"/>
    </row>
    <row r="111" spans="1:32">
      <c r="A111" s="164"/>
      <c r="B111" s="22">
        <v>4</v>
      </c>
      <c r="C111" s="31">
        <f>IFERROR(GETPIVOTDATA("Amount",'F-195 ExpendPivot'!$A$5:$K$2039,"CCDDD",'2025–26 Worksheet A'!$C$2,"Program","21","Activity","34","Object","4"),0)</f>
        <v>0</v>
      </c>
      <c r="D111" s="45">
        <v>0</v>
      </c>
      <c r="E111" s="31">
        <f t="shared" si="64"/>
        <v>0</v>
      </c>
      <c r="F111" s="32">
        <f t="shared" si="65"/>
        <v>0</v>
      </c>
      <c r="G111" s="26"/>
      <c r="J111" s="164"/>
      <c r="K111" s="22">
        <v>4</v>
      </c>
      <c r="L111" s="31">
        <f>IFERROR(GETPIVOTDATA("Amount",'F-195 ExpendPivot'!$A$5:$K$2039,"CCDDD",'2025–26 Worksheet A'!$C$2,"Program","24","Activity","34","Object","4"),0)</f>
        <v>0</v>
      </c>
      <c r="M111" s="45">
        <v>0</v>
      </c>
      <c r="N111" s="31">
        <f t="shared" si="66"/>
        <v>0</v>
      </c>
      <c r="O111" s="32">
        <f t="shared" si="67"/>
        <v>0</v>
      </c>
      <c r="P111" s="26"/>
      <c r="R111" s="164"/>
      <c r="S111" s="22">
        <v>4</v>
      </c>
      <c r="T111" s="31">
        <f>IFERROR(GETPIVOTDATA("Amount",'F-195 ExpendPivot'!$A$5:$K$2039,"CCDDD",'2025–26 Worksheet A'!$C$2,"Program","26","Activity","34","Object","4"),0)</f>
        <v>0</v>
      </c>
      <c r="U111" s="45">
        <v>0</v>
      </c>
      <c r="V111" s="31">
        <f t="shared" si="68"/>
        <v>0</v>
      </c>
      <c r="W111" s="32">
        <f t="shared" si="69"/>
        <v>0</v>
      </c>
      <c r="X111" s="26"/>
      <c r="Z111" s="164"/>
      <c r="AA111" s="22">
        <v>4</v>
      </c>
      <c r="AB111" s="31">
        <f>IFERROR(GETPIVOTDATA("Amount",'F-195 ExpendPivot'!$A$5:$K$2039,"CCDDD",'2025–26 Worksheet A'!$C$2,"Program","29","Activity","34","Object","4"),0)</f>
        <v>0</v>
      </c>
      <c r="AC111" s="45">
        <v>0</v>
      </c>
      <c r="AD111" s="31">
        <f t="shared" si="70"/>
        <v>0</v>
      </c>
      <c r="AE111" s="32">
        <f t="shared" si="71"/>
        <v>0</v>
      </c>
      <c r="AF111" s="26"/>
    </row>
    <row r="112" spans="1:32">
      <c r="A112" s="164"/>
      <c r="B112" s="22">
        <v>5</v>
      </c>
      <c r="C112" s="31">
        <f>IFERROR(GETPIVOTDATA("Amount",'F-195 ExpendPivot'!$A$5:$K$2039,"CCDDD",'2025–26 Worksheet A'!$C$2,"Program","21","Activity","34","Object","5"),0)</f>
        <v>0</v>
      </c>
      <c r="D112" s="45">
        <v>0</v>
      </c>
      <c r="E112" s="31">
        <f t="shared" si="64"/>
        <v>0</v>
      </c>
      <c r="F112" s="32">
        <f t="shared" si="65"/>
        <v>0</v>
      </c>
      <c r="G112" s="26"/>
      <c r="J112" s="164"/>
      <c r="K112" s="22">
        <v>5</v>
      </c>
      <c r="L112" s="31">
        <f>IFERROR(GETPIVOTDATA("Amount",'F-195 ExpendPivot'!$A$5:$K$2039,"CCDDD",'2025–26 Worksheet A'!$C$2,"Program","24","Activity","34","Object","5"),0)</f>
        <v>0</v>
      </c>
      <c r="M112" s="45">
        <v>0</v>
      </c>
      <c r="N112" s="31">
        <f t="shared" si="66"/>
        <v>0</v>
      </c>
      <c r="O112" s="32">
        <f t="shared" si="67"/>
        <v>0</v>
      </c>
      <c r="P112" s="26"/>
      <c r="R112" s="164"/>
      <c r="S112" s="22">
        <v>5</v>
      </c>
      <c r="T112" s="31">
        <f>IFERROR(GETPIVOTDATA("Amount",'F-195 ExpendPivot'!$A$5:$K$2039,"CCDDD",'2025–26 Worksheet A'!$C$2,"Program","26","Activity","34","Object","5"),0)</f>
        <v>0</v>
      </c>
      <c r="U112" s="45">
        <v>0</v>
      </c>
      <c r="V112" s="31">
        <f t="shared" si="68"/>
        <v>0</v>
      </c>
      <c r="W112" s="32">
        <f t="shared" si="69"/>
        <v>0</v>
      </c>
      <c r="X112" s="26"/>
      <c r="Z112" s="164"/>
      <c r="AA112" s="22">
        <v>5</v>
      </c>
      <c r="AB112" s="31">
        <f>IFERROR(GETPIVOTDATA("Amount",'F-195 ExpendPivot'!$A$5:$K$2039,"CCDDD",'2025–26 Worksheet A'!$C$2,"Program","29","Activity","34","Object","5"),0)</f>
        <v>0</v>
      </c>
      <c r="AC112" s="45">
        <v>0</v>
      </c>
      <c r="AD112" s="31">
        <f t="shared" si="70"/>
        <v>0</v>
      </c>
      <c r="AE112" s="32">
        <f t="shared" si="71"/>
        <v>0</v>
      </c>
      <c r="AF112" s="26"/>
    </row>
    <row r="113" spans="1:32">
      <c r="A113" s="164"/>
      <c r="B113" s="22">
        <v>7</v>
      </c>
      <c r="C113" s="31">
        <f>IFERROR(GETPIVOTDATA("Amount",'F-195 ExpendPivot'!$A$5:$K$2039,"CCDDD",'2025–26 Worksheet A'!$C$2,"Program","21","Activity","34","Object","7"),0)</f>
        <v>0</v>
      </c>
      <c r="D113" s="45">
        <v>0</v>
      </c>
      <c r="E113" s="31">
        <f t="shared" si="64"/>
        <v>0</v>
      </c>
      <c r="F113" s="32">
        <f t="shared" si="65"/>
        <v>0</v>
      </c>
      <c r="G113" s="26"/>
      <c r="J113" s="164"/>
      <c r="K113" s="22">
        <v>7</v>
      </c>
      <c r="L113" s="31">
        <f>IFERROR(GETPIVOTDATA("Amount",'F-195 ExpendPivot'!$A$5:$K$2039,"CCDDD",'2025–26 Worksheet A'!$C$2,"Program","24","Activity","34","Object","7"),0)</f>
        <v>0</v>
      </c>
      <c r="M113" s="45">
        <v>0</v>
      </c>
      <c r="N113" s="31">
        <f t="shared" si="66"/>
        <v>0</v>
      </c>
      <c r="O113" s="32">
        <f t="shared" si="67"/>
        <v>0</v>
      </c>
      <c r="P113" s="26"/>
      <c r="R113" s="164"/>
      <c r="S113" s="22">
        <v>7</v>
      </c>
      <c r="T113" s="31">
        <f>IFERROR(GETPIVOTDATA("Amount",'F-195 ExpendPivot'!$A$5:$K$2039,"CCDDD",'2025–26 Worksheet A'!$C$2,"Program","26","Activity","34","Object","7"),0)</f>
        <v>0</v>
      </c>
      <c r="U113" s="45">
        <v>0</v>
      </c>
      <c r="V113" s="31">
        <f t="shared" si="68"/>
        <v>0</v>
      </c>
      <c r="W113" s="32">
        <f t="shared" si="69"/>
        <v>0</v>
      </c>
      <c r="X113" s="26"/>
      <c r="Z113" s="164"/>
      <c r="AA113" s="22">
        <v>7</v>
      </c>
      <c r="AB113" s="31">
        <f>IFERROR(GETPIVOTDATA("Amount",'F-195 ExpendPivot'!$A$5:$K$2039,"CCDDD",'2025–26 Worksheet A'!$C$2,"Program","29","Activity","34","Object","7"),0)</f>
        <v>0</v>
      </c>
      <c r="AC113" s="45">
        <v>0</v>
      </c>
      <c r="AD113" s="31">
        <f t="shared" si="70"/>
        <v>0</v>
      </c>
      <c r="AE113" s="32">
        <f t="shared" si="71"/>
        <v>0</v>
      </c>
      <c r="AF113" s="26"/>
    </row>
    <row r="114" spans="1:32">
      <c r="A114" s="164"/>
      <c r="B114" s="22">
        <v>8</v>
      </c>
      <c r="C114" s="31">
        <f>IFERROR(GETPIVOTDATA("Amount",'F-195 ExpendPivot'!$A$5:$K$2039,"CCDDD",'2025–26 Worksheet A'!$C$2,"Program","21","Activity","34","Object","8"),0)</f>
        <v>0</v>
      </c>
      <c r="D114" s="45">
        <v>0</v>
      </c>
      <c r="E114" s="31">
        <f t="shared" si="64"/>
        <v>0</v>
      </c>
      <c r="F114" s="32">
        <f t="shared" si="65"/>
        <v>0</v>
      </c>
      <c r="G114" s="26"/>
      <c r="J114" s="164"/>
      <c r="K114" s="22">
        <v>8</v>
      </c>
      <c r="L114" s="31">
        <f>IFERROR(GETPIVOTDATA("Amount",'F-195 ExpendPivot'!$A$5:$K$2039,"CCDDD",'2025–26 Worksheet A'!$C$2,"Program","24","Activity","34","Object","8"),0)</f>
        <v>0</v>
      </c>
      <c r="M114" s="45">
        <v>0</v>
      </c>
      <c r="N114" s="31">
        <f t="shared" si="66"/>
        <v>0</v>
      </c>
      <c r="O114" s="32">
        <f t="shared" si="67"/>
        <v>0</v>
      </c>
      <c r="P114" s="26"/>
      <c r="R114" s="164"/>
      <c r="S114" s="22">
        <v>8</v>
      </c>
      <c r="T114" s="31">
        <f>IFERROR(GETPIVOTDATA("Amount",'F-195 ExpendPivot'!$A$5:$K$2039,"CCDDD",'2025–26 Worksheet A'!$C$2,"Program","26","Activity","34","Object","8"),0)</f>
        <v>0</v>
      </c>
      <c r="U114" s="45">
        <v>0</v>
      </c>
      <c r="V114" s="31">
        <f t="shared" si="68"/>
        <v>0</v>
      </c>
      <c r="W114" s="32">
        <f t="shared" si="69"/>
        <v>0</v>
      </c>
      <c r="X114" s="26"/>
      <c r="Z114" s="164"/>
      <c r="AA114" s="22">
        <v>8</v>
      </c>
      <c r="AB114" s="31">
        <f>IFERROR(GETPIVOTDATA("Amount",'F-195 ExpendPivot'!$A$5:$K$2039,"CCDDD",'2025–26 Worksheet A'!$C$2,"Program","29","Activity","34","Object","8"),0)</f>
        <v>0</v>
      </c>
      <c r="AC114" s="45">
        <v>0</v>
      </c>
      <c r="AD114" s="31">
        <f t="shared" si="70"/>
        <v>0</v>
      </c>
      <c r="AE114" s="32">
        <f t="shared" si="71"/>
        <v>0</v>
      </c>
      <c r="AF114" s="26"/>
    </row>
    <row r="115" spans="1:32">
      <c r="A115" s="164"/>
      <c r="B115" s="22">
        <v>9</v>
      </c>
      <c r="C115" s="31">
        <f>IFERROR(GETPIVOTDATA("Amount",'F-195 ExpendPivot'!$A$5:$K$2039,"CCDDD",'2025–26 Worksheet A'!$C$2,"Program","21","Activity","34","Object","9"),0)</f>
        <v>0</v>
      </c>
      <c r="D115" s="45">
        <v>0</v>
      </c>
      <c r="E115" s="31">
        <f t="shared" si="64"/>
        <v>0</v>
      </c>
      <c r="F115" s="32">
        <f t="shared" si="65"/>
        <v>0</v>
      </c>
      <c r="G115" s="26"/>
      <c r="J115" s="164"/>
      <c r="K115" s="22">
        <v>9</v>
      </c>
      <c r="L115" s="31">
        <f>IFERROR(GETPIVOTDATA("Amount",'F-195 ExpendPivot'!$A$5:$K$2039,"CCDDD",'2025–26 Worksheet A'!$C$2,"Program","24","Activity","34","Object","9"),0)</f>
        <v>0</v>
      </c>
      <c r="M115" s="45">
        <v>0</v>
      </c>
      <c r="N115" s="31">
        <f t="shared" si="66"/>
        <v>0</v>
      </c>
      <c r="O115" s="32">
        <f t="shared" si="67"/>
        <v>0</v>
      </c>
      <c r="P115" s="26"/>
      <c r="R115" s="164"/>
      <c r="S115" s="22">
        <v>9</v>
      </c>
      <c r="T115" s="31">
        <f>IFERROR(GETPIVOTDATA("Amount",'F-195 ExpendPivot'!$A$5:$K$2039,"CCDDD",'2025–26 Worksheet A'!$C$2,"Program","26","Activity","34","Object","9"),0)</f>
        <v>0</v>
      </c>
      <c r="U115" s="45">
        <v>0</v>
      </c>
      <c r="V115" s="31">
        <f t="shared" si="68"/>
        <v>0</v>
      </c>
      <c r="W115" s="32">
        <f t="shared" si="69"/>
        <v>0</v>
      </c>
      <c r="X115" s="26"/>
      <c r="Z115" s="164"/>
      <c r="AA115" s="22">
        <v>9</v>
      </c>
      <c r="AB115" s="31">
        <f>IFERROR(GETPIVOTDATA("Amount",'F-195 ExpendPivot'!$A$5:$K$2039,"CCDDD",'2025–26 Worksheet A'!$C$2,"Program","29","Activity","34","Object","9"),0)</f>
        <v>0</v>
      </c>
      <c r="AC115" s="45">
        <v>0</v>
      </c>
      <c r="AD115" s="31">
        <f t="shared" si="70"/>
        <v>0</v>
      </c>
      <c r="AE115" s="32">
        <f t="shared" si="71"/>
        <v>0</v>
      </c>
      <c r="AF115" s="26"/>
    </row>
    <row r="116" spans="1:32">
      <c r="A116" s="165"/>
      <c r="B116" s="40"/>
      <c r="C116" s="46">
        <f>SUM(C108:C115)</f>
        <v>0</v>
      </c>
      <c r="D116" s="46">
        <f>SUM(D108:D115)</f>
        <v>0</v>
      </c>
      <c r="E116" s="46">
        <f>SUM(E108:E115)</f>
        <v>0</v>
      </c>
      <c r="F116" s="47"/>
      <c r="G116" s="48"/>
      <c r="J116" s="165"/>
      <c r="K116" s="40"/>
      <c r="L116" s="46">
        <f>SUM(L108:L115)</f>
        <v>0</v>
      </c>
      <c r="M116" s="46">
        <f>SUM(M108:M115)</f>
        <v>0</v>
      </c>
      <c r="N116" s="46">
        <f>SUM(N108:N115)</f>
        <v>0</v>
      </c>
      <c r="O116" s="47"/>
      <c r="P116" s="48"/>
      <c r="R116" s="165"/>
      <c r="S116" s="40"/>
      <c r="T116" s="46">
        <f>SUM(T108:T115)</f>
        <v>0</v>
      </c>
      <c r="U116" s="46">
        <f>SUM(U108:U115)</f>
        <v>0</v>
      </c>
      <c r="V116" s="46">
        <f>SUM(V108:V115)</f>
        <v>0</v>
      </c>
      <c r="W116" s="47"/>
      <c r="X116" s="48"/>
      <c r="Z116" s="165"/>
      <c r="AA116" s="40"/>
      <c r="AB116" s="46">
        <f>SUM(AB108:AB115)</f>
        <v>0</v>
      </c>
      <c r="AC116" s="46">
        <f>SUM(AC108:AC115)</f>
        <v>0</v>
      </c>
      <c r="AD116" s="46">
        <f>SUM(AD108:AD115)</f>
        <v>0</v>
      </c>
      <c r="AE116" s="47"/>
      <c r="AF116" s="48"/>
    </row>
    <row r="117" spans="1:32" ht="15" thickBot="1">
      <c r="A117" s="52"/>
      <c r="B117" s="39" t="s">
        <v>670</v>
      </c>
      <c r="C117" s="53">
        <f>C14+C23+C32+C41+C50+C59+C68+C77+C80+C89+C98+C107+C116</f>
        <v>0</v>
      </c>
      <c r="D117" s="53">
        <f>D14+D23+D32+D41+D50+D59+D68+D77+D80+D89+D98+D107+D116</f>
        <v>0</v>
      </c>
      <c r="E117" s="53">
        <f>E14+E23+E32+E41+E50+E59+E68+E77+E80+E89+E98+E107+E116</f>
        <v>0</v>
      </c>
      <c r="F117" s="50"/>
      <c r="G117" s="51"/>
      <c r="J117" s="52"/>
      <c r="K117" s="39" t="s">
        <v>670</v>
      </c>
      <c r="L117" s="53">
        <f>L14+L23+L32+L41+L50+L59+L68+L77+L80+L89+L98+L107+L116</f>
        <v>0</v>
      </c>
      <c r="M117" s="53">
        <f>M14+M23+M32+M41+M50+M59+M68+M77+M80+M89+M98+M107+M116</f>
        <v>0</v>
      </c>
      <c r="N117" s="53">
        <f>N14+N23+N32+N41+N50+N59+N68+N77+N80+N89+N98+N107+N116</f>
        <v>0</v>
      </c>
      <c r="O117" s="50"/>
      <c r="P117" s="51"/>
      <c r="R117" s="52"/>
      <c r="S117" s="39" t="s">
        <v>670</v>
      </c>
      <c r="T117" s="53">
        <f>T14+T23+T32+T41+T50+T59+T68+T77+T80+T89+T98+T107+T116</f>
        <v>0</v>
      </c>
      <c r="U117" s="53">
        <f>U14+U23+U32+U41+U50+U59+U68+U77+U80+U89+U98+U107+U116</f>
        <v>0</v>
      </c>
      <c r="V117" s="53">
        <f>V14+V23+V32+V41+V50+V59+V68+V77+V80+V89+V98+V107+V116</f>
        <v>0</v>
      </c>
      <c r="W117" s="50"/>
      <c r="X117" s="51"/>
      <c r="Z117" s="52"/>
      <c r="AA117" s="39" t="s">
        <v>670</v>
      </c>
      <c r="AB117" s="53">
        <f>AB14+AB23+AB32+AB41+AB50+AB59+AB68+AB77+AB80+AB89+AB98+AB107+AB116</f>
        <v>0</v>
      </c>
      <c r="AC117" s="53">
        <f>AC14+AC23+AC32+AC41+AC50+AC59+AC68+AC77+AC80+AC89+AC98+AC107+AC116</f>
        <v>0</v>
      </c>
      <c r="AD117" s="53">
        <f>AD14+AD23+AD32+AD41+AD50+AD59+AD68+AD77+AD80+AD89+AD98+AD107+AD116</f>
        <v>0</v>
      </c>
      <c r="AE117" s="50"/>
      <c r="AF117" s="51"/>
    </row>
    <row r="118" spans="1:32" ht="15" thickTop="1">
      <c r="A118" s="34"/>
      <c r="B118" s="35"/>
      <c r="C118" s="36"/>
      <c r="D118" s="35"/>
      <c r="E118" s="36"/>
      <c r="F118" s="36"/>
      <c r="G118" s="37"/>
      <c r="J118" s="34"/>
      <c r="K118" s="35"/>
      <c r="L118" s="36"/>
      <c r="M118" s="35"/>
      <c r="N118" s="36"/>
      <c r="O118" s="36"/>
      <c r="P118" s="37"/>
      <c r="R118" s="34"/>
      <c r="S118" s="35"/>
      <c r="T118" s="36"/>
      <c r="U118" s="35"/>
      <c r="V118" s="36"/>
      <c r="W118" s="36"/>
      <c r="X118" s="37"/>
      <c r="Z118" s="34"/>
      <c r="AA118" s="35"/>
      <c r="AB118" s="36"/>
      <c r="AC118" s="35"/>
      <c r="AD118" s="36"/>
      <c r="AE118" s="36"/>
      <c r="AF118" s="37"/>
    </row>
    <row r="119" spans="1:32">
      <c r="A119" s="22"/>
      <c r="B119" s="38"/>
      <c r="C119" s="38"/>
      <c r="D119" s="38"/>
      <c r="E119" s="38"/>
      <c r="F119" s="38"/>
      <c r="G119" s="22"/>
      <c r="J119" s="22"/>
      <c r="K119" s="38"/>
      <c r="L119" s="38"/>
      <c r="M119" s="38"/>
      <c r="N119" s="38"/>
      <c r="O119" s="38"/>
      <c r="P119" s="22"/>
      <c r="R119" s="22"/>
      <c r="S119" s="38"/>
      <c r="T119" s="38"/>
      <c r="U119" s="38"/>
      <c r="V119" s="38"/>
      <c r="W119" s="38"/>
      <c r="X119" s="22"/>
      <c r="Z119" s="22"/>
      <c r="AA119" s="38"/>
      <c r="AB119" s="38"/>
      <c r="AC119" s="38"/>
      <c r="AD119" s="38"/>
      <c r="AE119" s="38"/>
      <c r="AF119" s="22"/>
    </row>
    <row r="120" spans="1:32">
      <c r="A120" s="22"/>
      <c r="B120" s="38"/>
      <c r="C120" s="38"/>
      <c r="D120" s="38"/>
      <c r="E120" s="38"/>
      <c r="F120" s="38"/>
      <c r="G120" s="22"/>
      <c r="J120" s="22"/>
      <c r="K120" s="38"/>
      <c r="L120" s="38"/>
      <c r="M120" s="38"/>
      <c r="N120" s="38"/>
      <c r="O120" s="38"/>
      <c r="P120" s="22"/>
      <c r="R120" s="22"/>
      <c r="S120" s="38"/>
      <c r="T120" s="38"/>
      <c r="U120" s="38"/>
      <c r="V120" s="38"/>
      <c r="W120" s="38"/>
      <c r="X120" s="22"/>
      <c r="Z120" s="22"/>
      <c r="AA120" s="38"/>
      <c r="AB120" s="38"/>
      <c r="AC120" s="38"/>
      <c r="AD120" s="38"/>
      <c r="AE120" s="38"/>
      <c r="AF120" s="22"/>
    </row>
  </sheetData>
  <mergeCells count="59">
    <mergeCell ref="Z90:Z98"/>
    <mergeCell ref="Z99:Z107"/>
    <mergeCell ref="Z108:Z116"/>
    <mergeCell ref="D1:E1"/>
    <mergeCell ref="Z51:Z59"/>
    <mergeCell ref="Z60:Z68"/>
    <mergeCell ref="Z69:Z77"/>
    <mergeCell ref="Z78:Z80"/>
    <mergeCell ref="Z81:Z89"/>
    <mergeCell ref="Z6:Z14"/>
    <mergeCell ref="Z15:Z23"/>
    <mergeCell ref="Z24:Z32"/>
    <mergeCell ref="Z33:Z41"/>
    <mergeCell ref="Z42:Z50"/>
    <mergeCell ref="R78:R80"/>
    <mergeCell ref="R81:R89"/>
    <mergeCell ref="R90:R98"/>
    <mergeCell ref="R99:R107"/>
    <mergeCell ref="R108:R116"/>
    <mergeCell ref="R33:R41"/>
    <mergeCell ref="R42:R50"/>
    <mergeCell ref="R51:R59"/>
    <mergeCell ref="R60:R68"/>
    <mergeCell ref="R69:R77"/>
    <mergeCell ref="J108:J116"/>
    <mergeCell ref="J15:J23"/>
    <mergeCell ref="J24:J32"/>
    <mergeCell ref="J33:J41"/>
    <mergeCell ref="J42:J50"/>
    <mergeCell ref="J51:J59"/>
    <mergeCell ref="J60:J68"/>
    <mergeCell ref="J69:J77"/>
    <mergeCell ref="J78:J80"/>
    <mergeCell ref="J81:J89"/>
    <mergeCell ref="J90:J98"/>
    <mergeCell ref="J99:J107"/>
    <mergeCell ref="A81:A89"/>
    <mergeCell ref="A78:A80"/>
    <mergeCell ref="A90:A98"/>
    <mergeCell ref="A99:A107"/>
    <mergeCell ref="A108:A116"/>
    <mergeCell ref="A33:A41"/>
    <mergeCell ref="A42:A50"/>
    <mergeCell ref="A51:A59"/>
    <mergeCell ref="A60:A68"/>
    <mergeCell ref="A69:A77"/>
    <mergeCell ref="A6:A14"/>
    <mergeCell ref="J6:J14"/>
    <mergeCell ref="R6:R14"/>
    <mergeCell ref="A15:A23"/>
    <mergeCell ref="A24:A32"/>
    <mergeCell ref="R15:R23"/>
    <mergeCell ref="R24:R32"/>
    <mergeCell ref="F1:P2"/>
    <mergeCell ref="A4:G4"/>
    <mergeCell ref="J4:P4"/>
    <mergeCell ref="R4:X4"/>
    <mergeCell ref="Z4:AF4"/>
    <mergeCell ref="B3:C3"/>
  </mergeCells>
  <conditionalFormatting sqref="G6">
    <cfRule type="expression" dxfId="243" priority="1828">
      <formula>$F$6&gt;10%</formula>
    </cfRule>
    <cfRule type="expression" dxfId="242" priority="1827">
      <formula>$F$6&lt;-10%</formula>
    </cfRule>
  </conditionalFormatting>
  <conditionalFormatting sqref="G7">
    <cfRule type="expression" dxfId="241" priority="1831">
      <formula>$F$7&lt;-10%</formula>
    </cfRule>
    <cfRule type="expression" dxfId="240" priority="1832">
      <formula>$F$7&gt;10%</formula>
    </cfRule>
  </conditionalFormatting>
  <conditionalFormatting sqref="G8">
    <cfRule type="expression" dxfId="239" priority="1830">
      <formula>$F$8&gt;10%</formula>
    </cfRule>
    <cfRule type="expression" dxfId="238" priority="1829">
      <formula>$F$8&lt;-10%</formula>
    </cfRule>
  </conditionalFormatting>
  <conditionalFormatting sqref="G9">
    <cfRule type="expression" dxfId="237" priority="1826">
      <formula>$F$9&gt;10%</formula>
    </cfRule>
    <cfRule type="expression" dxfId="236" priority="1825">
      <formula>$F$9&lt;-10%</formula>
    </cfRule>
  </conditionalFormatting>
  <conditionalFormatting sqref="G10">
    <cfRule type="expression" dxfId="235" priority="1824">
      <formula>$F$10&gt;10%</formula>
    </cfRule>
    <cfRule type="expression" dxfId="234" priority="1823">
      <formula>$F$10&lt;-10%</formula>
    </cfRule>
  </conditionalFormatting>
  <conditionalFormatting sqref="G11">
    <cfRule type="expression" dxfId="233" priority="1822">
      <formula>$F$11&gt;10%</formula>
    </cfRule>
    <cfRule type="expression" dxfId="232" priority="1821">
      <formula>$F$11&lt;-10%</formula>
    </cfRule>
  </conditionalFormatting>
  <conditionalFormatting sqref="G12">
    <cfRule type="expression" dxfId="231" priority="1820">
      <formula>$F$12&gt;10%</formula>
    </cfRule>
    <cfRule type="expression" dxfId="230" priority="1819">
      <formula>$F$12&lt;-10%</formula>
    </cfRule>
  </conditionalFormatting>
  <conditionalFormatting sqref="G13">
    <cfRule type="expression" dxfId="229" priority="1818">
      <formula>$F$13&gt;10%</formula>
    </cfRule>
    <cfRule type="expression" dxfId="228" priority="1817">
      <formula>$F$13&lt;-10%</formula>
    </cfRule>
  </conditionalFormatting>
  <conditionalFormatting sqref="G15">
    <cfRule type="expression" dxfId="227" priority="1614">
      <formula>$F$15&gt;10%</formula>
    </cfRule>
    <cfRule type="expression" dxfId="226" priority="1613">
      <formula>$F$15&lt;-10%</formula>
    </cfRule>
  </conditionalFormatting>
  <conditionalFormatting sqref="G16">
    <cfRule type="expression" dxfId="225" priority="1618">
      <formula>$F$16&gt;10%</formula>
    </cfRule>
    <cfRule type="expression" dxfId="224" priority="1617">
      <formula>$F$16&lt;-10%</formula>
    </cfRule>
  </conditionalFormatting>
  <conditionalFormatting sqref="G17">
    <cfRule type="expression" dxfId="223" priority="1616">
      <formula>$F$17&gt;10%</formula>
    </cfRule>
    <cfRule type="expression" dxfId="222" priority="1615">
      <formula>$F$17&lt;-10%</formula>
    </cfRule>
  </conditionalFormatting>
  <conditionalFormatting sqref="G18">
    <cfRule type="expression" dxfId="221" priority="1612">
      <formula>$F$18&gt;10%</formula>
    </cfRule>
    <cfRule type="expression" dxfId="220" priority="1611">
      <formula>$F$18&lt;-10%</formula>
    </cfRule>
  </conditionalFormatting>
  <conditionalFormatting sqref="G19">
    <cfRule type="expression" dxfId="219" priority="1610">
      <formula>$F$19&gt;10%</formula>
    </cfRule>
    <cfRule type="expression" dxfId="218" priority="1609">
      <formula>$F$19&lt;-10%</formula>
    </cfRule>
  </conditionalFormatting>
  <conditionalFormatting sqref="G20">
    <cfRule type="expression" dxfId="217" priority="1608">
      <formula>$F$20&gt;10%</formula>
    </cfRule>
    <cfRule type="expression" dxfId="216" priority="1607">
      <formula>$F$20&lt;-10%</formula>
    </cfRule>
  </conditionalFormatting>
  <conditionalFormatting sqref="G21">
    <cfRule type="expression" dxfId="215" priority="1606">
      <formula>$F$21&gt;10%</formula>
    </cfRule>
    <cfRule type="expression" dxfId="214" priority="1605">
      <formula>$F$21&lt;-10%</formula>
    </cfRule>
  </conditionalFormatting>
  <conditionalFormatting sqref="G22">
    <cfRule type="expression" dxfId="213" priority="1604">
      <formula>$F$22&gt;10%</formula>
    </cfRule>
    <cfRule type="expression" dxfId="212" priority="1603">
      <formula>$F$22&lt;-10%</formula>
    </cfRule>
  </conditionalFormatting>
  <conditionalFormatting sqref="G24">
    <cfRule type="expression" dxfId="211" priority="1598">
      <formula>$F$24&gt;10%</formula>
    </cfRule>
    <cfRule type="expression" dxfId="210" priority="1597">
      <formula>$F$24&lt;-10%</formula>
    </cfRule>
  </conditionalFormatting>
  <conditionalFormatting sqref="G25">
    <cfRule type="expression" dxfId="209" priority="1602">
      <formula>$F$25&gt;10%</formula>
    </cfRule>
    <cfRule type="expression" dxfId="208" priority="1601">
      <formula>$F$25&lt;-10%</formula>
    </cfRule>
  </conditionalFormatting>
  <conditionalFormatting sqref="G26">
    <cfRule type="expression" dxfId="207" priority="1600">
      <formula>$F$26&gt;10%</formula>
    </cfRule>
    <cfRule type="expression" dxfId="206" priority="1599">
      <formula>$F$26&lt;-10%</formula>
    </cfRule>
  </conditionalFormatting>
  <conditionalFormatting sqref="G27">
    <cfRule type="expression" dxfId="205" priority="1596">
      <formula>$F$27&gt;10%</formula>
    </cfRule>
    <cfRule type="expression" dxfId="204" priority="1595">
      <formula>$F$27&lt;-10%</formula>
    </cfRule>
  </conditionalFormatting>
  <conditionalFormatting sqref="G28">
    <cfRule type="expression" dxfId="203" priority="1594">
      <formula>$F$28&gt;10%</formula>
    </cfRule>
    <cfRule type="expression" dxfId="202" priority="1593">
      <formula>$F$28&lt;-10%</formula>
    </cfRule>
  </conditionalFormatting>
  <conditionalFormatting sqref="G29">
    <cfRule type="expression" dxfId="201" priority="1592">
      <formula>$F$29&gt;10%</formula>
    </cfRule>
    <cfRule type="expression" dxfId="200" priority="1591">
      <formula>$F$29&lt;-10%</formula>
    </cfRule>
  </conditionalFormatting>
  <conditionalFormatting sqref="G30">
    <cfRule type="expression" dxfId="199" priority="1590">
      <formula>$F$30&gt;10%</formula>
    </cfRule>
    <cfRule type="expression" dxfId="198" priority="1589">
      <formula>$F$30&lt;-10%</formula>
    </cfRule>
  </conditionalFormatting>
  <conditionalFormatting sqref="G31">
    <cfRule type="expression" dxfId="197" priority="1588">
      <formula>$F$31&gt;10%</formula>
    </cfRule>
    <cfRule type="expression" dxfId="196" priority="1587">
      <formula>$F$31&lt;-10%</formula>
    </cfRule>
  </conditionalFormatting>
  <conditionalFormatting sqref="G33">
    <cfRule type="expression" dxfId="195" priority="1582">
      <formula>$F$33&gt;10%</formula>
    </cfRule>
    <cfRule type="expression" dxfId="194" priority="1581">
      <formula>$F$33&lt;-10%</formula>
    </cfRule>
  </conditionalFormatting>
  <conditionalFormatting sqref="G34">
    <cfRule type="expression" dxfId="193" priority="1586">
      <formula>$F$34&gt;10%</formula>
    </cfRule>
    <cfRule type="expression" dxfId="192" priority="1585">
      <formula>$F$34&lt;-10%</formula>
    </cfRule>
  </conditionalFormatting>
  <conditionalFormatting sqref="G35">
    <cfRule type="expression" dxfId="191" priority="1584">
      <formula>$F$35&gt;10%</formula>
    </cfRule>
    <cfRule type="expression" dxfId="190" priority="1583">
      <formula>$F$35&lt;-10%</formula>
    </cfRule>
  </conditionalFormatting>
  <conditionalFormatting sqref="G36">
    <cfRule type="expression" dxfId="189" priority="1580">
      <formula>$F$36&gt;10%</formula>
    </cfRule>
    <cfRule type="expression" dxfId="188" priority="1579">
      <formula>$F$36&lt;-10%</formula>
    </cfRule>
  </conditionalFormatting>
  <conditionalFormatting sqref="G37">
    <cfRule type="expression" dxfId="187" priority="1578">
      <formula>$F$37&gt;10%</formula>
    </cfRule>
    <cfRule type="expression" dxfId="186" priority="1577">
      <formula>$F$37&lt;-10%</formula>
    </cfRule>
  </conditionalFormatting>
  <conditionalFormatting sqref="G38">
    <cfRule type="expression" dxfId="185" priority="1575">
      <formula>$F$38&lt;-10%</formula>
    </cfRule>
    <cfRule type="expression" dxfId="184" priority="1576">
      <formula>$F$38&gt;10%</formula>
    </cfRule>
  </conditionalFormatting>
  <conditionalFormatting sqref="G39">
    <cfRule type="expression" dxfId="183" priority="1574">
      <formula>$F$39&gt;10%</formula>
    </cfRule>
    <cfRule type="expression" dxfId="182" priority="1573">
      <formula>$F$39&lt;-10%</formula>
    </cfRule>
  </conditionalFormatting>
  <conditionalFormatting sqref="G40">
    <cfRule type="expression" dxfId="181" priority="1572">
      <formula>$F$40&gt;10%</formula>
    </cfRule>
    <cfRule type="expression" dxfId="180" priority="1571">
      <formula>$F$40&lt;-10%</formula>
    </cfRule>
  </conditionalFormatting>
  <conditionalFormatting sqref="G42">
    <cfRule type="expression" dxfId="179" priority="1566">
      <formula>$F$42&gt;10%</formula>
    </cfRule>
    <cfRule type="expression" dxfId="178" priority="1565">
      <formula>$F$42&lt;-10%</formula>
    </cfRule>
  </conditionalFormatting>
  <conditionalFormatting sqref="G43">
    <cfRule type="expression" dxfId="177" priority="1570">
      <formula>$F$43&gt;10%</formula>
    </cfRule>
    <cfRule type="expression" dxfId="176" priority="1569">
      <formula>$F$43&lt;-10%</formula>
    </cfRule>
  </conditionalFormatting>
  <conditionalFormatting sqref="G44">
    <cfRule type="expression" dxfId="175" priority="1568">
      <formula>$F$44&gt;10%</formula>
    </cfRule>
    <cfRule type="expression" dxfId="174" priority="1567">
      <formula>$F$44&lt;-10%</formula>
    </cfRule>
  </conditionalFormatting>
  <conditionalFormatting sqref="G45">
    <cfRule type="expression" dxfId="173" priority="1564">
      <formula>$F$45&gt;10%</formula>
    </cfRule>
    <cfRule type="expression" dxfId="172" priority="1563">
      <formula>$F$45&lt;-10%</formula>
    </cfRule>
  </conditionalFormatting>
  <conditionalFormatting sqref="G46">
    <cfRule type="expression" dxfId="171" priority="1562">
      <formula>$F$46&gt;10%</formula>
    </cfRule>
    <cfRule type="expression" dxfId="170" priority="1561">
      <formula>$F$46&lt;-10%</formula>
    </cfRule>
  </conditionalFormatting>
  <conditionalFormatting sqref="G47">
    <cfRule type="expression" dxfId="169" priority="1560">
      <formula>$F$47&gt;10%</formula>
    </cfRule>
    <cfRule type="expression" dxfId="168" priority="1559">
      <formula>$F$47&lt;-10%</formula>
    </cfRule>
  </conditionalFormatting>
  <conditionalFormatting sqref="G48">
    <cfRule type="expression" dxfId="167" priority="1558">
      <formula>$F$48&gt;10%</formula>
    </cfRule>
    <cfRule type="expression" dxfId="166" priority="1557">
      <formula>$F$48&lt;-10%</formula>
    </cfRule>
  </conditionalFormatting>
  <conditionalFormatting sqref="G49">
    <cfRule type="expression" dxfId="165" priority="1556">
      <formula>$F$49&gt;10%</formula>
    </cfRule>
    <cfRule type="expression" dxfId="164" priority="1555">
      <formula>$F$49&lt;-10%</formula>
    </cfRule>
  </conditionalFormatting>
  <conditionalFormatting sqref="G51">
    <cfRule type="expression" dxfId="163" priority="1549">
      <formula>$F$51&lt;-10%</formula>
    </cfRule>
    <cfRule type="expression" dxfId="162" priority="1550">
      <formula>$F$51&gt;10%</formula>
    </cfRule>
  </conditionalFormatting>
  <conditionalFormatting sqref="G52">
    <cfRule type="expression" dxfId="161" priority="1554">
      <formula>$F$52&gt;10%</formula>
    </cfRule>
    <cfRule type="expression" dxfId="160" priority="1553">
      <formula>$F$52&lt;-10%</formula>
    </cfRule>
  </conditionalFormatting>
  <conditionalFormatting sqref="G53">
    <cfRule type="expression" dxfId="159" priority="1552">
      <formula>$F$53&gt;10%</formula>
    </cfRule>
    <cfRule type="expression" dxfId="158" priority="1551">
      <formula>$F$53&lt;-10%</formula>
    </cfRule>
  </conditionalFormatting>
  <conditionalFormatting sqref="G54">
    <cfRule type="expression" dxfId="157" priority="1548">
      <formula>$F$54&gt;10%</formula>
    </cfRule>
    <cfRule type="expression" dxfId="156" priority="1547">
      <formula>$F$54&lt;-10%</formula>
    </cfRule>
  </conditionalFormatting>
  <conditionalFormatting sqref="G55">
    <cfRule type="expression" dxfId="155" priority="1545">
      <formula>$F$55&lt;-10%</formula>
    </cfRule>
    <cfRule type="expression" dxfId="154" priority="1546">
      <formula>$F$55&gt;10%</formula>
    </cfRule>
  </conditionalFormatting>
  <conditionalFormatting sqref="G56">
    <cfRule type="expression" dxfId="153" priority="1544">
      <formula>$F$56&gt;10%</formula>
    </cfRule>
    <cfRule type="expression" dxfId="152" priority="1543">
      <formula>$F$56&lt;-10%</formula>
    </cfRule>
  </conditionalFormatting>
  <conditionalFormatting sqref="G57">
    <cfRule type="expression" dxfId="151" priority="1542">
      <formula>$F$57&gt;10%</formula>
    </cfRule>
    <cfRule type="expression" dxfId="150" priority="1541">
      <formula>$F$57&lt;-10%</formula>
    </cfRule>
  </conditionalFormatting>
  <conditionalFormatting sqref="G58">
    <cfRule type="expression" dxfId="149" priority="1540">
      <formula>$F$58&gt;10%</formula>
    </cfRule>
    <cfRule type="expression" dxfId="148" priority="1539">
      <formula>$F$58&lt;-10%</formula>
    </cfRule>
  </conditionalFormatting>
  <conditionalFormatting sqref="G60">
    <cfRule type="expression" dxfId="147" priority="1534">
      <formula>$F$60&gt;10%</formula>
    </cfRule>
    <cfRule type="expression" dxfId="146" priority="1533">
      <formula>$F$60&lt;-10%</formula>
    </cfRule>
  </conditionalFormatting>
  <conditionalFormatting sqref="G61">
    <cfRule type="expression" dxfId="145" priority="1538">
      <formula>$F$61&gt;10%</formula>
    </cfRule>
    <cfRule type="expression" dxfId="144" priority="1537">
      <formula>$F$61&lt;-10%</formula>
    </cfRule>
  </conditionalFormatting>
  <conditionalFormatting sqref="G62">
    <cfRule type="expression" dxfId="143" priority="1536">
      <formula>$F$62&gt;10%</formula>
    </cfRule>
    <cfRule type="expression" dxfId="142" priority="1535">
      <formula>$F$62&lt;-10%</formula>
    </cfRule>
  </conditionalFormatting>
  <conditionalFormatting sqref="G63">
    <cfRule type="expression" dxfId="141" priority="1532">
      <formula>$F$63&gt;10%</formula>
    </cfRule>
    <cfRule type="expression" dxfId="140" priority="1531">
      <formula>$F$63&lt;-10%</formula>
    </cfRule>
  </conditionalFormatting>
  <conditionalFormatting sqref="G64">
    <cfRule type="expression" dxfId="139" priority="1530">
      <formula>$F$64&gt;10%</formula>
    </cfRule>
    <cfRule type="expression" dxfId="138" priority="1529">
      <formula>$F$64&lt;-10%</formula>
    </cfRule>
  </conditionalFormatting>
  <conditionalFormatting sqref="G65">
    <cfRule type="expression" dxfId="137" priority="1528">
      <formula>$F$65&gt;10%</formula>
    </cfRule>
    <cfRule type="expression" dxfId="136" priority="1527">
      <formula>$F$65&lt;-10%</formula>
    </cfRule>
  </conditionalFormatting>
  <conditionalFormatting sqref="G66">
    <cfRule type="expression" dxfId="135" priority="1526">
      <formula>$F$66&gt;10%</formula>
    </cfRule>
    <cfRule type="expression" dxfId="134" priority="1525">
      <formula>$F$66&lt;-10%</formula>
    </cfRule>
  </conditionalFormatting>
  <conditionalFormatting sqref="G67">
    <cfRule type="expression" dxfId="133" priority="1524">
      <formula>$F$67&gt;10%</formula>
    </cfRule>
    <cfRule type="expression" dxfId="132" priority="1523">
      <formula>$F$67&lt;-10%</formula>
    </cfRule>
  </conditionalFormatting>
  <conditionalFormatting sqref="G69">
    <cfRule type="expression" dxfId="131" priority="1518">
      <formula>$F$69&gt;10%</formula>
    </cfRule>
    <cfRule type="expression" dxfId="130" priority="1517">
      <formula>$F$69&lt;-10%</formula>
    </cfRule>
  </conditionalFormatting>
  <conditionalFormatting sqref="G70">
    <cfRule type="expression" dxfId="129" priority="1522">
      <formula>$F$70&gt;10%</formula>
    </cfRule>
    <cfRule type="expression" dxfId="128" priority="1521">
      <formula>$F$70&lt;-10%</formula>
    </cfRule>
  </conditionalFormatting>
  <conditionalFormatting sqref="G71">
    <cfRule type="expression" dxfId="127" priority="1519">
      <formula>$F$71&lt;-10%</formula>
    </cfRule>
    <cfRule type="expression" dxfId="126" priority="1520">
      <formula>$F$71&gt;10%</formula>
    </cfRule>
  </conditionalFormatting>
  <conditionalFormatting sqref="G72">
    <cfRule type="expression" dxfId="125" priority="1515">
      <formula>$F$72&lt;-10%</formula>
    </cfRule>
    <cfRule type="expression" dxfId="124" priority="1516">
      <formula>$F$72&gt;10%</formula>
    </cfRule>
  </conditionalFormatting>
  <conditionalFormatting sqref="G73">
    <cfRule type="expression" dxfId="123" priority="1514">
      <formula>$F$73&gt;10%</formula>
    </cfRule>
    <cfRule type="expression" dxfId="122" priority="1513">
      <formula>$F$73&lt;-10%</formula>
    </cfRule>
  </conditionalFormatting>
  <conditionalFormatting sqref="G74">
    <cfRule type="expression" dxfId="121" priority="1511">
      <formula>$F$74&lt;-10%</formula>
    </cfRule>
    <cfRule type="expression" dxfId="120" priority="1512">
      <formula>$F$74&gt;10%</formula>
    </cfRule>
  </conditionalFormatting>
  <conditionalFormatting sqref="G75">
    <cfRule type="expression" dxfId="119" priority="1510">
      <formula>$F$75&gt;10%</formula>
    </cfRule>
    <cfRule type="expression" dxfId="118" priority="1509">
      <formula>$F$75&lt;-10%</formula>
    </cfRule>
  </conditionalFormatting>
  <conditionalFormatting sqref="G76">
    <cfRule type="expression" dxfId="117" priority="1508">
      <formula>$F$76&gt;10%</formula>
    </cfRule>
    <cfRule type="expression" dxfId="116" priority="1507">
      <formula>$F$76&lt;-10%</formula>
    </cfRule>
  </conditionalFormatting>
  <conditionalFormatting sqref="G79">
    <cfRule type="expression" dxfId="115" priority="1716">
      <formula>F79&gt;10%</formula>
    </cfRule>
    <cfRule type="expression" dxfId="114" priority="1715">
      <formula>F79&lt;-10%</formula>
    </cfRule>
  </conditionalFormatting>
  <conditionalFormatting sqref="G81">
    <cfRule type="expression" dxfId="113" priority="1502">
      <formula>$F$81&gt;10%</formula>
    </cfRule>
    <cfRule type="expression" dxfId="112" priority="1501">
      <formula>$F$81&lt;-10%</formula>
    </cfRule>
  </conditionalFormatting>
  <conditionalFormatting sqref="G82">
    <cfRule type="expression" dxfId="111" priority="1506">
      <formula>$F$82&gt;10%</formula>
    </cfRule>
    <cfRule type="expression" dxfId="110" priority="1505">
      <formula>$F$82&lt;-10%</formula>
    </cfRule>
  </conditionalFormatting>
  <conditionalFormatting sqref="G83">
    <cfRule type="expression" dxfId="109" priority="1503">
      <formula>$F$83&lt;-10%</formula>
    </cfRule>
    <cfRule type="expression" dxfId="108" priority="1504">
      <formula>$F$83&gt;10%</formula>
    </cfRule>
  </conditionalFormatting>
  <conditionalFormatting sqref="G84">
    <cfRule type="expression" dxfId="107" priority="1500">
      <formula>$F$84&gt;10%</formula>
    </cfRule>
    <cfRule type="expression" dxfId="106" priority="1499">
      <formula>$F$84&lt;-10%</formula>
    </cfRule>
  </conditionalFormatting>
  <conditionalFormatting sqref="G85">
    <cfRule type="expression" dxfId="105" priority="1498">
      <formula>$F$85&gt;10%</formula>
    </cfRule>
    <cfRule type="expression" dxfId="104" priority="1497">
      <formula>$F$85&lt;-10%</formula>
    </cfRule>
  </conditionalFormatting>
  <conditionalFormatting sqref="G86">
    <cfRule type="expression" dxfId="103" priority="1495">
      <formula>$F$86&lt;-10%</formula>
    </cfRule>
    <cfRule type="expression" dxfId="102" priority="1496">
      <formula>$F$86&gt;10%</formula>
    </cfRule>
  </conditionalFormatting>
  <conditionalFormatting sqref="G87">
    <cfRule type="expression" dxfId="101" priority="1494">
      <formula>$F$87&gt;10%</formula>
    </cfRule>
    <cfRule type="expression" dxfId="100" priority="1493">
      <formula>$F$87&lt;-10%</formula>
    </cfRule>
  </conditionalFormatting>
  <conditionalFormatting sqref="G88">
    <cfRule type="expression" dxfId="99" priority="1492">
      <formula>$F$88&gt;10%</formula>
    </cfRule>
    <cfRule type="expression" dxfId="98" priority="1491">
      <formula>$F$88&lt;-10%</formula>
    </cfRule>
  </conditionalFormatting>
  <conditionalFormatting sqref="G90">
    <cfRule type="expression" dxfId="97" priority="1485">
      <formula>$F$90&lt;-10%</formula>
    </cfRule>
    <cfRule type="expression" dxfId="96" priority="1486">
      <formula>$F$90&gt;10%</formula>
    </cfRule>
  </conditionalFormatting>
  <conditionalFormatting sqref="G91">
    <cfRule type="expression" dxfId="95" priority="1490">
      <formula>$F$91&gt;10%</formula>
    </cfRule>
    <cfRule type="expression" dxfId="94" priority="1489">
      <formula>$F$91&lt;-10%</formula>
    </cfRule>
  </conditionalFormatting>
  <conditionalFormatting sqref="G92">
    <cfRule type="expression" dxfId="93" priority="1488">
      <formula>$F$92&gt;10%</formula>
    </cfRule>
    <cfRule type="expression" dxfId="92" priority="1487">
      <formula>$F$92&lt;-10%</formula>
    </cfRule>
  </conditionalFormatting>
  <conditionalFormatting sqref="G93">
    <cfRule type="expression" dxfId="91" priority="1484">
      <formula>$F$93&gt;10%</formula>
    </cfRule>
    <cfRule type="expression" dxfId="90" priority="1483">
      <formula>$F$93&lt;-10%</formula>
    </cfRule>
  </conditionalFormatting>
  <conditionalFormatting sqref="G94">
    <cfRule type="expression" dxfId="89" priority="1482">
      <formula>$F$94&gt;10%</formula>
    </cfRule>
    <cfRule type="expression" dxfId="88" priority="1481">
      <formula>$F$94&lt;-10%</formula>
    </cfRule>
  </conditionalFormatting>
  <conditionalFormatting sqref="G95">
    <cfRule type="expression" dxfId="87" priority="1479">
      <formula>$F$95&lt;-10%</formula>
    </cfRule>
    <cfRule type="expression" dxfId="86" priority="1480">
      <formula>$F$95&gt;10%</formula>
    </cfRule>
  </conditionalFormatting>
  <conditionalFormatting sqref="G96">
    <cfRule type="expression" dxfId="85" priority="1478">
      <formula>$F$96&gt;10%</formula>
    </cfRule>
    <cfRule type="expression" dxfId="84" priority="1477">
      <formula>$F$96&lt;-10%</formula>
    </cfRule>
  </conditionalFormatting>
  <conditionalFormatting sqref="G97">
    <cfRule type="expression" dxfId="83" priority="1476">
      <formula>$F$97&gt;10%</formula>
    </cfRule>
    <cfRule type="expression" dxfId="82" priority="1475">
      <formula>$F$97&lt;-10%</formula>
    </cfRule>
  </conditionalFormatting>
  <conditionalFormatting sqref="G99:G106">
    <cfRule type="expression" dxfId="81" priority="800">
      <formula>F99&gt;10%</formula>
    </cfRule>
    <cfRule type="expression" dxfId="80" priority="799">
      <formula>F99&lt;-10%</formula>
    </cfRule>
  </conditionalFormatting>
  <conditionalFormatting sqref="G108:G115">
    <cfRule type="expression" dxfId="79" priority="784">
      <formula>F108&gt;10%</formula>
    </cfRule>
    <cfRule type="expression" dxfId="78" priority="783">
      <formula>F108&lt;-10%</formula>
    </cfRule>
  </conditionalFormatting>
  <conditionalFormatting sqref="P6:P13">
    <cfRule type="expression" dxfId="77" priority="766">
      <formula>O6&gt;10%</formula>
    </cfRule>
    <cfRule type="expression" dxfId="76" priority="765">
      <formula>O6&lt;-10%</formula>
    </cfRule>
  </conditionalFormatting>
  <conditionalFormatting sqref="P15:P22">
    <cfRule type="expression" dxfId="75" priority="746">
      <formula>O15&gt;10%</formula>
    </cfRule>
    <cfRule type="expression" dxfId="74" priority="745">
      <formula>O15&lt;-10%</formula>
    </cfRule>
  </conditionalFormatting>
  <conditionalFormatting sqref="P24:P31">
    <cfRule type="expression" dxfId="73" priority="730">
      <formula>O24&gt;10%</formula>
    </cfRule>
    <cfRule type="expression" dxfId="72" priority="729">
      <formula>O24&lt;-10%</formula>
    </cfRule>
  </conditionalFormatting>
  <conditionalFormatting sqref="P33:P40">
    <cfRule type="expression" dxfId="71" priority="714">
      <formula>O33&gt;10%</formula>
    </cfRule>
    <cfRule type="expression" dxfId="70" priority="713">
      <formula>O33&lt;-10%</formula>
    </cfRule>
  </conditionalFormatting>
  <conditionalFormatting sqref="P42:P49">
    <cfRule type="expression" dxfId="69" priority="698">
      <formula>O42&gt;10%</formula>
    </cfRule>
    <cfRule type="expression" dxfId="68" priority="697">
      <formula>O42&lt;-10%</formula>
    </cfRule>
  </conditionalFormatting>
  <conditionalFormatting sqref="P51:P58">
    <cfRule type="expression" dxfId="67" priority="681">
      <formula>O51&lt;-10%</formula>
    </cfRule>
    <cfRule type="expression" dxfId="66" priority="682">
      <formula>O51&gt;10%</formula>
    </cfRule>
  </conditionalFormatting>
  <conditionalFormatting sqref="P60:P67">
    <cfRule type="expression" dxfId="65" priority="665">
      <formula>O60&lt;-10%</formula>
    </cfRule>
    <cfRule type="expression" dxfId="64" priority="666">
      <formula>O60&gt;10%</formula>
    </cfRule>
  </conditionalFormatting>
  <conditionalFormatting sqref="P69:P76">
    <cfRule type="expression" dxfId="63" priority="650">
      <formula>O69&gt;10%</formula>
    </cfRule>
    <cfRule type="expression" dxfId="62" priority="649">
      <formula>O69&lt;-10%</formula>
    </cfRule>
  </conditionalFormatting>
  <conditionalFormatting sqref="P79">
    <cfRule type="expression" dxfId="61" priority="584">
      <formula>O79&gt;10%</formula>
    </cfRule>
    <cfRule type="expression" dxfId="60" priority="583">
      <formula>O79&lt;-10%</formula>
    </cfRule>
  </conditionalFormatting>
  <conditionalFormatting sqref="P81:P88">
    <cfRule type="expression" dxfId="59" priority="634">
      <formula>O81&gt;10%</formula>
    </cfRule>
    <cfRule type="expression" dxfId="58" priority="633">
      <formula>O81&lt;-10%</formula>
    </cfRule>
  </conditionalFormatting>
  <conditionalFormatting sqref="P90:P97">
    <cfRule type="expression" dxfId="57" priority="618">
      <formula>O90&gt;10%</formula>
    </cfRule>
    <cfRule type="expression" dxfId="56" priority="617">
      <formula>O90&lt;-10%</formula>
    </cfRule>
  </conditionalFormatting>
  <conditionalFormatting sqref="P99:P106">
    <cfRule type="expression" dxfId="55" priority="601">
      <formula>O99&lt;-10%</formula>
    </cfRule>
    <cfRule type="expression" dxfId="54" priority="602">
      <formula>O99&gt;10%</formula>
    </cfRule>
  </conditionalFormatting>
  <conditionalFormatting sqref="P108:P115">
    <cfRule type="expression" dxfId="53" priority="586">
      <formula>O108&gt;10%</formula>
    </cfRule>
    <cfRule type="expression" dxfId="52" priority="585">
      <formula>O108&lt;-10%</formula>
    </cfRule>
  </conditionalFormatting>
  <conditionalFormatting sqref="X6:X13">
    <cfRule type="expression" dxfId="51" priority="568">
      <formula>W6&gt;10%</formula>
    </cfRule>
    <cfRule type="expression" dxfId="50" priority="567">
      <formula>W6&lt;-10%</formula>
    </cfRule>
  </conditionalFormatting>
  <conditionalFormatting sqref="X15:X22">
    <cfRule type="expression" dxfId="49" priority="552">
      <formula>W15&gt;10%</formula>
    </cfRule>
    <cfRule type="expression" dxfId="48" priority="551">
      <formula>W15&lt;-10%</formula>
    </cfRule>
  </conditionalFormatting>
  <conditionalFormatting sqref="X24:X31">
    <cfRule type="expression" dxfId="47" priority="536">
      <formula>W24&gt;10%</formula>
    </cfRule>
    <cfRule type="expression" dxfId="46" priority="535">
      <formula>W24&lt;-10%</formula>
    </cfRule>
  </conditionalFormatting>
  <conditionalFormatting sqref="X33:X40">
    <cfRule type="expression" dxfId="45" priority="520">
      <formula>W33&gt;10%</formula>
    </cfRule>
    <cfRule type="expression" dxfId="44" priority="519">
      <formula>W33&lt;-10%</formula>
    </cfRule>
  </conditionalFormatting>
  <conditionalFormatting sqref="X42:X49">
    <cfRule type="expression" dxfId="43" priority="504">
      <formula>W42&gt;10%</formula>
    </cfRule>
    <cfRule type="expression" dxfId="42" priority="503">
      <formula>W42&lt;-10%</formula>
    </cfRule>
  </conditionalFormatting>
  <conditionalFormatting sqref="X51:X58">
    <cfRule type="expression" dxfId="41" priority="488">
      <formula>W51&gt;10%</formula>
    </cfRule>
    <cfRule type="expression" dxfId="40" priority="487">
      <formula>W51&lt;-10%</formula>
    </cfRule>
  </conditionalFormatting>
  <conditionalFormatting sqref="X60:X67">
    <cfRule type="expression" dxfId="39" priority="472">
      <formula>W60&gt;10%</formula>
    </cfRule>
    <cfRule type="expression" dxfId="38" priority="471">
      <formula>W60&lt;-10%</formula>
    </cfRule>
  </conditionalFormatting>
  <conditionalFormatting sqref="X69:X76">
    <cfRule type="expression" dxfId="37" priority="456">
      <formula>W69&gt;10%</formula>
    </cfRule>
    <cfRule type="expression" dxfId="36" priority="455">
      <formula>W69&lt;-10%</formula>
    </cfRule>
  </conditionalFormatting>
  <conditionalFormatting sqref="X79">
    <cfRule type="expression" dxfId="35" priority="389">
      <formula>W79&lt;-10%</formula>
    </cfRule>
    <cfRule type="expression" dxfId="34" priority="390">
      <formula>W79&gt;10%</formula>
    </cfRule>
  </conditionalFormatting>
  <conditionalFormatting sqref="X81:X88">
    <cfRule type="expression" dxfId="33" priority="440">
      <formula>W81&gt;10%</formula>
    </cfRule>
    <cfRule type="expression" dxfId="32" priority="439">
      <formula>W81&lt;-10%</formula>
    </cfRule>
  </conditionalFormatting>
  <conditionalFormatting sqref="X90:X97">
    <cfRule type="expression" dxfId="31" priority="423">
      <formula>W90&lt;-10%</formula>
    </cfRule>
    <cfRule type="expression" dxfId="30" priority="424">
      <formula>W90&gt;10%</formula>
    </cfRule>
  </conditionalFormatting>
  <conditionalFormatting sqref="X99:X106">
    <cfRule type="expression" dxfId="29" priority="408">
      <formula>W99&gt;10%</formula>
    </cfRule>
    <cfRule type="expression" dxfId="28" priority="407">
      <formula>W99&lt;-10%</formula>
    </cfRule>
  </conditionalFormatting>
  <conditionalFormatting sqref="X108:X115">
    <cfRule type="expression" dxfId="27" priority="392">
      <formula>W108&gt;10%</formula>
    </cfRule>
    <cfRule type="expression" dxfId="26" priority="391">
      <formula>W108&lt;-10%</formula>
    </cfRule>
  </conditionalFormatting>
  <conditionalFormatting sqref="AF6:AF13">
    <cfRule type="expression" dxfId="25" priority="374">
      <formula>AE6&gt;10%</formula>
    </cfRule>
    <cfRule type="expression" dxfId="24" priority="373">
      <formula>AE6&lt;-10%</formula>
    </cfRule>
  </conditionalFormatting>
  <conditionalFormatting sqref="AF15:AF22">
    <cfRule type="expression" dxfId="23" priority="358">
      <formula>AE15&gt;10%</formula>
    </cfRule>
    <cfRule type="expression" dxfId="22" priority="357">
      <formula>AE15&lt;-10%</formula>
    </cfRule>
  </conditionalFormatting>
  <conditionalFormatting sqref="AF24:AF31">
    <cfRule type="expression" dxfId="21" priority="342">
      <formula>AE24&gt;10%</formula>
    </cfRule>
    <cfRule type="expression" dxfId="20" priority="341">
      <formula>AE24&lt;-10%</formula>
    </cfRule>
  </conditionalFormatting>
  <conditionalFormatting sqref="AF33:AF40">
    <cfRule type="expression" dxfId="19" priority="326">
      <formula>AE33&gt;10%</formula>
    </cfRule>
    <cfRule type="expression" dxfId="18" priority="325">
      <formula>AE33&lt;-10%</formula>
    </cfRule>
  </conditionalFormatting>
  <conditionalFormatting sqref="AF42:AF49">
    <cfRule type="expression" dxfId="17" priority="310">
      <formula>AE42&gt;10%</formula>
    </cfRule>
    <cfRule type="expression" dxfId="16" priority="309">
      <formula>AE42&lt;-10%</formula>
    </cfRule>
  </conditionalFormatting>
  <conditionalFormatting sqref="AF51:AF58">
    <cfRule type="expression" dxfId="15" priority="294">
      <formula>AE51&gt;10%</formula>
    </cfRule>
    <cfRule type="expression" dxfId="14" priority="293">
      <formula>AE51&lt;-10%</formula>
    </cfRule>
  </conditionalFormatting>
  <conditionalFormatting sqref="AF60:AF67">
    <cfRule type="expression" dxfId="13" priority="278">
      <formula>AE60&gt;10%</formula>
    </cfRule>
    <cfRule type="expression" dxfId="12" priority="277">
      <formula>AE60&lt;-10%</formula>
    </cfRule>
  </conditionalFormatting>
  <conditionalFormatting sqref="AF69:AF76">
    <cfRule type="expression" dxfId="11" priority="262">
      <formula>AE69&gt;10%</formula>
    </cfRule>
    <cfRule type="expression" dxfId="10" priority="261">
      <formula>AE69&lt;-10%</formula>
    </cfRule>
  </conditionalFormatting>
  <conditionalFormatting sqref="AF79">
    <cfRule type="expression" dxfId="9" priority="195">
      <formula>AE79&lt;-10%</formula>
    </cfRule>
    <cfRule type="expression" dxfId="8" priority="196">
      <formula>AE79&gt;10%</formula>
    </cfRule>
  </conditionalFormatting>
  <conditionalFormatting sqref="AF81:AF88">
    <cfRule type="expression" dxfId="7" priority="246">
      <formula>AE81&gt;10%</formula>
    </cfRule>
    <cfRule type="expression" dxfId="6" priority="245">
      <formula>AE81&lt;-10%</formula>
    </cfRule>
  </conditionalFormatting>
  <conditionalFormatting sqref="AF90:AF97">
    <cfRule type="expression" dxfId="5" priority="230">
      <formula>AE90&gt;10%</formula>
    </cfRule>
    <cfRule type="expression" dxfId="4" priority="229">
      <formula>AE90&lt;-10%</formula>
    </cfRule>
  </conditionalFormatting>
  <conditionalFormatting sqref="AF99:AF106">
    <cfRule type="expression" dxfId="3" priority="214">
      <formula>AE99&gt;10%</formula>
    </cfRule>
    <cfRule type="expression" dxfId="2" priority="213">
      <formula>AE99&lt;-10%</formula>
    </cfRule>
  </conditionalFormatting>
  <conditionalFormatting sqref="AF108:AF115">
    <cfRule type="expression" dxfId="1" priority="197">
      <formula>AE108&lt;-10%</formula>
    </cfRule>
    <cfRule type="expression" dxfId="0" priority="198">
      <formula>AE108&gt;10%</formula>
    </cfRule>
  </conditionalFormatting>
  <dataValidations count="1">
    <dataValidation type="list" allowBlank="1" showInputMessage="1" showErrorMessage="1" sqref="B3:C3" xr:uid="{9B01A91A-780B-4C63-BC13-DADFA718F1FA}">
      <formula1>$AH$4:$AH$15</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0AC05-621E-427E-853D-6D322BA23C29}">
  <sheetPr>
    <tabColor rgb="FF92D050"/>
  </sheetPr>
  <dimension ref="A3:K2039"/>
  <sheetViews>
    <sheetView topLeftCell="A2002" workbookViewId="0">
      <selection activeCell="I16" sqref="I16"/>
    </sheetView>
  </sheetViews>
  <sheetFormatPr defaultRowHeight="12.75"/>
  <cols>
    <col min="1" max="1" width="15.140625" bestFit="1" customWidth="1"/>
    <col min="2" max="2" width="17" bestFit="1" customWidth="1"/>
    <col min="3" max="3" width="9.85546875" bestFit="1" customWidth="1"/>
    <col min="4" max="4" width="9.140625" bestFit="1" customWidth="1"/>
    <col min="5" max="7" width="9" bestFit="1" customWidth="1"/>
    <col min="8" max="8" width="8" bestFit="1" customWidth="1"/>
    <col min="9" max="9" width="9" bestFit="1" customWidth="1"/>
    <col min="10" max="11" width="7" bestFit="1" customWidth="1"/>
    <col min="12" max="12" width="11.7109375" bestFit="1" customWidth="1"/>
  </cols>
  <sheetData>
    <row r="3" spans="1:11">
      <c r="A3" s="122" t="s">
        <v>1451</v>
      </c>
      <c r="D3" s="122" t="s">
        <v>690</v>
      </c>
    </row>
    <row r="4" spans="1:11">
      <c r="A4" s="122" t="s">
        <v>3</v>
      </c>
      <c r="B4" s="122" t="s">
        <v>1449</v>
      </c>
      <c r="C4" s="122" t="s">
        <v>689</v>
      </c>
      <c r="D4">
        <v>0</v>
      </c>
      <c r="E4">
        <v>2</v>
      </c>
      <c r="F4">
        <v>3</v>
      </c>
      <c r="G4">
        <v>4</v>
      </c>
      <c r="H4">
        <v>5</v>
      </c>
      <c r="I4">
        <v>7</v>
      </c>
      <c r="J4">
        <v>8</v>
      </c>
      <c r="K4">
        <v>9</v>
      </c>
    </row>
    <row r="5" spans="1:11">
      <c r="A5" t="s">
        <v>603</v>
      </c>
      <c r="B5">
        <v>21</v>
      </c>
      <c r="C5">
        <v>26</v>
      </c>
      <c r="I5">
        <v>27613</v>
      </c>
    </row>
    <row r="6" spans="1:11">
      <c r="A6" t="s">
        <v>603</v>
      </c>
      <c r="B6">
        <v>21</v>
      </c>
      <c r="C6">
        <v>27</v>
      </c>
      <c r="E6">
        <v>52926</v>
      </c>
      <c r="F6">
        <v>56523</v>
      </c>
      <c r="G6">
        <v>68000</v>
      </c>
      <c r="H6">
        <v>2208</v>
      </c>
    </row>
    <row r="7" spans="1:11">
      <c r="A7" t="s">
        <v>603</v>
      </c>
      <c r="B7">
        <v>21</v>
      </c>
      <c r="C7">
        <v>34</v>
      </c>
      <c r="E7">
        <v>1197</v>
      </c>
      <c r="G7">
        <v>215</v>
      </c>
    </row>
    <row r="8" spans="1:11">
      <c r="A8" t="s">
        <v>603</v>
      </c>
      <c r="B8">
        <v>24</v>
      </c>
      <c r="C8">
        <v>26</v>
      </c>
      <c r="I8">
        <v>19867</v>
      </c>
    </row>
    <row r="9" spans="1:11">
      <c r="A9" t="s">
        <v>395</v>
      </c>
      <c r="B9">
        <v>21</v>
      </c>
      <c r="C9">
        <v>21</v>
      </c>
      <c r="D9">
        <v>3500</v>
      </c>
      <c r="E9">
        <v>148337</v>
      </c>
      <c r="F9">
        <v>116186</v>
      </c>
      <c r="G9">
        <v>91165</v>
      </c>
      <c r="H9">
        <v>15327</v>
      </c>
      <c r="I9">
        <v>73043</v>
      </c>
      <c r="J9">
        <v>3280</v>
      </c>
    </row>
    <row r="10" spans="1:11">
      <c r="A10" t="s">
        <v>395</v>
      </c>
      <c r="B10">
        <v>21</v>
      </c>
      <c r="C10">
        <v>25</v>
      </c>
      <c r="F10">
        <v>146967</v>
      </c>
      <c r="G10">
        <v>112119</v>
      </c>
      <c r="H10">
        <v>3500</v>
      </c>
    </row>
    <row r="11" spans="1:11">
      <c r="A11" t="s">
        <v>395</v>
      </c>
      <c r="B11">
        <v>21</v>
      </c>
      <c r="C11">
        <v>26</v>
      </c>
      <c r="D11">
        <v>1900</v>
      </c>
      <c r="E11">
        <v>1506556</v>
      </c>
      <c r="F11">
        <v>55670</v>
      </c>
      <c r="G11">
        <v>513055</v>
      </c>
      <c r="H11">
        <v>20163</v>
      </c>
      <c r="I11">
        <v>496996</v>
      </c>
      <c r="J11">
        <v>22600</v>
      </c>
    </row>
    <row r="12" spans="1:11">
      <c r="A12" t="s">
        <v>395</v>
      </c>
      <c r="B12">
        <v>21</v>
      </c>
      <c r="C12">
        <v>27</v>
      </c>
      <c r="D12">
        <v>9005</v>
      </c>
      <c r="E12">
        <v>2212749</v>
      </c>
      <c r="F12">
        <v>629439</v>
      </c>
      <c r="G12">
        <v>1107993</v>
      </c>
      <c r="H12">
        <v>51618</v>
      </c>
      <c r="I12">
        <v>98810</v>
      </c>
      <c r="J12">
        <v>200</v>
      </c>
    </row>
    <row r="13" spans="1:11">
      <c r="A13" t="s">
        <v>395</v>
      </c>
      <c r="B13">
        <v>21</v>
      </c>
      <c r="C13">
        <v>28</v>
      </c>
      <c r="F13">
        <v>5340</v>
      </c>
      <c r="G13">
        <v>850</v>
      </c>
      <c r="I13">
        <v>3700</v>
      </c>
    </row>
    <row r="14" spans="1:11">
      <c r="A14" t="s">
        <v>395</v>
      </c>
      <c r="B14">
        <v>21</v>
      </c>
      <c r="C14">
        <v>31</v>
      </c>
      <c r="D14">
        <v>800</v>
      </c>
      <c r="H14">
        <v>1850</v>
      </c>
      <c r="I14">
        <v>54694</v>
      </c>
      <c r="J14">
        <v>9525</v>
      </c>
    </row>
    <row r="15" spans="1:11">
      <c r="A15" t="s">
        <v>395</v>
      </c>
      <c r="B15">
        <v>21</v>
      </c>
      <c r="C15">
        <v>33</v>
      </c>
      <c r="H15">
        <v>400</v>
      </c>
      <c r="I15">
        <v>382</v>
      </c>
    </row>
    <row r="16" spans="1:11">
      <c r="A16" t="s">
        <v>395</v>
      </c>
      <c r="B16">
        <v>21</v>
      </c>
      <c r="C16">
        <v>34</v>
      </c>
      <c r="E16">
        <v>63774</v>
      </c>
      <c r="G16">
        <v>10099</v>
      </c>
    </row>
    <row r="17" spans="1:10">
      <c r="A17" t="s">
        <v>395</v>
      </c>
      <c r="B17">
        <v>24</v>
      </c>
      <c r="C17">
        <v>21</v>
      </c>
      <c r="I17">
        <v>16645</v>
      </c>
    </row>
    <row r="18" spans="1:10">
      <c r="A18" t="s">
        <v>395</v>
      </c>
      <c r="B18">
        <v>24</v>
      </c>
      <c r="C18">
        <v>26</v>
      </c>
      <c r="F18">
        <v>17645</v>
      </c>
      <c r="G18">
        <v>10668</v>
      </c>
    </row>
    <row r="19" spans="1:10">
      <c r="A19" t="s">
        <v>395</v>
      </c>
      <c r="B19">
        <v>24</v>
      </c>
      <c r="C19">
        <v>27</v>
      </c>
      <c r="F19">
        <v>648147</v>
      </c>
      <c r="G19">
        <v>415488</v>
      </c>
    </row>
    <row r="20" spans="1:10">
      <c r="A20" t="s">
        <v>271</v>
      </c>
      <c r="B20">
        <v>21</v>
      </c>
      <c r="C20">
        <v>26</v>
      </c>
      <c r="I20">
        <v>20000</v>
      </c>
    </row>
    <row r="21" spans="1:10">
      <c r="A21" t="s">
        <v>271</v>
      </c>
      <c r="B21">
        <v>21</v>
      </c>
      <c r="C21">
        <v>27</v>
      </c>
      <c r="E21">
        <v>95374</v>
      </c>
      <c r="F21">
        <v>27629</v>
      </c>
      <c r="G21">
        <v>51314</v>
      </c>
      <c r="H21">
        <v>400</v>
      </c>
      <c r="J21">
        <v>250</v>
      </c>
    </row>
    <row r="22" spans="1:10">
      <c r="A22" t="s">
        <v>271</v>
      </c>
      <c r="B22">
        <v>21</v>
      </c>
      <c r="C22">
        <v>33</v>
      </c>
      <c r="H22">
        <v>200</v>
      </c>
    </row>
    <row r="23" spans="1:10">
      <c r="A23" t="s">
        <v>271</v>
      </c>
      <c r="B23">
        <v>24</v>
      </c>
      <c r="C23">
        <v>26</v>
      </c>
      <c r="I23">
        <v>50000</v>
      </c>
    </row>
    <row r="24" spans="1:10">
      <c r="A24" t="s">
        <v>459</v>
      </c>
      <c r="B24">
        <v>21</v>
      </c>
      <c r="C24">
        <v>26</v>
      </c>
      <c r="E24">
        <v>69385</v>
      </c>
      <c r="G24">
        <v>27356</v>
      </c>
      <c r="I24">
        <v>30000</v>
      </c>
    </row>
    <row r="25" spans="1:10">
      <c r="A25" t="s">
        <v>459</v>
      </c>
      <c r="B25">
        <v>21</v>
      </c>
      <c r="C25">
        <v>27</v>
      </c>
      <c r="E25">
        <v>151410</v>
      </c>
      <c r="F25">
        <v>165671</v>
      </c>
      <c r="G25">
        <v>178486</v>
      </c>
      <c r="H25">
        <v>6500</v>
      </c>
      <c r="I25">
        <v>1350</v>
      </c>
    </row>
    <row r="26" spans="1:10">
      <c r="A26" t="s">
        <v>459</v>
      </c>
      <c r="B26">
        <v>21</v>
      </c>
      <c r="C26">
        <v>33</v>
      </c>
      <c r="H26">
        <v>1500</v>
      </c>
    </row>
    <row r="27" spans="1:10">
      <c r="A27" t="s">
        <v>459</v>
      </c>
      <c r="B27">
        <v>24</v>
      </c>
      <c r="C27">
        <v>26</v>
      </c>
      <c r="I27">
        <v>54057</v>
      </c>
    </row>
    <row r="28" spans="1:10">
      <c r="A28" t="s">
        <v>459</v>
      </c>
      <c r="B28">
        <v>24</v>
      </c>
      <c r="C28">
        <v>27</v>
      </c>
      <c r="H28">
        <v>1500</v>
      </c>
    </row>
    <row r="29" spans="1:10">
      <c r="A29" t="s">
        <v>459</v>
      </c>
      <c r="B29">
        <v>24</v>
      </c>
      <c r="C29">
        <v>31</v>
      </c>
      <c r="I29">
        <v>250</v>
      </c>
      <c r="J29">
        <v>250</v>
      </c>
    </row>
    <row r="30" spans="1:10">
      <c r="A30" t="s">
        <v>87</v>
      </c>
      <c r="B30">
        <v>21</v>
      </c>
      <c r="C30">
        <v>21</v>
      </c>
      <c r="E30">
        <v>113227</v>
      </c>
      <c r="F30">
        <v>64328</v>
      </c>
      <c r="G30">
        <v>52246</v>
      </c>
      <c r="H30">
        <v>8500</v>
      </c>
      <c r="I30">
        <v>2350</v>
      </c>
      <c r="J30">
        <v>1000</v>
      </c>
    </row>
    <row r="31" spans="1:10">
      <c r="A31" t="s">
        <v>87</v>
      </c>
      <c r="B31">
        <v>21</v>
      </c>
      <c r="C31">
        <v>23</v>
      </c>
      <c r="E31">
        <v>312976</v>
      </c>
      <c r="F31">
        <v>140107</v>
      </c>
      <c r="G31">
        <v>151225</v>
      </c>
    </row>
    <row r="32" spans="1:10">
      <c r="A32" t="s">
        <v>87</v>
      </c>
      <c r="B32">
        <v>21</v>
      </c>
      <c r="C32">
        <v>24</v>
      </c>
      <c r="F32">
        <v>36995</v>
      </c>
      <c r="G32">
        <v>21671</v>
      </c>
    </row>
    <row r="33" spans="1:10">
      <c r="A33" t="s">
        <v>87</v>
      </c>
      <c r="B33">
        <v>21</v>
      </c>
      <c r="C33">
        <v>25</v>
      </c>
      <c r="F33">
        <v>2324</v>
      </c>
      <c r="G33">
        <v>216</v>
      </c>
    </row>
    <row r="34" spans="1:10">
      <c r="A34" t="s">
        <v>87</v>
      </c>
      <c r="B34">
        <v>21</v>
      </c>
      <c r="C34">
        <v>26</v>
      </c>
      <c r="E34">
        <v>1012917</v>
      </c>
      <c r="F34">
        <v>58535</v>
      </c>
      <c r="G34">
        <v>371353</v>
      </c>
      <c r="H34">
        <v>5925</v>
      </c>
      <c r="I34">
        <v>94000</v>
      </c>
      <c r="J34">
        <v>500</v>
      </c>
    </row>
    <row r="35" spans="1:10">
      <c r="A35" t="s">
        <v>87</v>
      </c>
      <c r="B35">
        <v>21</v>
      </c>
      <c r="C35">
        <v>27</v>
      </c>
      <c r="D35">
        <v>200</v>
      </c>
      <c r="E35">
        <v>1640217</v>
      </c>
      <c r="F35">
        <v>1442177</v>
      </c>
      <c r="G35">
        <v>1477436</v>
      </c>
      <c r="H35">
        <v>22000</v>
      </c>
      <c r="I35">
        <v>308000</v>
      </c>
    </row>
    <row r="36" spans="1:10">
      <c r="A36" t="s">
        <v>87</v>
      </c>
      <c r="B36">
        <v>21</v>
      </c>
      <c r="C36">
        <v>31</v>
      </c>
      <c r="I36">
        <v>3000</v>
      </c>
    </row>
    <row r="37" spans="1:10">
      <c r="A37" t="s">
        <v>87</v>
      </c>
      <c r="B37">
        <v>24</v>
      </c>
      <c r="C37">
        <v>27</v>
      </c>
      <c r="E37">
        <v>88213</v>
      </c>
      <c r="F37">
        <v>389221</v>
      </c>
      <c r="G37">
        <v>275086</v>
      </c>
      <c r="H37">
        <v>3200</v>
      </c>
      <c r="I37">
        <v>8000</v>
      </c>
      <c r="J37">
        <v>150</v>
      </c>
    </row>
    <row r="38" spans="1:10">
      <c r="A38" t="s">
        <v>87</v>
      </c>
      <c r="B38">
        <v>24</v>
      </c>
      <c r="C38">
        <v>31</v>
      </c>
      <c r="I38">
        <v>1000</v>
      </c>
    </row>
    <row r="39" spans="1:10">
      <c r="A39" t="s">
        <v>19</v>
      </c>
      <c r="B39">
        <v>21</v>
      </c>
      <c r="C39">
        <v>21</v>
      </c>
      <c r="E39">
        <v>15741</v>
      </c>
      <c r="F39">
        <v>68257</v>
      </c>
      <c r="G39">
        <v>32267</v>
      </c>
    </row>
    <row r="40" spans="1:10">
      <c r="A40" t="s">
        <v>19</v>
      </c>
      <c r="B40">
        <v>21</v>
      </c>
      <c r="C40">
        <v>26</v>
      </c>
      <c r="E40">
        <v>132256</v>
      </c>
      <c r="G40">
        <v>45357</v>
      </c>
      <c r="I40">
        <v>50000</v>
      </c>
    </row>
    <row r="41" spans="1:10">
      <c r="A41" t="s">
        <v>19</v>
      </c>
      <c r="B41">
        <v>21</v>
      </c>
      <c r="C41">
        <v>27</v>
      </c>
      <c r="E41">
        <v>281419</v>
      </c>
      <c r="F41">
        <v>333739</v>
      </c>
      <c r="G41">
        <v>407388</v>
      </c>
      <c r="H41">
        <v>6152</v>
      </c>
    </row>
    <row r="42" spans="1:10">
      <c r="A42" t="s">
        <v>19</v>
      </c>
      <c r="B42">
        <v>21</v>
      </c>
      <c r="C42">
        <v>31</v>
      </c>
      <c r="E42">
        <v>6644</v>
      </c>
      <c r="G42">
        <v>1055</v>
      </c>
    </row>
    <row r="43" spans="1:10">
      <c r="A43" t="s">
        <v>19</v>
      </c>
      <c r="B43">
        <v>21</v>
      </c>
      <c r="C43">
        <v>34</v>
      </c>
      <c r="E43">
        <v>6644</v>
      </c>
      <c r="G43">
        <v>1046</v>
      </c>
    </row>
    <row r="44" spans="1:10">
      <c r="A44" t="s">
        <v>19</v>
      </c>
      <c r="B44">
        <v>24</v>
      </c>
      <c r="C44">
        <v>21</v>
      </c>
      <c r="E44">
        <v>27985</v>
      </c>
      <c r="G44">
        <v>7052</v>
      </c>
    </row>
    <row r="45" spans="1:10">
      <c r="A45" t="s">
        <v>19</v>
      </c>
      <c r="B45">
        <v>24</v>
      </c>
      <c r="C45">
        <v>27</v>
      </c>
      <c r="F45">
        <v>53167</v>
      </c>
      <c r="G45">
        <v>35964</v>
      </c>
      <c r="H45">
        <v>14617</v>
      </c>
      <c r="I45">
        <v>36285</v>
      </c>
    </row>
    <row r="46" spans="1:10">
      <c r="A46" t="s">
        <v>239</v>
      </c>
      <c r="B46">
        <v>21</v>
      </c>
      <c r="C46">
        <v>21</v>
      </c>
      <c r="E46">
        <v>813028</v>
      </c>
      <c r="F46">
        <v>254008</v>
      </c>
      <c r="G46">
        <v>332314</v>
      </c>
      <c r="H46">
        <v>11000</v>
      </c>
      <c r="I46">
        <v>80000</v>
      </c>
      <c r="J46">
        <v>5000</v>
      </c>
    </row>
    <row r="47" spans="1:10">
      <c r="A47" t="s">
        <v>239</v>
      </c>
      <c r="B47">
        <v>21</v>
      </c>
      <c r="C47">
        <v>23</v>
      </c>
      <c r="E47">
        <v>2650</v>
      </c>
      <c r="F47">
        <v>30000</v>
      </c>
      <c r="G47">
        <v>6130</v>
      </c>
    </row>
    <row r="48" spans="1:10">
      <c r="A48" t="s">
        <v>239</v>
      </c>
      <c r="B48">
        <v>21</v>
      </c>
      <c r="C48">
        <v>25</v>
      </c>
      <c r="F48">
        <v>350666</v>
      </c>
      <c r="G48">
        <v>241697</v>
      </c>
      <c r="H48">
        <v>10000</v>
      </c>
    </row>
    <row r="49" spans="1:10">
      <c r="A49" t="s">
        <v>239</v>
      </c>
      <c r="B49">
        <v>21</v>
      </c>
      <c r="C49">
        <v>26</v>
      </c>
      <c r="E49">
        <v>5589436</v>
      </c>
      <c r="F49">
        <v>485998</v>
      </c>
      <c r="G49">
        <v>1955060</v>
      </c>
      <c r="H49">
        <v>15050</v>
      </c>
      <c r="I49">
        <v>115100</v>
      </c>
      <c r="J49">
        <v>12500</v>
      </c>
    </row>
    <row r="50" spans="1:10">
      <c r="A50" t="s">
        <v>239</v>
      </c>
      <c r="B50">
        <v>21</v>
      </c>
      <c r="C50">
        <v>27</v>
      </c>
      <c r="E50">
        <v>10100531</v>
      </c>
      <c r="F50">
        <v>8358731</v>
      </c>
      <c r="G50">
        <v>9090898</v>
      </c>
      <c r="H50">
        <v>94730</v>
      </c>
      <c r="I50">
        <v>289000</v>
      </c>
      <c r="J50">
        <v>10000</v>
      </c>
    </row>
    <row r="51" spans="1:10">
      <c r="A51" t="s">
        <v>239</v>
      </c>
      <c r="B51">
        <v>21</v>
      </c>
      <c r="C51">
        <v>31</v>
      </c>
      <c r="E51">
        <v>311228</v>
      </c>
      <c r="G51">
        <v>55517</v>
      </c>
      <c r="H51">
        <v>1000</v>
      </c>
      <c r="I51">
        <v>18000</v>
      </c>
      <c r="J51">
        <v>1750</v>
      </c>
    </row>
    <row r="52" spans="1:10">
      <c r="A52" t="s">
        <v>239</v>
      </c>
      <c r="B52">
        <v>21</v>
      </c>
      <c r="C52">
        <v>33</v>
      </c>
      <c r="H52">
        <v>70000</v>
      </c>
    </row>
    <row r="53" spans="1:10">
      <c r="A53" t="s">
        <v>239</v>
      </c>
      <c r="B53">
        <v>21</v>
      </c>
      <c r="C53">
        <v>34</v>
      </c>
      <c r="E53">
        <v>233417</v>
      </c>
      <c r="G53">
        <v>41647</v>
      </c>
    </row>
    <row r="54" spans="1:10">
      <c r="A54" t="s">
        <v>239</v>
      </c>
      <c r="B54">
        <v>24</v>
      </c>
      <c r="C54">
        <v>21</v>
      </c>
      <c r="F54">
        <v>48838</v>
      </c>
      <c r="G54">
        <v>24226</v>
      </c>
      <c r="H54">
        <v>3000</v>
      </c>
      <c r="I54">
        <v>3000</v>
      </c>
    </row>
    <row r="55" spans="1:10">
      <c r="A55" t="s">
        <v>239</v>
      </c>
      <c r="B55">
        <v>24</v>
      </c>
      <c r="C55">
        <v>26</v>
      </c>
      <c r="E55">
        <v>2000</v>
      </c>
      <c r="F55">
        <v>81009</v>
      </c>
      <c r="G55">
        <v>61554</v>
      </c>
      <c r="H55">
        <v>50000</v>
      </c>
      <c r="I55">
        <v>40200</v>
      </c>
    </row>
    <row r="56" spans="1:10">
      <c r="A56" t="s">
        <v>239</v>
      </c>
      <c r="B56">
        <v>24</v>
      </c>
      <c r="C56">
        <v>27</v>
      </c>
      <c r="D56">
        <v>2500</v>
      </c>
      <c r="E56">
        <v>1251866</v>
      </c>
      <c r="F56">
        <v>274819</v>
      </c>
      <c r="G56">
        <v>573236</v>
      </c>
      <c r="H56">
        <v>25000</v>
      </c>
      <c r="I56">
        <v>1325500</v>
      </c>
      <c r="J56">
        <v>1500</v>
      </c>
    </row>
    <row r="57" spans="1:10">
      <c r="A57" t="s">
        <v>239</v>
      </c>
      <c r="B57">
        <v>24</v>
      </c>
      <c r="C57">
        <v>31</v>
      </c>
      <c r="E57">
        <v>43057</v>
      </c>
      <c r="G57">
        <v>7673</v>
      </c>
      <c r="I57">
        <v>22200</v>
      </c>
      <c r="J57">
        <v>10946</v>
      </c>
    </row>
    <row r="58" spans="1:10">
      <c r="A58" t="s">
        <v>239</v>
      </c>
      <c r="B58">
        <v>24</v>
      </c>
      <c r="C58">
        <v>32</v>
      </c>
      <c r="H58">
        <v>5000</v>
      </c>
    </row>
    <row r="59" spans="1:10">
      <c r="A59" t="s">
        <v>239</v>
      </c>
      <c r="B59">
        <v>24</v>
      </c>
      <c r="C59">
        <v>33</v>
      </c>
      <c r="H59">
        <v>15000</v>
      </c>
      <c r="I59">
        <v>5000</v>
      </c>
    </row>
    <row r="60" spans="1:10">
      <c r="A60" t="s">
        <v>239</v>
      </c>
      <c r="B60">
        <v>29</v>
      </c>
      <c r="C60">
        <v>27</v>
      </c>
      <c r="E60">
        <v>13000</v>
      </c>
      <c r="F60">
        <v>500</v>
      </c>
      <c r="G60">
        <v>2714</v>
      </c>
    </row>
    <row r="61" spans="1:10">
      <c r="A61" t="s">
        <v>405</v>
      </c>
      <c r="B61">
        <v>21</v>
      </c>
      <c r="C61">
        <v>21</v>
      </c>
      <c r="E61">
        <v>29489</v>
      </c>
      <c r="G61">
        <v>8386</v>
      </c>
    </row>
    <row r="62" spans="1:10">
      <c r="A62" t="s">
        <v>405</v>
      </c>
      <c r="B62">
        <v>21</v>
      </c>
      <c r="C62">
        <v>23</v>
      </c>
      <c r="F62">
        <v>9898</v>
      </c>
      <c r="G62">
        <v>7136</v>
      </c>
    </row>
    <row r="63" spans="1:10">
      <c r="A63" t="s">
        <v>405</v>
      </c>
      <c r="B63">
        <v>21</v>
      </c>
      <c r="C63">
        <v>26</v>
      </c>
      <c r="I63">
        <v>60000</v>
      </c>
    </row>
    <row r="64" spans="1:10">
      <c r="A64" t="s">
        <v>405</v>
      </c>
      <c r="B64">
        <v>21</v>
      </c>
      <c r="C64">
        <v>27</v>
      </c>
      <c r="E64">
        <v>95519</v>
      </c>
      <c r="F64">
        <v>2444</v>
      </c>
      <c r="G64">
        <v>33401</v>
      </c>
      <c r="H64">
        <v>20000</v>
      </c>
      <c r="I64">
        <v>15000</v>
      </c>
    </row>
    <row r="65" spans="1:10">
      <c r="A65" t="s">
        <v>405</v>
      </c>
      <c r="B65">
        <v>21</v>
      </c>
      <c r="C65">
        <v>32</v>
      </c>
      <c r="H65">
        <v>5000</v>
      </c>
    </row>
    <row r="66" spans="1:10">
      <c r="A66" t="s">
        <v>405</v>
      </c>
      <c r="B66">
        <v>24</v>
      </c>
      <c r="C66">
        <v>26</v>
      </c>
      <c r="I66">
        <v>30000</v>
      </c>
    </row>
    <row r="67" spans="1:10">
      <c r="A67" t="s">
        <v>405</v>
      </c>
      <c r="B67">
        <v>24</v>
      </c>
      <c r="C67">
        <v>27</v>
      </c>
      <c r="H67">
        <v>15000</v>
      </c>
    </row>
    <row r="68" spans="1:10">
      <c r="A68" t="s">
        <v>245</v>
      </c>
      <c r="B68">
        <v>21</v>
      </c>
      <c r="C68">
        <v>21</v>
      </c>
      <c r="E68">
        <v>73081</v>
      </c>
      <c r="F68">
        <v>50215</v>
      </c>
      <c r="G68">
        <v>45501</v>
      </c>
      <c r="H68">
        <v>370</v>
      </c>
      <c r="I68">
        <v>993</v>
      </c>
      <c r="J68">
        <v>750</v>
      </c>
    </row>
    <row r="69" spans="1:10">
      <c r="A69" t="s">
        <v>245</v>
      </c>
      <c r="B69">
        <v>21</v>
      </c>
      <c r="C69">
        <v>24</v>
      </c>
      <c r="E69">
        <v>1550</v>
      </c>
    </row>
    <row r="70" spans="1:10">
      <c r="A70" t="s">
        <v>245</v>
      </c>
      <c r="B70">
        <v>21</v>
      </c>
      <c r="C70">
        <v>26</v>
      </c>
      <c r="E70">
        <v>188530</v>
      </c>
      <c r="F70">
        <v>58893</v>
      </c>
      <c r="G70">
        <v>60670</v>
      </c>
      <c r="H70">
        <v>740</v>
      </c>
      <c r="I70">
        <v>254128</v>
      </c>
    </row>
    <row r="71" spans="1:10">
      <c r="A71" t="s">
        <v>245</v>
      </c>
      <c r="B71">
        <v>21</v>
      </c>
      <c r="C71">
        <v>27</v>
      </c>
      <c r="E71">
        <v>632360</v>
      </c>
      <c r="F71">
        <v>332357</v>
      </c>
      <c r="G71">
        <v>440357</v>
      </c>
      <c r="H71">
        <v>19406</v>
      </c>
      <c r="I71">
        <v>152477</v>
      </c>
    </row>
    <row r="72" spans="1:10">
      <c r="A72" t="s">
        <v>245</v>
      </c>
      <c r="B72">
        <v>21</v>
      </c>
      <c r="C72">
        <v>31</v>
      </c>
      <c r="E72">
        <v>9443</v>
      </c>
      <c r="G72">
        <v>1828</v>
      </c>
      <c r="I72">
        <v>2310</v>
      </c>
      <c r="J72">
        <v>693</v>
      </c>
    </row>
    <row r="73" spans="1:10">
      <c r="A73" t="s">
        <v>245</v>
      </c>
      <c r="B73">
        <v>21</v>
      </c>
      <c r="C73">
        <v>33</v>
      </c>
      <c r="H73">
        <v>740</v>
      </c>
    </row>
    <row r="74" spans="1:10">
      <c r="A74" t="s">
        <v>245</v>
      </c>
      <c r="B74">
        <v>21</v>
      </c>
      <c r="C74">
        <v>34</v>
      </c>
      <c r="E74">
        <v>13576</v>
      </c>
      <c r="G74">
        <v>2633</v>
      </c>
    </row>
    <row r="75" spans="1:10">
      <c r="A75" t="s">
        <v>245</v>
      </c>
      <c r="B75">
        <v>24</v>
      </c>
      <c r="C75">
        <v>26</v>
      </c>
      <c r="E75">
        <v>58188</v>
      </c>
      <c r="F75">
        <v>71465</v>
      </c>
      <c r="G75">
        <v>61981</v>
      </c>
    </row>
    <row r="76" spans="1:10">
      <c r="A76" t="s">
        <v>245</v>
      </c>
      <c r="B76">
        <v>24</v>
      </c>
      <c r="C76">
        <v>27</v>
      </c>
      <c r="F76">
        <v>25235</v>
      </c>
      <c r="G76">
        <v>16695</v>
      </c>
    </row>
    <row r="77" spans="1:10">
      <c r="A77" t="s">
        <v>177</v>
      </c>
      <c r="B77">
        <v>21</v>
      </c>
      <c r="C77">
        <v>21</v>
      </c>
      <c r="E77">
        <v>93396</v>
      </c>
      <c r="F77">
        <v>12100</v>
      </c>
      <c r="G77">
        <v>35657</v>
      </c>
    </row>
    <row r="78" spans="1:10">
      <c r="A78" t="s">
        <v>177</v>
      </c>
      <c r="B78">
        <v>21</v>
      </c>
      <c r="C78">
        <v>26</v>
      </c>
      <c r="E78">
        <v>226157</v>
      </c>
      <c r="G78">
        <v>65883</v>
      </c>
    </row>
    <row r="79" spans="1:10">
      <c r="A79" t="s">
        <v>177</v>
      </c>
      <c r="B79">
        <v>21</v>
      </c>
      <c r="C79">
        <v>27</v>
      </c>
      <c r="E79">
        <v>462825</v>
      </c>
      <c r="F79">
        <v>125115</v>
      </c>
      <c r="G79">
        <v>253467</v>
      </c>
      <c r="I79">
        <v>446128</v>
      </c>
    </row>
    <row r="80" spans="1:10">
      <c r="A80" t="s">
        <v>177</v>
      </c>
      <c r="B80">
        <v>21</v>
      </c>
      <c r="C80">
        <v>31</v>
      </c>
      <c r="E80">
        <v>750</v>
      </c>
      <c r="G80">
        <v>279</v>
      </c>
    </row>
    <row r="81" spans="1:11">
      <c r="A81" t="s">
        <v>177</v>
      </c>
      <c r="B81">
        <v>24</v>
      </c>
      <c r="C81">
        <v>27</v>
      </c>
      <c r="E81">
        <v>1500</v>
      </c>
      <c r="F81">
        <v>131862</v>
      </c>
      <c r="G81">
        <v>82783</v>
      </c>
      <c r="H81">
        <v>55204</v>
      </c>
    </row>
    <row r="82" spans="1:11">
      <c r="A82" t="s">
        <v>425</v>
      </c>
      <c r="B82">
        <v>21</v>
      </c>
      <c r="C82">
        <v>21</v>
      </c>
      <c r="E82">
        <v>168136</v>
      </c>
      <c r="F82">
        <v>121301</v>
      </c>
      <c r="G82">
        <v>121048</v>
      </c>
      <c r="H82">
        <v>515</v>
      </c>
      <c r="I82">
        <v>20600</v>
      </c>
      <c r="J82">
        <v>1030</v>
      </c>
    </row>
    <row r="83" spans="1:11">
      <c r="A83" t="s">
        <v>425</v>
      </c>
      <c r="B83">
        <v>21</v>
      </c>
      <c r="C83">
        <v>26</v>
      </c>
      <c r="E83">
        <v>358935</v>
      </c>
      <c r="F83">
        <v>68558</v>
      </c>
      <c r="G83">
        <v>174487</v>
      </c>
      <c r="I83">
        <v>566500</v>
      </c>
    </row>
    <row r="84" spans="1:11">
      <c r="A84" t="s">
        <v>425</v>
      </c>
      <c r="B84">
        <v>21</v>
      </c>
      <c r="C84">
        <v>27</v>
      </c>
      <c r="E84">
        <v>1305110</v>
      </c>
      <c r="F84">
        <v>740914</v>
      </c>
      <c r="G84">
        <v>910986</v>
      </c>
      <c r="H84">
        <v>18540</v>
      </c>
      <c r="I84">
        <v>275010</v>
      </c>
      <c r="J84">
        <v>2000</v>
      </c>
    </row>
    <row r="85" spans="1:11">
      <c r="A85" t="s">
        <v>425</v>
      </c>
      <c r="B85">
        <v>21</v>
      </c>
      <c r="C85">
        <v>31</v>
      </c>
      <c r="I85">
        <v>1030</v>
      </c>
    </row>
    <row r="86" spans="1:11">
      <c r="A86" t="s">
        <v>425</v>
      </c>
      <c r="B86">
        <v>24</v>
      </c>
      <c r="C86">
        <v>27</v>
      </c>
      <c r="E86">
        <v>111906</v>
      </c>
      <c r="F86">
        <v>262485</v>
      </c>
      <c r="G86">
        <v>243399</v>
      </c>
      <c r="H86">
        <v>15000</v>
      </c>
      <c r="I86">
        <v>15000</v>
      </c>
      <c r="J86">
        <v>12360</v>
      </c>
    </row>
    <row r="87" spans="1:11">
      <c r="A87" t="s">
        <v>455</v>
      </c>
      <c r="B87">
        <v>21</v>
      </c>
      <c r="C87">
        <v>21</v>
      </c>
      <c r="D87">
        <v>350</v>
      </c>
      <c r="E87">
        <v>720240</v>
      </c>
      <c r="F87">
        <v>227719</v>
      </c>
      <c r="G87">
        <v>283755</v>
      </c>
      <c r="H87">
        <v>750</v>
      </c>
      <c r="I87">
        <v>115600</v>
      </c>
      <c r="K87">
        <v>500</v>
      </c>
    </row>
    <row r="88" spans="1:11">
      <c r="A88" t="s">
        <v>455</v>
      </c>
      <c r="B88">
        <v>21</v>
      </c>
      <c r="C88">
        <v>24</v>
      </c>
      <c r="E88">
        <v>238655</v>
      </c>
      <c r="G88">
        <v>67626</v>
      </c>
    </row>
    <row r="89" spans="1:11">
      <c r="A89" t="s">
        <v>455</v>
      </c>
      <c r="B89">
        <v>21</v>
      </c>
      <c r="C89">
        <v>25</v>
      </c>
      <c r="F89">
        <v>367346</v>
      </c>
      <c r="G89">
        <v>271123</v>
      </c>
    </row>
    <row r="90" spans="1:11">
      <c r="A90" t="s">
        <v>455</v>
      </c>
      <c r="B90">
        <v>21</v>
      </c>
      <c r="C90">
        <v>26</v>
      </c>
      <c r="D90">
        <v>800</v>
      </c>
      <c r="E90">
        <v>6055690</v>
      </c>
      <c r="F90">
        <v>299904</v>
      </c>
      <c r="G90">
        <v>2049395</v>
      </c>
      <c r="H90">
        <v>91040</v>
      </c>
      <c r="I90">
        <v>405924</v>
      </c>
      <c r="J90">
        <v>11000</v>
      </c>
    </row>
    <row r="91" spans="1:11">
      <c r="A91" t="s">
        <v>455</v>
      </c>
      <c r="B91">
        <v>21</v>
      </c>
      <c r="C91">
        <v>27</v>
      </c>
      <c r="D91">
        <v>5275</v>
      </c>
      <c r="E91">
        <v>9380723</v>
      </c>
      <c r="F91">
        <v>6550075</v>
      </c>
      <c r="G91">
        <v>7651708</v>
      </c>
      <c r="H91">
        <v>45700</v>
      </c>
      <c r="I91">
        <v>940000</v>
      </c>
      <c r="J91">
        <v>6000</v>
      </c>
    </row>
    <row r="92" spans="1:11">
      <c r="A92" t="s">
        <v>455</v>
      </c>
      <c r="B92">
        <v>21</v>
      </c>
      <c r="C92">
        <v>31</v>
      </c>
      <c r="E92">
        <v>105000</v>
      </c>
      <c r="F92">
        <v>40000</v>
      </c>
      <c r="G92">
        <v>26100</v>
      </c>
      <c r="H92">
        <v>1000</v>
      </c>
      <c r="I92">
        <v>25000</v>
      </c>
    </row>
    <row r="93" spans="1:11">
      <c r="A93" t="s">
        <v>455</v>
      </c>
      <c r="B93">
        <v>21</v>
      </c>
      <c r="C93">
        <v>32</v>
      </c>
      <c r="H93">
        <v>30000</v>
      </c>
    </row>
    <row r="94" spans="1:11">
      <c r="A94" t="s">
        <v>455</v>
      </c>
      <c r="B94">
        <v>21</v>
      </c>
      <c r="C94">
        <v>33</v>
      </c>
      <c r="H94">
        <v>3000</v>
      </c>
      <c r="I94">
        <v>175000</v>
      </c>
    </row>
    <row r="95" spans="1:11">
      <c r="A95" t="s">
        <v>455</v>
      </c>
      <c r="B95">
        <v>24</v>
      </c>
      <c r="C95">
        <v>27</v>
      </c>
      <c r="E95">
        <v>1882327</v>
      </c>
      <c r="G95">
        <v>608313</v>
      </c>
      <c r="H95">
        <v>2264</v>
      </c>
    </row>
    <row r="96" spans="1:11">
      <c r="A96" t="s">
        <v>455</v>
      </c>
      <c r="B96">
        <v>24</v>
      </c>
      <c r="C96">
        <v>32</v>
      </c>
      <c r="H96">
        <v>800</v>
      </c>
    </row>
    <row r="97" spans="1:11">
      <c r="A97" t="s">
        <v>455</v>
      </c>
      <c r="B97">
        <v>24</v>
      </c>
      <c r="C97">
        <v>33</v>
      </c>
      <c r="H97">
        <v>21900</v>
      </c>
    </row>
    <row r="98" spans="1:11">
      <c r="A98" t="s">
        <v>289</v>
      </c>
      <c r="B98">
        <v>21</v>
      </c>
      <c r="C98">
        <v>27</v>
      </c>
      <c r="I98">
        <v>1122141</v>
      </c>
    </row>
    <row r="99" spans="1:11">
      <c r="A99" t="s">
        <v>155</v>
      </c>
      <c r="B99">
        <v>21</v>
      </c>
      <c r="C99">
        <v>29</v>
      </c>
      <c r="I99">
        <v>688953</v>
      </c>
    </row>
    <row r="100" spans="1:11">
      <c r="A100" t="s">
        <v>257</v>
      </c>
      <c r="B100">
        <v>21</v>
      </c>
      <c r="C100">
        <v>21</v>
      </c>
      <c r="E100">
        <v>98339</v>
      </c>
      <c r="F100">
        <v>49130</v>
      </c>
      <c r="G100">
        <v>49447</v>
      </c>
      <c r="H100">
        <v>4500</v>
      </c>
    </row>
    <row r="101" spans="1:11">
      <c r="A101" t="s">
        <v>257</v>
      </c>
      <c r="B101">
        <v>21</v>
      </c>
      <c r="C101">
        <v>25</v>
      </c>
      <c r="F101">
        <v>30884</v>
      </c>
      <c r="G101">
        <v>5089</v>
      </c>
    </row>
    <row r="102" spans="1:11">
      <c r="A102" t="s">
        <v>257</v>
      </c>
      <c r="B102">
        <v>21</v>
      </c>
      <c r="C102">
        <v>26</v>
      </c>
      <c r="E102">
        <v>246350</v>
      </c>
      <c r="G102">
        <v>87342</v>
      </c>
      <c r="I102">
        <v>80600</v>
      </c>
    </row>
    <row r="103" spans="1:11">
      <c r="A103" t="s">
        <v>257</v>
      </c>
      <c r="B103">
        <v>21</v>
      </c>
      <c r="C103">
        <v>27</v>
      </c>
      <c r="E103">
        <v>564449</v>
      </c>
      <c r="F103">
        <v>333613</v>
      </c>
      <c r="G103">
        <v>385830</v>
      </c>
      <c r="H103">
        <v>45869</v>
      </c>
      <c r="I103">
        <v>96900</v>
      </c>
    </row>
    <row r="104" spans="1:11">
      <c r="A104" t="s">
        <v>257</v>
      </c>
      <c r="B104">
        <v>21</v>
      </c>
      <c r="C104">
        <v>31</v>
      </c>
      <c r="E104">
        <v>4330</v>
      </c>
      <c r="G104">
        <v>867</v>
      </c>
      <c r="I104">
        <v>1000</v>
      </c>
      <c r="J104">
        <v>800</v>
      </c>
    </row>
    <row r="105" spans="1:11">
      <c r="A105" t="s">
        <v>257</v>
      </c>
      <c r="B105">
        <v>21</v>
      </c>
      <c r="C105">
        <v>32</v>
      </c>
      <c r="K105">
        <v>1500</v>
      </c>
    </row>
    <row r="106" spans="1:11">
      <c r="A106" t="s">
        <v>257</v>
      </c>
      <c r="B106">
        <v>21</v>
      </c>
      <c r="C106">
        <v>33</v>
      </c>
      <c r="H106">
        <v>3000</v>
      </c>
    </row>
    <row r="107" spans="1:11">
      <c r="A107" t="s">
        <v>257</v>
      </c>
      <c r="B107">
        <v>21</v>
      </c>
      <c r="C107">
        <v>34</v>
      </c>
      <c r="E107">
        <v>13003</v>
      </c>
      <c r="G107">
        <v>2181</v>
      </c>
    </row>
    <row r="108" spans="1:11">
      <c r="A108" t="s">
        <v>257</v>
      </c>
      <c r="B108">
        <v>24</v>
      </c>
      <c r="C108">
        <v>27</v>
      </c>
      <c r="E108">
        <v>8553</v>
      </c>
      <c r="F108">
        <v>188670</v>
      </c>
      <c r="G108">
        <v>92434</v>
      </c>
    </row>
    <row r="109" spans="1:11">
      <c r="A109" t="s">
        <v>65</v>
      </c>
      <c r="B109">
        <v>21</v>
      </c>
      <c r="C109">
        <v>21</v>
      </c>
      <c r="E109">
        <v>116435</v>
      </c>
      <c r="F109">
        <v>36940</v>
      </c>
      <c r="G109">
        <v>49022</v>
      </c>
      <c r="I109">
        <v>5000</v>
      </c>
    </row>
    <row r="110" spans="1:11">
      <c r="A110" t="s">
        <v>65</v>
      </c>
      <c r="B110">
        <v>21</v>
      </c>
      <c r="C110">
        <v>26</v>
      </c>
      <c r="E110">
        <v>409141</v>
      </c>
      <c r="F110">
        <v>62829</v>
      </c>
      <c r="G110">
        <v>167671</v>
      </c>
      <c r="I110">
        <v>135000</v>
      </c>
      <c r="J110">
        <v>500</v>
      </c>
    </row>
    <row r="111" spans="1:11">
      <c r="A111" t="s">
        <v>65</v>
      </c>
      <c r="B111">
        <v>21</v>
      </c>
      <c r="C111">
        <v>27</v>
      </c>
      <c r="E111">
        <v>563210</v>
      </c>
      <c r="F111">
        <v>564961</v>
      </c>
      <c r="G111">
        <v>534902</v>
      </c>
      <c r="H111">
        <v>36500</v>
      </c>
      <c r="I111">
        <v>138750</v>
      </c>
      <c r="J111">
        <v>1000</v>
      </c>
    </row>
    <row r="112" spans="1:11">
      <c r="A112" t="s">
        <v>65</v>
      </c>
      <c r="B112">
        <v>21</v>
      </c>
      <c r="C112">
        <v>31</v>
      </c>
      <c r="I112">
        <v>1500</v>
      </c>
      <c r="J112">
        <v>250</v>
      </c>
    </row>
    <row r="113" spans="1:10">
      <c r="A113" t="s">
        <v>65</v>
      </c>
      <c r="B113">
        <v>21</v>
      </c>
      <c r="C113">
        <v>32</v>
      </c>
      <c r="I113">
        <v>500</v>
      </c>
    </row>
    <row r="114" spans="1:10">
      <c r="A114" t="s">
        <v>65</v>
      </c>
      <c r="B114">
        <v>24</v>
      </c>
      <c r="C114">
        <v>27</v>
      </c>
      <c r="E114">
        <v>121758</v>
      </c>
      <c r="F114">
        <v>110458</v>
      </c>
      <c r="G114">
        <v>104651</v>
      </c>
      <c r="H114">
        <v>753</v>
      </c>
    </row>
    <row r="115" spans="1:10">
      <c r="A115" t="s">
        <v>63</v>
      </c>
      <c r="B115">
        <v>21</v>
      </c>
      <c r="C115">
        <v>26</v>
      </c>
      <c r="E115">
        <v>165020</v>
      </c>
      <c r="G115">
        <v>59023</v>
      </c>
    </row>
    <row r="116" spans="1:10">
      <c r="A116" t="s">
        <v>63</v>
      </c>
      <c r="B116">
        <v>21</v>
      </c>
      <c r="C116">
        <v>27</v>
      </c>
      <c r="E116">
        <v>630803</v>
      </c>
      <c r="F116">
        <v>519172</v>
      </c>
      <c r="G116">
        <v>527855</v>
      </c>
    </row>
    <row r="117" spans="1:10">
      <c r="A117" t="s">
        <v>63</v>
      </c>
      <c r="B117">
        <v>21</v>
      </c>
      <c r="C117">
        <v>34</v>
      </c>
      <c r="E117">
        <v>11103</v>
      </c>
      <c r="G117">
        <v>2207</v>
      </c>
    </row>
    <row r="118" spans="1:10">
      <c r="A118" t="s">
        <v>63</v>
      </c>
      <c r="B118">
        <v>24</v>
      </c>
      <c r="C118">
        <v>27</v>
      </c>
      <c r="F118">
        <v>94176</v>
      </c>
      <c r="G118">
        <v>66351</v>
      </c>
    </row>
    <row r="119" spans="1:10">
      <c r="A119" t="s">
        <v>609</v>
      </c>
      <c r="B119">
        <v>21</v>
      </c>
      <c r="C119">
        <v>21</v>
      </c>
      <c r="E119">
        <v>668166</v>
      </c>
      <c r="F119">
        <v>179059</v>
      </c>
      <c r="G119">
        <v>288738</v>
      </c>
      <c r="H119">
        <v>4925</v>
      </c>
      <c r="I119">
        <v>900</v>
      </c>
    </row>
    <row r="120" spans="1:10">
      <c r="A120" t="s">
        <v>609</v>
      </c>
      <c r="B120">
        <v>21</v>
      </c>
      <c r="C120">
        <v>24</v>
      </c>
      <c r="F120">
        <v>39520</v>
      </c>
      <c r="G120">
        <v>22380</v>
      </c>
    </row>
    <row r="121" spans="1:10">
      <c r="A121" t="s">
        <v>609</v>
      </c>
      <c r="B121">
        <v>21</v>
      </c>
      <c r="C121">
        <v>26</v>
      </c>
      <c r="E121">
        <v>3147643</v>
      </c>
      <c r="F121">
        <v>95590</v>
      </c>
      <c r="G121">
        <v>1045668</v>
      </c>
      <c r="H121">
        <v>31000</v>
      </c>
      <c r="I121">
        <v>961829</v>
      </c>
      <c r="J121">
        <v>3000</v>
      </c>
    </row>
    <row r="122" spans="1:10">
      <c r="A122" t="s">
        <v>609</v>
      </c>
      <c r="B122">
        <v>21</v>
      </c>
      <c r="C122">
        <v>27</v>
      </c>
      <c r="D122">
        <v>5500</v>
      </c>
      <c r="E122">
        <v>4046447</v>
      </c>
      <c r="F122">
        <v>3376927</v>
      </c>
      <c r="G122">
        <v>3858729</v>
      </c>
      <c r="H122">
        <v>58800</v>
      </c>
      <c r="I122">
        <v>99190</v>
      </c>
      <c r="J122">
        <v>66000</v>
      </c>
    </row>
    <row r="123" spans="1:10">
      <c r="A123" t="s">
        <v>609</v>
      </c>
      <c r="B123">
        <v>21</v>
      </c>
      <c r="C123">
        <v>31</v>
      </c>
      <c r="E123">
        <v>85414</v>
      </c>
      <c r="F123">
        <v>10369</v>
      </c>
      <c r="G123">
        <v>15845</v>
      </c>
      <c r="I123">
        <v>17700</v>
      </c>
      <c r="J123">
        <v>1500</v>
      </c>
    </row>
    <row r="124" spans="1:10">
      <c r="A124" t="s">
        <v>609</v>
      </c>
      <c r="B124">
        <v>21</v>
      </c>
      <c r="C124">
        <v>32</v>
      </c>
      <c r="H124">
        <v>2000</v>
      </c>
    </row>
    <row r="125" spans="1:10">
      <c r="A125" t="s">
        <v>609</v>
      </c>
      <c r="B125">
        <v>21</v>
      </c>
      <c r="C125">
        <v>33</v>
      </c>
      <c r="H125">
        <v>88920</v>
      </c>
    </row>
    <row r="126" spans="1:10">
      <c r="A126" t="s">
        <v>609</v>
      </c>
      <c r="B126">
        <v>21</v>
      </c>
      <c r="C126">
        <v>34</v>
      </c>
      <c r="E126">
        <v>112196</v>
      </c>
      <c r="G126">
        <v>18741</v>
      </c>
    </row>
    <row r="127" spans="1:10">
      <c r="A127" t="s">
        <v>609</v>
      </c>
      <c r="B127">
        <v>24</v>
      </c>
      <c r="C127">
        <v>21</v>
      </c>
      <c r="E127">
        <v>30504</v>
      </c>
      <c r="G127">
        <v>8130</v>
      </c>
    </row>
    <row r="128" spans="1:10">
      <c r="A128" t="s">
        <v>609</v>
      </c>
      <c r="B128">
        <v>24</v>
      </c>
      <c r="C128">
        <v>27</v>
      </c>
      <c r="E128">
        <v>521908</v>
      </c>
      <c r="F128">
        <v>467317</v>
      </c>
      <c r="G128">
        <v>484248</v>
      </c>
      <c r="H128">
        <v>70957</v>
      </c>
      <c r="I128">
        <v>79938</v>
      </c>
    </row>
    <row r="129" spans="1:10">
      <c r="A129" t="s">
        <v>609</v>
      </c>
      <c r="B129">
        <v>24</v>
      </c>
      <c r="C129">
        <v>31</v>
      </c>
      <c r="E129">
        <v>14129</v>
      </c>
      <c r="G129">
        <v>2294</v>
      </c>
    </row>
    <row r="130" spans="1:10">
      <c r="A130" t="s">
        <v>411</v>
      </c>
      <c r="B130">
        <v>21</v>
      </c>
      <c r="C130">
        <v>21</v>
      </c>
      <c r="E130">
        <v>92766</v>
      </c>
      <c r="G130">
        <v>31800</v>
      </c>
    </row>
    <row r="131" spans="1:10">
      <c r="A131" t="s">
        <v>411</v>
      </c>
      <c r="B131">
        <v>21</v>
      </c>
      <c r="C131">
        <v>24</v>
      </c>
      <c r="F131">
        <v>74914</v>
      </c>
      <c r="G131">
        <v>25680</v>
      </c>
    </row>
    <row r="132" spans="1:10">
      <c r="A132" t="s">
        <v>411</v>
      </c>
      <c r="B132">
        <v>21</v>
      </c>
      <c r="C132">
        <v>26</v>
      </c>
      <c r="H132">
        <v>7871</v>
      </c>
      <c r="I132">
        <v>160081</v>
      </c>
    </row>
    <row r="133" spans="1:10">
      <c r="A133" t="s">
        <v>411</v>
      </c>
      <c r="B133">
        <v>21</v>
      </c>
      <c r="C133">
        <v>27</v>
      </c>
      <c r="E133">
        <v>207069</v>
      </c>
      <c r="G133">
        <v>70983</v>
      </c>
    </row>
    <row r="134" spans="1:10">
      <c r="A134" t="s">
        <v>411</v>
      </c>
      <c r="B134">
        <v>24</v>
      </c>
      <c r="C134">
        <v>27</v>
      </c>
      <c r="E134">
        <v>30619</v>
      </c>
      <c r="G134">
        <v>10496</v>
      </c>
    </row>
    <row r="135" spans="1:10">
      <c r="A135" t="s">
        <v>417</v>
      </c>
      <c r="B135">
        <v>21</v>
      </c>
      <c r="C135">
        <v>21</v>
      </c>
      <c r="E135">
        <v>160063</v>
      </c>
      <c r="F135">
        <v>73837</v>
      </c>
      <c r="G135">
        <v>75880</v>
      </c>
      <c r="H135">
        <v>1000</v>
      </c>
      <c r="I135">
        <v>12852</v>
      </c>
      <c r="J135">
        <v>250</v>
      </c>
    </row>
    <row r="136" spans="1:10">
      <c r="A136" t="s">
        <v>417</v>
      </c>
      <c r="B136">
        <v>21</v>
      </c>
      <c r="C136">
        <v>26</v>
      </c>
      <c r="E136">
        <v>1340387</v>
      </c>
      <c r="F136">
        <v>143501</v>
      </c>
      <c r="G136">
        <v>490617</v>
      </c>
      <c r="H136">
        <v>5000</v>
      </c>
      <c r="I136">
        <v>485900</v>
      </c>
      <c r="J136">
        <v>4000</v>
      </c>
    </row>
    <row r="137" spans="1:10">
      <c r="A137" t="s">
        <v>417</v>
      </c>
      <c r="B137">
        <v>21</v>
      </c>
      <c r="C137">
        <v>27</v>
      </c>
      <c r="E137">
        <v>1808941</v>
      </c>
      <c r="F137">
        <v>2531211</v>
      </c>
      <c r="G137">
        <v>2288645</v>
      </c>
      <c r="H137">
        <v>10000</v>
      </c>
      <c r="I137">
        <v>489850</v>
      </c>
      <c r="J137">
        <v>9500</v>
      </c>
    </row>
    <row r="138" spans="1:10">
      <c r="A138" t="s">
        <v>417</v>
      </c>
      <c r="B138">
        <v>21</v>
      </c>
      <c r="C138">
        <v>34</v>
      </c>
      <c r="E138">
        <v>48325</v>
      </c>
      <c r="G138">
        <v>8016</v>
      </c>
    </row>
    <row r="139" spans="1:10">
      <c r="A139" t="s">
        <v>417</v>
      </c>
      <c r="B139">
        <v>24</v>
      </c>
      <c r="C139">
        <v>27</v>
      </c>
      <c r="E139">
        <v>536463</v>
      </c>
      <c r="G139">
        <v>181685</v>
      </c>
    </row>
    <row r="140" spans="1:10">
      <c r="A140" t="s">
        <v>115</v>
      </c>
      <c r="B140">
        <v>21</v>
      </c>
      <c r="C140">
        <v>23</v>
      </c>
      <c r="E140">
        <v>25388</v>
      </c>
      <c r="G140">
        <v>7254</v>
      </c>
    </row>
    <row r="141" spans="1:10">
      <c r="A141" t="s">
        <v>115</v>
      </c>
      <c r="B141">
        <v>21</v>
      </c>
      <c r="C141">
        <v>27</v>
      </c>
      <c r="E141">
        <v>148062</v>
      </c>
      <c r="F141">
        <v>248939</v>
      </c>
      <c r="G141">
        <v>177950</v>
      </c>
      <c r="H141">
        <v>2000</v>
      </c>
      <c r="I141">
        <v>185378</v>
      </c>
    </row>
    <row r="142" spans="1:10">
      <c r="A142" t="s">
        <v>115</v>
      </c>
      <c r="B142">
        <v>24</v>
      </c>
      <c r="C142">
        <v>27</v>
      </c>
      <c r="F142">
        <v>48925</v>
      </c>
      <c r="G142">
        <v>23697</v>
      </c>
      <c r="H142">
        <v>363</v>
      </c>
    </row>
    <row r="143" spans="1:10">
      <c r="A143" t="s">
        <v>487</v>
      </c>
      <c r="B143">
        <v>21</v>
      </c>
      <c r="C143">
        <v>21</v>
      </c>
      <c r="E143">
        <v>150000</v>
      </c>
      <c r="F143">
        <v>102058</v>
      </c>
      <c r="G143">
        <v>87559</v>
      </c>
      <c r="H143">
        <v>100</v>
      </c>
    </row>
    <row r="144" spans="1:10">
      <c r="A144" t="s">
        <v>487</v>
      </c>
      <c r="B144">
        <v>21</v>
      </c>
      <c r="C144">
        <v>25</v>
      </c>
      <c r="F144">
        <v>125263</v>
      </c>
      <c r="G144">
        <v>117994</v>
      </c>
    </row>
    <row r="145" spans="1:10">
      <c r="A145" t="s">
        <v>487</v>
      </c>
      <c r="B145">
        <v>21</v>
      </c>
      <c r="C145">
        <v>26</v>
      </c>
      <c r="E145">
        <v>671898</v>
      </c>
      <c r="F145">
        <v>105830</v>
      </c>
      <c r="G145">
        <v>269038</v>
      </c>
      <c r="I145">
        <v>1156980</v>
      </c>
    </row>
    <row r="146" spans="1:10">
      <c r="A146" t="s">
        <v>487</v>
      </c>
      <c r="B146">
        <v>21</v>
      </c>
      <c r="C146">
        <v>27</v>
      </c>
      <c r="D146">
        <v>1000</v>
      </c>
      <c r="E146">
        <v>1402946</v>
      </c>
      <c r="F146">
        <v>1373704</v>
      </c>
      <c r="G146">
        <v>1219738</v>
      </c>
      <c r="H146">
        <v>23700</v>
      </c>
      <c r="I146">
        <v>111200</v>
      </c>
    </row>
    <row r="147" spans="1:10">
      <c r="A147" t="s">
        <v>487</v>
      </c>
      <c r="B147">
        <v>21</v>
      </c>
      <c r="C147">
        <v>31</v>
      </c>
      <c r="E147">
        <v>11470</v>
      </c>
      <c r="G147">
        <v>1860</v>
      </c>
    </row>
    <row r="148" spans="1:10">
      <c r="A148" t="s">
        <v>487</v>
      </c>
      <c r="B148">
        <v>21</v>
      </c>
      <c r="C148">
        <v>34</v>
      </c>
      <c r="E148">
        <v>35440</v>
      </c>
      <c r="G148">
        <v>5750</v>
      </c>
    </row>
    <row r="149" spans="1:10">
      <c r="A149" t="s">
        <v>487</v>
      </c>
      <c r="B149">
        <v>24</v>
      </c>
      <c r="C149">
        <v>27</v>
      </c>
      <c r="E149">
        <v>396673</v>
      </c>
      <c r="G149">
        <v>128879</v>
      </c>
    </row>
    <row r="150" spans="1:10">
      <c r="A150" t="s">
        <v>487</v>
      </c>
      <c r="B150">
        <v>24</v>
      </c>
      <c r="C150">
        <v>31</v>
      </c>
      <c r="E150">
        <v>8607</v>
      </c>
      <c r="G150">
        <v>1392</v>
      </c>
    </row>
    <row r="151" spans="1:10">
      <c r="A151" t="s">
        <v>59</v>
      </c>
      <c r="B151">
        <v>21</v>
      </c>
      <c r="C151">
        <v>21</v>
      </c>
      <c r="F151">
        <v>33987</v>
      </c>
      <c r="G151">
        <v>14106</v>
      </c>
    </row>
    <row r="152" spans="1:10">
      <c r="A152" t="s">
        <v>59</v>
      </c>
      <c r="B152">
        <v>21</v>
      </c>
      <c r="C152">
        <v>26</v>
      </c>
      <c r="E152">
        <v>8016</v>
      </c>
      <c r="G152">
        <v>1377</v>
      </c>
      <c r="H152">
        <v>900</v>
      </c>
      <c r="I152">
        <v>525000</v>
      </c>
    </row>
    <row r="153" spans="1:10">
      <c r="A153" t="s">
        <v>59</v>
      </c>
      <c r="B153">
        <v>21</v>
      </c>
      <c r="C153">
        <v>27</v>
      </c>
      <c r="E153">
        <v>492889</v>
      </c>
      <c r="F153">
        <v>203280</v>
      </c>
      <c r="G153">
        <v>316222</v>
      </c>
      <c r="H153">
        <v>8000</v>
      </c>
      <c r="I153">
        <v>1500</v>
      </c>
    </row>
    <row r="154" spans="1:10">
      <c r="A154" t="s">
        <v>59</v>
      </c>
      <c r="B154">
        <v>21</v>
      </c>
      <c r="C154">
        <v>32</v>
      </c>
      <c r="H154">
        <v>3400</v>
      </c>
    </row>
    <row r="155" spans="1:10">
      <c r="A155" t="s">
        <v>59</v>
      </c>
      <c r="B155">
        <v>21</v>
      </c>
      <c r="C155">
        <v>34</v>
      </c>
      <c r="E155">
        <v>6416</v>
      </c>
      <c r="G155">
        <v>1143</v>
      </c>
    </row>
    <row r="156" spans="1:10">
      <c r="A156" t="s">
        <v>59</v>
      </c>
      <c r="B156">
        <v>24</v>
      </c>
      <c r="C156">
        <v>26</v>
      </c>
      <c r="I156">
        <v>120500</v>
      </c>
    </row>
    <row r="157" spans="1:10">
      <c r="A157" t="s">
        <v>59</v>
      </c>
      <c r="B157">
        <v>29</v>
      </c>
      <c r="C157">
        <v>26</v>
      </c>
      <c r="E157">
        <v>108041</v>
      </c>
      <c r="G157">
        <v>34811</v>
      </c>
    </row>
    <row r="158" spans="1:10">
      <c r="A158" t="s">
        <v>437</v>
      </c>
      <c r="B158">
        <v>21</v>
      </c>
      <c r="C158">
        <v>21</v>
      </c>
      <c r="D158">
        <v>400</v>
      </c>
      <c r="E158">
        <v>150857</v>
      </c>
      <c r="F158">
        <v>67068</v>
      </c>
      <c r="G158">
        <v>58978</v>
      </c>
      <c r="H158">
        <v>2696</v>
      </c>
      <c r="I158">
        <v>17445</v>
      </c>
      <c r="J158">
        <v>3000</v>
      </c>
    </row>
    <row r="159" spans="1:10">
      <c r="A159" t="s">
        <v>437</v>
      </c>
      <c r="B159">
        <v>21</v>
      </c>
      <c r="C159">
        <v>24</v>
      </c>
      <c r="I159">
        <v>25000</v>
      </c>
    </row>
    <row r="160" spans="1:10">
      <c r="A160" t="s">
        <v>437</v>
      </c>
      <c r="B160">
        <v>21</v>
      </c>
      <c r="C160">
        <v>26</v>
      </c>
      <c r="E160">
        <v>193011</v>
      </c>
      <c r="F160">
        <v>49593</v>
      </c>
      <c r="G160">
        <v>83622</v>
      </c>
      <c r="H160">
        <v>8000</v>
      </c>
      <c r="I160">
        <v>520320</v>
      </c>
    </row>
    <row r="161" spans="1:10">
      <c r="A161" t="s">
        <v>437</v>
      </c>
      <c r="B161">
        <v>21</v>
      </c>
      <c r="C161">
        <v>27</v>
      </c>
      <c r="D161">
        <v>1900</v>
      </c>
      <c r="E161">
        <v>533489</v>
      </c>
      <c r="F161">
        <v>372404</v>
      </c>
      <c r="G161">
        <v>377633</v>
      </c>
      <c r="H161">
        <v>14550</v>
      </c>
      <c r="I161">
        <v>9360988</v>
      </c>
      <c r="J161">
        <v>750</v>
      </c>
    </row>
    <row r="162" spans="1:10">
      <c r="A162" t="s">
        <v>437</v>
      </c>
      <c r="B162">
        <v>21</v>
      </c>
      <c r="C162">
        <v>31</v>
      </c>
      <c r="D162">
        <v>1600</v>
      </c>
      <c r="E162">
        <v>3675</v>
      </c>
      <c r="F162">
        <v>3175</v>
      </c>
      <c r="G162">
        <v>1140</v>
      </c>
      <c r="H162">
        <v>1600</v>
      </c>
      <c r="I162">
        <v>8495</v>
      </c>
      <c r="J162">
        <v>5425</v>
      </c>
    </row>
    <row r="163" spans="1:10">
      <c r="A163" t="s">
        <v>437</v>
      </c>
      <c r="B163">
        <v>21</v>
      </c>
      <c r="C163">
        <v>32</v>
      </c>
      <c r="H163">
        <v>5000</v>
      </c>
    </row>
    <row r="164" spans="1:10">
      <c r="A164" t="s">
        <v>437</v>
      </c>
      <c r="B164">
        <v>21</v>
      </c>
      <c r="C164">
        <v>33</v>
      </c>
      <c r="H164">
        <v>8000</v>
      </c>
      <c r="I164">
        <v>10100</v>
      </c>
    </row>
    <row r="165" spans="1:10">
      <c r="A165" t="s">
        <v>437</v>
      </c>
      <c r="B165">
        <v>21</v>
      </c>
      <c r="C165">
        <v>34</v>
      </c>
      <c r="E165">
        <v>16625</v>
      </c>
      <c r="G165">
        <v>5521</v>
      </c>
    </row>
    <row r="166" spans="1:10">
      <c r="A166" t="s">
        <v>437</v>
      </c>
      <c r="B166">
        <v>24</v>
      </c>
      <c r="C166">
        <v>27</v>
      </c>
      <c r="E166">
        <v>255897</v>
      </c>
      <c r="F166">
        <v>255306</v>
      </c>
      <c r="G166">
        <v>220072</v>
      </c>
    </row>
    <row r="167" spans="1:10">
      <c r="A167" t="s">
        <v>583</v>
      </c>
      <c r="B167">
        <v>21</v>
      </c>
      <c r="C167">
        <v>21</v>
      </c>
      <c r="E167">
        <v>1053245</v>
      </c>
      <c r="F167">
        <v>571940</v>
      </c>
      <c r="G167">
        <v>504461</v>
      </c>
      <c r="H167">
        <v>1500</v>
      </c>
      <c r="I167">
        <v>6500</v>
      </c>
      <c r="J167">
        <v>22500</v>
      </c>
    </row>
    <row r="168" spans="1:10">
      <c r="A168" t="s">
        <v>583</v>
      </c>
      <c r="B168">
        <v>21</v>
      </c>
      <c r="C168">
        <v>23</v>
      </c>
      <c r="E168">
        <v>183050</v>
      </c>
      <c r="F168">
        <v>100086</v>
      </c>
      <c r="G168">
        <v>92686</v>
      </c>
    </row>
    <row r="169" spans="1:10">
      <c r="A169" t="s">
        <v>583</v>
      </c>
      <c r="B169">
        <v>21</v>
      </c>
      <c r="C169">
        <v>26</v>
      </c>
      <c r="E169">
        <v>12361951</v>
      </c>
      <c r="F169">
        <v>288358</v>
      </c>
      <c r="G169">
        <v>4165528</v>
      </c>
      <c r="H169">
        <v>55500</v>
      </c>
      <c r="I169">
        <v>809222</v>
      </c>
      <c r="J169">
        <v>5000</v>
      </c>
    </row>
    <row r="170" spans="1:10">
      <c r="A170" t="s">
        <v>583</v>
      </c>
      <c r="B170">
        <v>21</v>
      </c>
      <c r="C170">
        <v>27</v>
      </c>
      <c r="D170">
        <v>5000</v>
      </c>
      <c r="E170">
        <v>15785601</v>
      </c>
      <c r="F170">
        <v>27268909</v>
      </c>
      <c r="G170">
        <v>21980988</v>
      </c>
      <c r="H170">
        <v>61300</v>
      </c>
      <c r="I170">
        <v>4777120</v>
      </c>
      <c r="J170">
        <v>8000</v>
      </c>
    </row>
    <row r="171" spans="1:10">
      <c r="A171" t="s">
        <v>583</v>
      </c>
      <c r="B171">
        <v>21</v>
      </c>
      <c r="C171">
        <v>31</v>
      </c>
      <c r="E171">
        <v>1164601</v>
      </c>
      <c r="F171">
        <v>36000</v>
      </c>
      <c r="G171">
        <v>337006</v>
      </c>
      <c r="H171">
        <v>5000</v>
      </c>
      <c r="I171">
        <v>40000</v>
      </c>
      <c r="J171">
        <v>12500</v>
      </c>
    </row>
    <row r="172" spans="1:10">
      <c r="A172" t="s">
        <v>583</v>
      </c>
      <c r="B172">
        <v>21</v>
      </c>
      <c r="C172">
        <v>33</v>
      </c>
      <c r="H172">
        <v>100000</v>
      </c>
      <c r="I172">
        <v>35000</v>
      </c>
    </row>
    <row r="173" spans="1:10">
      <c r="A173" t="s">
        <v>583</v>
      </c>
      <c r="B173">
        <v>21</v>
      </c>
      <c r="C173">
        <v>34</v>
      </c>
      <c r="E173">
        <v>375000</v>
      </c>
      <c r="G173">
        <v>46217</v>
      </c>
    </row>
    <row r="174" spans="1:10">
      <c r="A174" t="s">
        <v>583</v>
      </c>
      <c r="B174">
        <v>24</v>
      </c>
      <c r="C174">
        <v>27</v>
      </c>
      <c r="E174">
        <v>3650447</v>
      </c>
      <c r="F174">
        <v>40299</v>
      </c>
      <c r="G174">
        <v>1190011</v>
      </c>
    </row>
    <row r="175" spans="1:10">
      <c r="A175" t="s">
        <v>211</v>
      </c>
      <c r="B175">
        <v>21</v>
      </c>
      <c r="C175">
        <v>21</v>
      </c>
      <c r="E175">
        <v>167100</v>
      </c>
      <c r="F175">
        <v>65566</v>
      </c>
      <c r="G175">
        <v>67320</v>
      </c>
      <c r="I175">
        <v>3200</v>
      </c>
      <c r="J175">
        <v>750</v>
      </c>
    </row>
    <row r="176" spans="1:10">
      <c r="A176" t="s">
        <v>211</v>
      </c>
      <c r="B176">
        <v>21</v>
      </c>
      <c r="C176">
        <v>24</v>
      </c>
      <c r="E176">
        <v>51209</v>
      </c>
      <c r="G176">
        <v>17652</v>
      </c>
    </row>
    <row r="177" spans="1:10">
      <c r="A177" t="s">
        <v>211</v>
      </c>
      <c r="B177">
        <v>21</v>
      </c>
      <c r="C177">
        <v>26</v>
      </c>
      <c r="E177">
        <v>724778</v>
      </c>
      <c r="G177">
        <v>207710</v>
      </c>
      <c r="H177">
        <v>450</v>
      </c>
      <c r="I177">
        <v>199004</v>
      </c>
    </row>
    <row r="178" spans="1:10">
      <c r="A178" t="s">
        <v>211</v>
      </c>
      <c r="B178">
        <v>21</v>
      </c>
      <c r="C178">
        <v>27</v>
      </c>
      <c r="E178">
        <v>894046</v>
      </c>
      <c r="F178">
        <v>1003864</v>
      </c>
      <c r="G178">
        <v>1004219</v>
      </c>
      <c r="H178">
        <v>46900</v>
      </c>
      <c r="I178">
        <v>530430</v>
      </c>
    </row>
    <row r="179" spans="1:10">
      <c r="A179" t="s">
        <v>211</v>
      </c>
      <c r="B179">
        <v>21</v>
      </c>
      <c r="C179">
        <v>31</v>
      </c>
      <c r="I179">
        <v>12500</v>
      </c>
      <c r="J179">
        <v>500</v>
      </c>
    </row>
    <row r="180" spans="1:10">
      <c r="A180" t="s">
        <v>211</v>
      </c>
      <c r="B180">
        <v>21</v>
      </c>
      <c r="C180">
        <v>33</v>
      </c>
      <c r="H180">
        <v>1000</v>
      </c>
    </row>
    <row r="181" spans="1:10">
      <c r="A181" t="s">
        <v>211</v>
      </c>
      <c r="B181">
        <v>24</v>
      </c>
      <c r="C181">
        <v>27</v>
      </c>
      <c r="E181">
        <v>120449</v>
      </c>
      <c r="F181">
        <v>59911</v>
      </c>
      <c r="G181">
        <v>75418</v>
      </c>
    </row>
    <row r="182" spans="1:10">
      <c r="A182" t="s">
        <v>251</v>
      </c>
      <c r="B182">
        <v>21</v>
      </c>
      <c r="C182">
        <v>21</v>
      </c>
      <c r="E182">
        <v>302109</v>
      </c>
      <c r="F182">
        <v>103139</v>
      </c>
      <c r="G182">
        <v>123694</v>
      </c>
    </row>
    <row r="183" spans="1:10">
      <c r="A183" t="s">
        <v>251</v>
      </c>
      <c r="B183">
        <v>21</v>
      </c>
      <c r="C183">
        <v>26</v>
      </c>
      <c r="E183">
        <v>274506</v>
      </c>
      <c r="G183">
        <v>92257</v>
      </c>
      <c r="I183">
        <v>50000</v>
      </c>
    </row>
    <row r="184" spans="1:10">
      <c r="A184" t="s">
        <v>251</v>
      </c>
      <c r="B184">
        <v>21</v>
      </c>
      <c r="C184">
        <v>27</v>
      </c>
      <c r="E184">
        <v>1103224</v>
      </c>
      <c r="F184">
        <v>619010</v>
      </c>
      <c r="G184">
        <v>846607</v>
      </c>
      <c r="H184">
        <v>8850</v>
      </c>
      <c r="I184">
        <v>4000</v>
      </c>
      <c r="J184">
        <v>145</v>
      </c>
    </row>
    <row r="185" spans="1:10">
      <c r="A185" t="s">
        <v>251</v>
      </c>
      <c r="B185">
        <v>21</v>
      </c>
      <c r="C185">
        <v>29</v>
      </c>
      <c r="I185">
        <v>750000</v>
      </c>
    </row>
    <row r="186" spans="1:10">
      <c r="A186" t="s">
        <v>251</v>
      </c>
      <c r="B186">
        <v>21</v>
      </c>
      <c r="C186">
        <v>31</v>
      </c>
      <c r="I186">
        <v>15000</v>
      </c>
    </row>
    <row r="187" spans="1:10">
      <c r="A187" t="s">
        <v>251</v>
      </c>
      <c r="B187">
        <v>21</v>
      </c>
      <c r="C187">
        <v>33</v>
      </c>
      <c r="H187">
        <v>1000</v>
      </c>
    </row>
    <row r="188" spans="1:10">
      <c r="A188" t="s">
        <v>251</v>
      </c>
      <c r="B188">
        <v>24</v>
      </c>
      <c r="C188">
        <v>26</v>
      </c>
      <c r="E188">
        <v>202789</v>
      </c>
      <c r="G188">
        <v>64619</v>
      </c>
    </row>
    <row r="189" spans="1:10">
      <c r="A189" t="s">
        <v>251</v>
      </c>
      <c r="B189">
        <v>24</v>
      </c>
      <c r="C189">
        <v>27</v>
      </c>
      <c r="E189">
        <v>6593</v>
      </c>
      <c r="G189">
        <v>2181</v>
      </c>
    </row>
    <row r="190" spans="1:10">
      <c r="A190" t="s">
        <v>251</v>
      </c>
      <c r="B190">
        <v>24</v>
      </c>
      <c r="C190">
        <v>29</v>
      </c>
      <c r="I190">
        <v>40000</v>
      </c>
    </row>
    <row r="191" spans="1:10">
      <c r="A191" t="s">
        <v>201</v>
      </c>
      <c r="B191">
        <v>21</v>
      </c>
      <c r="C191">
        <v>29</v>
      </c>
      <c r="I191">
        <v>250255</v>
      </c>
    </row>
    <row r="192" spans="1:10">
      <c r="A192" t="s">
        <v>601</v>
      </c>
      <c r="B192">
        <v>21</v>
      </c>
      <c r="C192">
        <v>21</v>
      </c>
      <c r="E192">
        <v>143256</v>
      </c>
      <c r="F192">
        <v>39737</v>
      </c>
      <c r="G192">
        <v>60774</v>
      </c>
      <c r="H192">
        <v>500</v>
      </c>
      <c r="I192">
        <v>2800</v>
      </c>
      <c r="J192">
        <v>500</v>
      </c>
    </row>
    <row r="193" spans="1:10">
      <c r="A193" t="s">
        <v>601</v>
      </c>
      <c r="B193">
        <v>21</v>
      </c>
      <c r="C193">
        <v>26</v>
      </c>
      <c r="E193">
        <v>979874</v>
      </c>
      <c r="G193">
        <v>328365</v>
      </c>
      <c r="H193">
        <v>3000</v>
      </c>
      <c r="I193">
        <v>7000</v>
      </c>
    </row>
    <row r="194" spans="1:10">
      <c r="A194" t="s">
        <v>601</v>
      </c>
      <c r="B194">
        <v>21</v>
      </c>
      <c r="C194">
        <v>27</v>
      </c>
      <c r="E194">
        <v>2200562</v>
      </c>
      <c r="F194">
        <v>1807984</v>
      </c>
      <c r="G194">
        <v>1890654</v>
      </c>
      <c r="H194">
        <v>19700</v>
      </c>
      <c r="I194">
        <v>1029000</v>
      </c>
      <c r="J194">
        <v>3000</v>
      </c>
    </row>
    <row r="195" spans="1:10">
      <c r="A195" t="s">
        <v>601</v>
      </c>
      <c r="B195">
        <v>21</v>
      </c>
      <c r="C195">
        <v>31</v>
      </c>
      <c r="H195">
        <v>500</v>
      </c>
    </row>
    <row r="196" spans="1:10">
      <c r="A196" t="s">
        <v>601</v>
      </c>
      <c r="B196">
        <v>21</v>
      </c>
      <c r="C196">
        <v>34</v>
      </c>
      <c r="E196">
        <v>51752</v>
      </c>
      <c r="G196">
        <v>8814</v>
      </c>
    </row>
    <row r="197" spans="1:10">
      <c r="A197" t="s">
        <v>601</v>
      </c>
      <c r="B197">
        <v>24</v>
      </c>
      <c r="C197">
        <v>26</v>
      </c>
      <c r="E197">
        <v>450605</v>
      </c>
      <c r="G197">
        <v>136095</v>
      </c>
    </row>
    <row r="198" spans="1:10">
      <c r="A198" t="s">
        <v>601</v>
      </c>
      <c r="B198">
        <v>24</v>
      </c>
      <c r="C198">
        <v>27</v>
      </c>
      <c r="F198">
        <v>18287</v>
      </c>
      <c r="G198">
        <v>10597</v>
      </c>
      <c r="H198">
        <v>5765</v>
      </c>
    </row>
    <row r="199" spans="1:10">
      <c r="A199" t="s">
        <v>167</v>
      </c>
      <c r="B199">
        <v>21</v>
      </c>
      <c r="C199">
        <v>21</v>
      </c>
      <c r="E199">
        <v>1202621</v>
      </c>
      <c r="F199">
        <v>273750</v>
      </c>
      <c r="G199">
        <v>409537</v>
      </c>
      <c r="H199">
        <v>5200</v>
      </c>
      <c r="I199">
        <v>50000</v>
      </c>
      <c r="J199">
        <v>5000</v>
      </c>
    </row>
    <row r="200" spans="1:10">
      <c r="A200" t="s">
        <v>167</v>
      </c>
      <c r="B200">
        <v>21</v>
      </c>
      <c r="C200">
        <v>23</v>
      </c>
      <c r="F200">
        <v>436985</v>
      </c>
      <c r="G200">
        <v>242067</v>
      </c>
      <c r="J200">
        <v>1000</v>
      </c>
    </row>
    <row r="201" spans="1:10">
      <c r="A201" t="s">
        <v>167</v>
      </c>
      <c r="B201">
        <v>21</v>
      </c>
      <c r="C201">
        <v>25</v>
      </c>
      <c r="F201">
        <v>101354</v>
      </c>
      <c r="G201">
        <v>69359</v>
      </c>
    </row>
    <row r="202" spans="1:10">
      <c r="A202" t="s">
        <v>167</v>
      </c>
      <c r="B202">
        <v>21</v>
      </c>
      <c r="C202">
        <v>26</v>
      </c>
      <c r="E202">
        <v>10876116</v>
      </c>
      <c r="F202">
        <v>393369</v>
      </c>
      <c r="G202">
        <v>3493227</v>
      </c>
      <c r="H202">
        <v>83500</v>
      </c>
      <c r="I202">
        <v>250000</v>
      </c>
      <c r="J202">
        <v>5000</v>
      </c>
    </row>
    <row r="203" spans="1:10">
      <c r="A203" t="s">
        <v>167</v>
      </c>
      <c r="B203">
        <v>21</v>
      </c>
      <c r="C203">
        <v>27</v>
      </c>
      <c r="E203">
        <v>22882964</v>
      </c>
      <c r="F203">
        <v>14518352</v>
      </c>
      <c r="G203">
        <v>16591446</v>
      </c>
      <c r="H203">
        <v>33149</v>
      </c>
      <c r="I203">
        <v>1229830</v>
      </c>
      <c r="J203">
        <v>5750</v>
      </c>
    </row>
    <row r="204" spans="1:10">
      <c r="A204" t="s">
        <v>167</v>
      </c>
      <c r="B204">
        <v>21</v>
      </c>
      <c r="C204">
        <v>31</v>
      </c>
      <c r="E204">
        <v>820834</v>
      </c>
      <c r="G204">
        <v>182125</v>
      </c>
      <c r="H204">
        <v>1500</v>
      </c>
      <c r="J204">
        <v>1200</v>
      </c>
    </row>
    <row r="205" spans="1:10">
      <c r="A205" t="s">
        <v>167</v>
      </c>
      <c r="B205">
        <v>21</v>
      </c>
      <c r="C205">
        <v>32</v>
      </c>
      <c r="H205">
        <v>300000</v>
      </c>
    </row>
    <row r="206" spans="1:10">
      <c r="A206" t="s">
        <v>167</v>
      </c>
      <c r="B206">
        <v>21</v>
      </c>
      <c r="C206">
        <v>34</v>
      </c>
      <c r="E206">
        <v>570629</v>
      </c>
      <c r="G206">
        <v>105286</v>
      </c>
    </row>
    <row r="207" spans="1:10">
      <c r="A207" t="s">
        <v>167</v>
      </c>
      <c r="B207">
        <v>24</v>
      </c>
      <c r="C207">
        <v>27</v>
      </c>
      <c r="F207">
        <v>3169970</v>
      </c>
      <c r="G207">
        <v>2191631</v>
      </c>
    </row>
    <row r="208" spans="1:10">
      <c r="A208" t="s">
        <v>57</v>
      </c>
      <c r="B208">
        <v>21</v>
      </c>
      <c r="C208">
        <v>21</v>
      </c>
      <c r="E208">
        <v>334174</v>
      </c>
      <c r="F208">
        <v>136519</v>
      </c>
      <c r="G208">
        <v>135914</v>
      </c>
      <c r="H208">
        <v>21053</v>
      </c>
      <c r="I208">
        <v>10195</v>
      </c>
      <c r="J208">
        <v>9040</v>
      </c>
    </row>
    <row r="209" spans="1:10">
      <c r="A209" t="s">
        <v>57</v>
      </c>
      <c r="B209">
        <v>21</v>
      </c>
      <c r="C209">
        <v>25</v>
      </c>
      <c r="I209">
        <v>11000</v>
      </c>
      <c r="J209">
        <v>4645</v>
      </c>
    </row>
    <row r="210" spans="1:10">
      <c r="A210" t="s">
        <v>57</v>
      </c>
      <c r="B210">
        <v>21</v>
      </c>
      <c r="C210">
        <v>26</v>
      </c>
      <c r="E210">
        <v>2595202</v>
      </c>
      <c r="F210">
        <v>46503</v>
      </c>
      <c r="G210">
        <v>735440</v>
      </c>
      <c r="H210">
        <v>25000</v>
      </c>
      <c r="I210">
        <v>253524</v>
      </c>
      <c r="J210">
        <v>1000</v>
      </c>
    </row>
    <row r="211" spans="1:10">
      <c r="A211" t="s">
        <v>57</v>
      </c>
      <c r="B211">
        <v>21</v>
      </c>
      <c r="C211">
        <v>27</v>
      </c>
      <c r="D211">
        <v>15144</v>
      </c>
      <c r="E211">
        <v>4130885</v>
      </c>
      <c r="F211">
        <v>3416457</v>
      </c>
      <c r="G211">
        <v>3276581</v>
      </c>
      <c r="H211">
        <v>34151</v>
      </c>
      <c r="I211">
        <v>53500</v>
      </c>
      <c r="J211">
        <v>5000</v>
      </c>
    </row>
    <row r="212" spans="1:10">
      <c r="A212" t="s">
        <v>57</v>
      </c>
      <c r="B212">
        <v>21</v>
      </c>
      <c r="C212">
        <v>29</v>
      </c>
      <c r="I212">
        <v>2500000</v>
      </c>
    </row>
    <row r="213" spans="1:10">
      <c r="A213" t="s">
        <v>57</v>
      </c>
      <c r="B213">
        <v>21</v>
      </c>
      <c r="C213">
        <v>31</v>
      </c>
      <c r="H213">
        <v>6000</v>
      </c>
    </row>
    <row r="214" spans="1:10">
      <c r="A214" t="s">
        <v>57</v>
      </c>
      <c r="B214">
        <v>24</v>
      </c>
      <c r="C214">
        <v>27</v>
      </c>
      <c r="E214">
        <v>939094</v>
      </c>
      <c r="F214">
        <v>7997</v>
      </c>
      <c r="G214">
        <v>284408</v>
      </c>
      <c r="H214">
        <v>46813</v>
      </c>
    </row>
    <row r="215" spans="1:10">
      <c r="A215" t="s">
        <v>27</v>
      </c>
      <c r="B215">
        <v>21</v>
      </c>
      <c r="C215">
        <v>21</v>
      </c>
      <c r="E215">
        <v>587403</v>
      </c>
      <c r="F215">
        <v>152993</v>
      </c>
      <c r="G215">
        <v>195739</v>
      </c>
      <c r="H215">
        <v>35202</v>
      </c>
      <c r="I215">
        <v>33252</v>
      </c>
      <c r="J215">
        <v>5100</v>
      </c>
    </row>
    <row r="216" spans="1:10">
      <c r="A216" t="s">
        <v>27</v>
      </c>
      <c r="B216">
        <v>21</v>
      </c>
      <c r="C216">
        <v>25</v>
      </c>
      <c r="F216">
        <v>118000</v>
      </c>
      <c r="G216">
        <v>11309</v>
      </c>
    </row>
    <row r="217" spans="1:10">
      <c r="A217" t="s">
        <v>27</v>
      </c>
      <c r="B217">
        <v>21</v>
      </c>
      <c r="C217">
        <v>26</v>
      </c>
      <c r="E217">
        <v>5683547</v>
      </c>
      <c r="F217">
        <v>126854</v>
      </c>
      <c r="G217">
        <v>1709424</v>
      </c>
      <c r="H217">
        <v>30600</v>
      </c>
      <c r="I217">
        <v>214570</v>
      </c>
      <c r="J217">
        <v>4488</v>
      </c>
    </row>
    <row r="218" spans="1:10">
      <c r="A218" t="s">
        <v>27</v>
      </c>
      <c r="B218">
        <v>21</v>
      </c>
      <c r="C218">
        <v>27</v>
      </c>
      <c r="D218">
        <v>102</v>
      </c>
      <c r="E218">
        <v>10362301</v>
      </c>
      <c r="F218">
        <v>6696296</v>
      </c>
      <c r="G218">
        <v>7337112</v>
      </c>
      <c r="H218">
        <v>36252</v>
      </c>
      <c r="I218">
        <v>2374222</v>
      </c>
      <c r="J218">
        <v>26520</v>
      </c>
    </row>
    <row r="219" spans="1:10">
      <c r="A219" t="s">
        <v>27</v>
      </c>
      <c r="B219">
        <v>21</v>
      </c>
      <c r="C219">
        <v>31</v>
      </c>
      <c r="H219">
        <v>510</v>
      </c>
      <c r="I219">
        <v>47587</v>
      </c>
    </row>
    <row r="220" spans="1:10">
      <c r="A220" t="s">
        <v>27</v>
      </c>
      <c r="B220">
        <v>21</v>
      </c>
      <c r="C220">
        <v>33</v>
      </c>
      <c r="H220">
        <v>65280</v>
      </c>
    </row>
    <row r="221" spans="1:10">
      <c r="A221" t="s">
        <v>27</v>
      </c>
      <c r="B221">
        <v>21</v>
      </c>
      <c r="C221">
        <v>34</v>
      </c>
      <c r="E221">
        <v>224610</v>
      </c>
      <c r="G221">
        <v>36533</v>
      </c>
    </row>
    <row r="222" spans="1:10">
      <c r="A222" t="s">
        <v>27</v>
      </c>
      <c r="B222">
        <v>24</v>
      </c>
      <c r="C222">
        <v>27</v>
      </c>
      <c r="F222">
        <v>1575984</v>
      </c>
      <c r="G222">
        <v>994262</v>
      </c>
    </row>
    <row r="223" spans="1:10">
      <c r="A223" t="s">
        <v>457</v>
      </c>
      <c r="B223">
        <v>21</v>
      </c>
      <c r="C223">
        <v>21</v>
      </c>
      <c r="E223">
        <v>234450</v>
      </c>
      <c r="F223">
        <v>80550</v>
      </c>
      <c r="G223">
        <v>80534</v>
      </c>
      <c r="H223">
        <v>500</v>
      </c>
      <c r="I223">
        <v>7500</v>
      </c>
      <c r="J223">
        <v>8500</v>
      </c>
    </row>
    <row r="224" spans="1:10">
      <c r="A224" t="s">
        <v>457</v>
      </c>
      <c r="B224">
        <v>21</v>
      </c>
      <c r="C224">
        <v>26</v>
      </c>
      <c r="E224">
        <v>1777437</v>
      </c>
      <c r="F224">
        <v>113321</v>
      </c>
      <c r="G224">
        <v>622284</v>
      </c>
      <c r="H224">
        <v>27600</v>
      </c>
      <c r="I224">
        <v>76100</v>
      </c>
      <c r="J224">
        <v>1500</v>
      </c>
    </row>
    <row r="225" spans="1:10">
      <c r="A225" t="s">
        <v>457</v>
      </c>
      <c r="B225">
        <v>21</v>
      </c>
      <c r="C225">
        <v>27</v>
      </c>
      <c r="E225">
        <v>2570702</v>
      </c>
      <c r="F225">
        <v>1966963</v>
      </c>
      <c r="G225">
        <v>1876666</v>
      </c>
      <c r="H225">
        <v>24815</v>
      </c>
      <c r="I225">
        <v>111700</v>
      </c>
      <c r="J225">
        <v>200</v>
      </c>
    </row>
    <row r="226" spans="1:10">
      <c r="A226" t="s">
        <v>457</v>
      </c>
      <c r="B226">
        <v>21</v>
      </c>
      <c r="C226">
        <v>29</v>
      </c>
      <c r="I226">
        <v>525000</v>
      </c>
    </row>
    <row r="227" spans="1:10">
      <c r="A227" t="s">
        <v>457</v>
      </c>
      <c r="B227">
        <v>21</v>
      </c>
      <c r="C227">
        <v>31</v>
      </c>
      <c r="E227">
        <v>125636</v>
      </c>
      <c r="G227">
        <v>21759</v>
      </c>
      <c r="I227">
        <v>10000</v>
      </c>
      <c r="J227">
        <v>850</v>
      </c>
    </row>
    <row r="228" spans="1:10">
      <c r="A228" t="s">
        <v>457</v>
      </c>
      <c r="B228">
        <v>21</v>
      </c>
      <c r="C228">
        <v>32</v>
      </c>
      <c r="H228">
        <v>5500</v>
      </c>
    </row>
    <row r="229" spans="1:10">
      <c r="A229" t="s">
        <v>457</v>
      </c>
      <c r="B229">
        <v>21</v>
      </c>
      <c r="C229">
        <v>33</v>
      </c>
      <c r="H229">
        <v>6000</v>
      </c>
      <c r="I229">
        <v>3200</v>
      </c>
    </row>
    <row r="230" spans="1:10">
      <c r="A230" t="s">
        <v>457</v>
      </c>
      <c r="B230">
        <v>21</v>
      </c>
      <c r="C230">
        <v>34</v>
      </c>
      <c r="E230">
        <v>46435</v>
      </c>
      <c r="G230">
        <v>7589</v>
      </c>
    </row>
    <row r="231" spans="1:10">
      <c r="A231" t="s">
        <v>457</v>
      </c>
      <c r="B231">
        <v>24</v>
      </c>
      <c r="C231">
        <v>27</v>
      </c>
      <c r="E231">
        <v>537566</v>
      </c>
      <c r="G231">
        <v>175444</v>
      </c>
    </row>
    <row r="232" spans="1:10">
      <c r="A232" t="s">
        <v>699</v>
      </c>
      <c r="B232">
        <v>21</v>
      </c>
      <c r="C232">
        <v>24</v>
      </c>
      <c r="E232">
        <v>9225</v>
      </c>
      <c r="G232">
        <v>3690</v>
      </c>
    </row>
    <row r="233" spans="1:10">
      <c r="A233" t="s">
        <v>699</v>
      </c>
      <c r="B233">
        <v>21</v>
      </c>
      <c r="C233">
        <v>26</v>
      </c>
      <c r="H233">
        <v>2562</v>
      </c>
      <c r="I233">
        <v>79878</v>
      </c>
    </row>
    <row r="234" spans="1:10">
      <c r="A234" t="s">
        <v>699</v>
      </c>
      <c r="B234">
        <v>21</v>
      </c>
      <c r="C234">
        <v>27</v>
      </c>
      <c r="E234">
        <v>60030</v>
      </c>
      <c r="F234">
        <v>140000</v>
      </c>
      <c r="G234">
        <v>80012</v>
      </c>
    </row>
    <row r="235" spans="1:10">
      <c r="A235" t="s">
        <v>699</v>
      </c>
      <c r="B235">
        <v>24</v>
      </c>
      <c r="C235">
        <v>27</v>
      </c>
      <c r="E235">
        <v>4333</v>
      </c>
      <c r="G235">
        <v>1733</v>
      </c>
    </row>
    <row r="236" spans="1:10">
      <c r="A236" t="s">
        <v>129</v>
      </c>
      <c r="B236">
        <v>21</v>
      </c>
      <c r="C236">
        <v>29</v>
      </c>
      <c r="I236">
        <v>715372</v>
      </c>
    </row>
    <row r="237" spans="1:10">
      <c r="A237" t="s">
        <v>523</v>
      </c>
      <c r="B237">
        <v>21</v>
      </c>
      <c r="C237">
        <v>21</v>
      </c>
      <c r="E237">
        <v>43592</v>
      </c>
      <c r="G237">
        <v>16081</v>
      </c>
    </row>
    <row r="238" spans="1:10">
      <c r="A238" t="s">
        <v>523</v>
      </c>
      <c r="B238">
        <v>21</v>
      </c>
      <c r="C238">
        <v>27</v>
      </c>
      <c r="I238">
        <v>1792325</v>
      </c>
    </row>
    <row r="239" spans="1:10">
      <c r="A239" t="s">
        <v>273</v>
      </c>
      <c r="B239">
        <v>21</v>
      </c>
      <c r="C239">
        <v>21</v>
      </c>
      <c r="D239">
        <v>1200</v>
      </c>
      <c r="E239">
        <v>614209</v>
      </c>
      <c r="F239">
        <v>157073</v>
      </c>
      <c r="G239">
        <v>219127</v>
      </c>
      <c r="I239">
        <v>6650</v>
      </c>
      <c r="J239">
        <v>300</v>
      </c>
    </row>
    <row r="240" spans="1:10">
      <c r="A240" t="s">
        <v>273</v>
      </c>
      <c r="B240">
        <v>21</v>
      </c>
      <c r="C240">
        <v>23</v>
      </c>
      <c r="F240">
        <v>996</v>
      </c>
      <c r="G240">
        <v>179</v>
      </c>
    </row>
    <row r="241" spans="1:10">
      <c r="A241" t="s">
        <v>273</v>
      </c>
      <c r="B241">
        <v>21</v>
      </c>
      <c r="C241">
        <v>26</v>
      </c>
      <c r="E241">
        <v>2517328</v>
      </c>
      <c r="F241">
        <v>201330</v>
      </c>
      <c r="G241">
        <v>909976</v>
      </c>
      <c r="H241">
        <v>7200</v>
      </c>
      <c r="I241">
        <v>20250</v>
      </c>
      <c r="J241">
        <v>1100</v>
      </c>
    </row>
    <row r="242" spans="1:10">
      <c r="A242" t="s">
        <v>273</v>
      </c>
      <c r="B242">
        <v>21</v>
      </c>
      <c r="C242">
        <v>27</v>
      </c>
      <c r="D242">
        <v>975</v>
      </c>
      <c r="E242">
        <v>4448939</v>
      </c>
      <c r="F242">
        <v>3771666</v>
      </c>
      <c r="G242">
        <v>3952776</v>
      </c>
      <c r="H242">
        <v>5289</v>
      </c>
      <c r="I242">
        <v>1480081</v>
      </c>
    </row>
    <row r="243" spans="1:10">
      <c r="A243" t="s">
        <v>273</v>
      </c>
      <c r="B243">
        <v>21</v>
      </c>
      <c r="C243">
        <v>29</v>
      </c>
      <c r="I243">
        <v>1308254</v>
      </c>
    </row>
    <row r="244" spans="1:10">
      <c r="A244" t="s">
        <v>273</v>
      </c>
      <c r="B244">
        <v>21</v>
      </c>
      <c r="C244">
        <v>31</v>
      </c>
      <c r="E244">
        <v>50714</v>
      </c>
      <c r="G244">
        <v>5880</v>
      </c>
      <c r="H244">
        <v>500</v>
      </c>
      <c r="I244">
        <v>3000</v>
      </c>
      <c r="J244">
        <v>1000</v>
      </c>
    </row>
    <row r="245" spans="1:10">
      <c r="A245" t="s">
        <v>273</v>
      </c>
      <c r="B245">
        <v>21</v>
      </c>
      <c r="C245">
        <v>32</v>
      </c>
      <c r="H245">
        <v>7500</v>
      </c>
    </row>
    <row r="246" spans="1:10">
      <c r="A246" t="s">
        <v>273</v>
      </c>
      <c r="B246">
        <v>21</v>
      </c>
      <c r="C246">
        <v>34</v>
      </c>
      <c r="E246">
        <v>107277</v>
      </c>
      <c r="G246">
        <v>8705</v>
      </c>
    </row>
    <row r="247" spans="1:10">
      <c r="A247" t="s">
        <v>273</v>
      </c>
      <c r="B247">
        <v>24</v>
      </c>
      <c r="C247">
        <v>27</v>
      </c>
      <c r="E247">
        <v>1205183</v>
      </c>
      <c r="F247">
        <v>44766</v>
      </c>
      <c r="G247">
        <v>414491</v>
      </c>
    </row>
    <row r="248" spans="1:10">
      <c r="A248" t="s">
        <v>273</v>
      </c>
      <c r="B248">
        <v>24</v>
      </c>
      <c r="C248">
        <v>31</v>
      </c>
      <c r="E248">
        <v>19837</v>
      </c>
      <c r="G248">
        <v>1609</v>
      </c>
    </row>
    <row r="249" spans="1:10">
      <c r="A249" t="s">
        <v>569</v>
      </c>
      <c r="B249">
        <v>21</v>
      </c>
      <c r="C249">
        <v>29</v>
      </c>
      <c r="I249">
        <v>1259520</v>
      </c>
    </row>
    <row r="250" spans="1:10">
      <c r="A250" t="s">
        <v>67</v>
      </c>
      <c r="B250">
        <v>21</v>
      </c>
      <c r="C250">
        <v>21</v>
      </c>
      <c r="E250">
        <v>142018</v>
      </c>
      <c r="F250">
        <v>49392</v>
      </c>
      <c r="G250">
        <v>65842</v>
      </c>
    </row>
    <row r="251" spans="1:10">
      <c r="A251" t="s">
        <v>67</v>
      </c>
      <c r="B251">
        <v>21</v>
      </c>
      <c r="C251">
        <v>26</v>
      </c>
      <c r="E251">
        <v>358757</v>
      </c>
      <c r="F251">
        <v>33011</v>
      </c>
      <c r="G251">
        <v>131544</v>
      </c>
      <c r="I251">
        <v>547554</v>
      </c>
    </row>
    <row r="252" spans="1:10">
      <c r="A252" t="s">
        <v>67</v>
      </c>
      <c r="B252">
        <v>21</v>
      </c>
      <c r="C252">
        <v>27</v>
      </c>
      <c r="E252">
        <v>665741</v>
      </c>
      <c r="F252">
        <v>663573</v>
      </c>
      <c r="G252">
        <v>700179</v>
      </c>
      <c r="H252">
        <v>11000</v>
      </c>
      <c r="I252">
        <v>396278</v>
      </c>
    </row>
    <row r="253" spans="1:10">
      <c r="A253" t="s">
        <v>67</v>
      </c>
      <c r="B253">
        <v>21</v>
      </c>
      <c r="C253">
        <v>34</v>
      </c>
      <c r="E253">
        <v>18073</v>
      </c>
      <c r="G253">
        <v>3101</v>
      </c>
    </row>
    <row r="254" spans="1:10">
      <c r="A254" t="s">
        <v>67</v>
      </c>
      <c r="B254">
        <v>24</v>
      </c>
      <c r="C254">
        <v>26</v>
      </c>
      <c r="I254">
        <v>102446</v>
      </c>
    </row>
    <row r="255" spans="1:10">
      <c r="A255" t="s">
        <v>67</v>
      </c>
      <c r="B255">
        <v>24</v>
      </c>
      <c r="C255">
        <v>27</v>
      </c>
      <c r="E255">
        <v>125512</v>
      </c>
      <c r="F255">
        <v>12521</v>
      </c>
      <c r="G255">
        <v>43577</v>
      </c>
    </row>
    <row r="256" spans="1:10">
      <c r="A256" t="s">
        <v>233</v>
      </c>
      <c r="B256">
        <v>21</v>
      </c>
      <c r="C256">
        <v>29</v>
      </c>
      <c r="I256">
        <v>2720472</v>
      </c>
    </row>
    <row r="257" spans="1:10">
      <c r="A257" t="s">
        <v>637</v>
      </c>
      <c r="B257">
        <v>21</v>
      </c>
      <c r="C257">
        <v>21</v>
      </c>
      <c r="E257">
        <v>113022</v>
      </c>
      <c r="F257">
        <v>94444</v>
      </c>
      <c r="G257">
        <v>66205</v>
      </c>
      <c r="H257">
        <v>4000</v>
      </c>
      <c r="I257">
        <v>7500</v>
      </c>
      <c r="J257">
        <v>6000</v>
      </c>
    </row>
    <row r="258" spans="1:10">
      <c r="A258" t="s">
        <v>637</v>
      </c>
      <c r="B258">
        <v>21</v>
      </c>
      <c r="C258">
        <v>26</v>
      </c>
      <c r="E258">
        <v>795463</v>
      </c>
      <c r="F258">
        <v>19622</v>
      </c>
      <c r="G258">
        <v>262377</v>
      </c>
      <c r="H258">
        <v>9100</v>
      </c>
      <c r="I258">
        <v>175100</v>
      </c>
      <c r="J258">
        <v>3300</v>
      </c>
    </row>
    <row r="259" spans="1:10">
      <c r="A259" t="s">
        <v>637</v>
      </c>
      <c r="B259">
        <v>21</v>
      </c>
      <c r="C259">
        <v>27</v>
      </c>
      <c r="D259">
        <v>2000</v>
      </c>
      <c r="E259">
        <v>1346168</v>
      </c>
      <c r="F259">
        <v>2127392</v>
      </c>
      <c r="G259">
        <v>1792550</v>
      </c>
      <c r="H259">
        <v>35200</v>
      </c>
      <c r="I259">
        <v>964100</v>
      </c>
      <c r="J259">
        <v>500</v>
      </c>
    </row>
    <row r="260" spans="1:10">
      <c r="A260" t="s">
        <v>637</v>
      </c>
      <c r="B260">
        <v>21</v>
      </c>
      <c r="C260">
        <v>29</v>
      </c>
      <c r="I260">
        <v>15000</v>
      </c>
    </row>
    <row r="261" spans="1:10">
      <c r="A261" t="s">
        <v>637</v>
      </c>
      <c r="B261">
        <v>21</v>
      </c>
      <c r="C261">
        <v>31</v>
      </c>
      <c r="E261">
        <v>85850</v>
      </c>
      <c r="G261">
        <v>13481</v>
      </c>
      <c r="I261">
        <v>3000</v>
      </c>
    </row>
    <row r="262" spans="1:10">
      <c r="A262" t="s">
        <v>637</v>
      </c>
      <c r="B262">
        <v>21</v>
      </c>
      <c r="C262">
        <v>32</v>
      </c>
      <c r="H262">
        <v>5000</v>
      </c>
    </row>
    <row r="263" spans="1:10">
      <c r="A263" t="s">
        <v>637</v>
      </c>
      <c r="B263">
        <v>21</v>
      </c>
      <c r="C263">
        <v>33</v>
      </c>
      <c r="H263">
        <v>5000</v>
      </c>
      <c r="I263">
        <v>14000</v>
      </c>
    </row>
    <row r="264" spans="1:10">
      <c r="A264" t="s">
        <v>637</v>
      </c>
      <c r="B264">
        <v>21</v>
      </c>
      <c r="C264">
        <v>34</v>
      </c>
      <c r="E264">
        <v>16707</v>
      </c>
      <c r="G264">
        <v>5794</v>
      </c>
    </row>
    <row r="265" spans="1:10">
      <c r="A265" t="s">
        <v>637</v>
      </c>
      <c r="B265">
        <v>24</v>
      </c>
      <c r="C265">
        <v>27</v>
      </c>
      <c r="E265">
        <v>236676</v>
      </c>
      <c r="F265">
        <v>97846</v>
      </c>
      <c r="G265">
        <v>137257</v>
      </c>
    </row>
    <row r="266" spans="1:10">
      <c r="A266" t="s">
        <v>237</v>
      </c>
      <c r="B266">
        <v>21</v>
      </c>
      <c r="C266">
        <v>21</v>
      </c>
      <c r="D266">
        <v>1650</v>
      </c>
      <c r="E266">
        <v>347710</v>
      </c>
      <c r="F266">
        <v>135330</v>
      </c>
      <c r="G266">
        <v>136243</v>
      </c>
      <c r="H266">
        <v>3500</v>
      </c>
      <c r="I266">
        <v>15710</v>
      </c>
      <c r="J266">
        <v>3000</v>
      </c>
    </row>
    <row r="267" spans="1:10">
      <c r="A267" t="s">
        <v>237</v>
      </c>
      <c r="B267">
        <v>21</v>
      </c>
      <c r="C267">
        <v>25</v>
      </c>
      <c r="F267">
        <v>17720</v>
      </c>
      <c r="G267">
        <v>12068</v>
      </c>
    </row>
    <row r="268" spans="1:10">
      <c r="A268" t="s">
        <v>237</v>
      </c>
      <c r="B268">
        <v>21</v>
      </c>
      <c r="C268">
        <v>26</v>
      </c>
      <c r="E268">
        <v>1170385</v>
      </c>
      <c r="F268">
        <v>131696</v>
      </c>
      <c r="G268">
        <v>482646</v>
      </c>
      <c r="H268">
        <v>23000</v>
      </c>
      <c r="I268">
        <v>1725155</v>
      </c>
      <c r="J268">
        <v>11000</v>
      </c>
    </row>
    <row r="269" spans="1:10">
      <c r="A269" t="s">
        <v>237</v>
      </c>
      <c r="B269">
        <v>21</v>
      </c>
      <c r="C269">
        <v>27</v>
      </c>
      <c r="D269">
        <v>1700</v>
      </c>
      <c r="E269">
        <v>2528401</v>
      </c>
      <c r="F269">
        <v>2546716</v>
      </c>
      <c r="G269">
        <v>2608219</v>
      </c>
      <c r="H269">
        <v>20400</v>
      </c>
      <c r="I269">
        <v>1854000</v>
      </c>
      <c r="J269">
        <v>1500</v>
      </c>
    </row>
    <row r="270" spans="1:10">
      <c r="A270" t="s">
        <v>237</v>
      </c>
      <c r="B270">
        <v>21</v>
      </c>
      <c r="C270">
        <v>31</v>
      </c>
      <c r="E270">
        <v>5000</v>
      </c>
      <c r="F270">
        <v>4000</v>
      </c>
      <c r="G270">
        <v>1281</v>
      </c>
      <c r="H270">
        <v>1000</v>
      </c>
      <c r="I270">
        <v>5800</v>
      </c>
      <c r="J270">
        <v>1000</v>
      </c>
    </row>
    <row r="271" spans="1:10">
      <c r="A271" t="s">
        <v>237</v>
      </c>
      <c r="B271">
        <v>21</v>
      </c>
      <c r="C271">
        <v>32</v>
      </c>
      <c r="H271">
        <v>500</v>
      </c>
    </row>
    <row r="272" spans="1:10">
      <c r="A272" t="s">
        <v>237</v>
      </c>
      <c r="B272">
        <v>21</v>
      </c>
      <c r="C272">
        <v>33</v>
      </c>
      <c r="H272">
        <v>5000</v>
      </c>
      <c r="I272">
        <v>25000</v>
      </c>
    </row>
    <row r="273" spans="1:10">
      <c r="A273" t="s">
        <v>237</v>
      </c>
      <c r="B273">
        <v>21</v>
      </c>
      <c r="C273">
        <v>34</v>
      </c>
      <c r="E273">
        <v>68755</v>
      </c>
      <c r="G273">
        <v>23243</v>
      </c>
    </row>
    <row r="274" spans="1:10">
      <c r="A274" t="s">
        <v>237</v>
      </c>
      <c r="B274">
        <v>24</v>
      </c>
      <c r="C274">
        <v>27</v>
      </c>
      <c r="E274">
        <v>744408</v>
      </c>
      <c r="F274">
        <v>99896</v>
      </c>
      <c r="G274">
        <v>312058</v>
      </c>
    </row>
    <row r="275" spans="1:10">
      <c r="A275" t="s">
        <v>389</v>
      </c>
      <c r="B275">
        <v>21</v>
      </c>
      <c r="C275">
        <v>29</v>
      </c>
      <c r="I275">
        <v>241204</v>
      </c>
    </row>
    <row r="276" spans="1:10">
      <c r="A276" t="s">
        <v>51</v>
      </c>
      <c r="B276">
        <v>21</v>
      </c>
      <c r="C276">
        <v>21</v>
      </c>
      <c r="F276">
        <v>72899</v>
      </c>
      <c r="G276">
        <v>29927</v>
      </c>
    </row>
    <row r="277" spans="1:10">
      <c r="A277" t="s">
        <v>51</v>
      </c>
      <c r="B277">
        <v>21</v>
      </c>
      <c r="C277">
        <v>27</v>
      </c>
      <c r="E277">
        <v>232552</v>
      </c>
      <c r="F277">
        <v>215384</v>
      </c>
      <c r="G277">
        <v>223965</v>
      </c>
      <c r="H277">
        <v>156000</v>
      </c>
      <c r="I277">
        <v>300000</v>
      </c>
    </row>
    <row r="278" spans="1:10">
      <c r="A278" t="s">
        <v>51</v>
      </c>
      <c r="B278">
        <v>21</v>
      </c>
      <c r="C278">
        <v>31</v>
      </c>
      <c r="I278">
        <v>12746</v>
      </c>
    </row>
    <row r="279" spans="1:10">
      <c r="A279" t="s">
        <v>51</v>
      </c>
      <c r="B279">
        <v>21</v>
      </c>
      <c r="C279">
        <v>32</v>
      </c>
      <c r="I279">
        <v>7500</v>
      </c>
    </row>
    <row r="280" spans="1:10">
      <c r="A280" t="s">
        <v>51</v>
      </c>
      <c r="B280">
        <v>24</v>
      </c>
      <c r="C280">
        <v>27</v>
      </c>
      <c r="E280">
        <v>5488</v>
      </c>
      <c r="F280">
        <v>104372</v>
      </c>
      <c r="G280">
        <v>75332</v>
      </c>
    </row>
    <row r="281" spans="1:10">
      <c r="A281" t="s">
        <v>397</v>
      </c>
      <c r="B281">
        <v>21</v>
      </c>
      <c r="C281">
        <v>27</v>
      </c>
      <c r="I281">
        <v>43214</v>
      </c>
    </row>
    <row r="282" spans="1:10">
      <c r="A282" t="s">
        <v>397</v>
      </c>
      <c r="B282">
        <v>24</v>
      </c>
      <c r="C282">
        <v>31</v>
      </c>
      <c r="E282">
        <v>540</v>
      </c>
      <c r="G282">
        <v>98</v>
      </c>
      <c r="I282">
        <v>2602</v>
      </c>
      <c r="J282">
        <v>1334</v>
      </c>
    </row>
    <row r="283" spans="1:10">
      <c r="A283" t="s">
        <v>141</v>
      </c>
      <c r="B283">
        <v>21</v>
      </c>
      <c r="C283">
        <v>21</v>
      </c>
      <c r="E283">
        <v>349931</v>
      </c>
      <c r="F283">
        <v>50232</v>
      </c>
      <c r="G283">
        <v>108271</v>
      </c>
      <c r="H283">
        <v>246000</v>
      </c>
      <c r="I283">
        <v>3500</v>
      </c>
    </row>
    <row r="284" spans="1:10">
      <c r="A284" t="s">
        <v>141</v>
      </c>
      <c r="B284">
        <v>21</v>
      </c>
      <c r="C284">
        <v>25</v>
      </c>
      <c r="F284">
        <v>131182</v>
      </c>
      <c r="G284">
        <v>99650</v>
      </c>
    </row>
    <row r="285" spans="1:10">
      <c r="A285" t="s">
        <v>141</v>
      </c>
      <c r="B285">
        <v>21</v>
      </c>
      <c r="C285">
        <v>26</v>
      </c>
      <c r="E285">
        <v>2276698</v>
      </c>
      <c r="F285">
        <v>144563</v>
      </c>
      <c r="G285">
        <v>777054</v>
      </c>
      <c r="H285">
        <v>292500</v>
      </c>
      <c r="I285">
        <v>607500</v>
      </c>
    </row>
    <row r="286" spans="1:10">
      <c r="A286" t="s">
        <v>141</v>
      </c>
      <c r="B286">
        <v>21</v>
      </c>
      <c r="C286">
        <v>27</v>
      </c>
      <c r="E286">
        <v>2264535</v>
      </c>
      <c r="F286">
        <v>2204450</v>
      </c>
      <c r="G286">
        <v>2125336</v>
      </c>
      <c r="H286">
        <v>77500</v>
      </c>
    </row>
    <row r="287" spans="1:10">
      <c r="A287" t="s">
        <v>141</v>
      </c>
      <c r="B287">
        <v>21</v>
      </c>
      <c r="C287">
        <v>31</v>
      </c>
      <c r="I287">
        <v>30000</v>
      </c>
    </row>
    <row r="288" spans="1:10">
      <c r="A288" t="s">
        <v>141</v>
      </c>
      <c r="B288">
        <v>21</v>
      </c>
      <c r="C288">
        <v>34</v>
      </c>
      <c r="E288">
        <v>124694</v>
      </c>
      <c r="G288">
        <v>20364</v>
      </c>
    </row>
    <row r="289" spans="1:10">
      <c r="A289" t="s">
        <v>141</v>
      </c>
      <c r="B289">
        <v>24</v>
      </c>
      <c r="C289">
        <v>27</v>
      </c>
      <c r="F289">
        <v>816025</v>
      </c>
      <c r="G289">
        <v>484846</v>
      </c>
    </row>
    <row r="290" spans="1:10">
      <c r="A290" t="s">
        <v>287</v>
      </c>
      <c r="B290">
        <v>21</v>
      </c>
      <c r="C290">
        <v>27</v>
      </c>
      <c r="H290">
        <v>3500</v>
      </c>
      <c r="I290">
        <v>163278</v>
      </c>
    </row>
    <row r="291" spans="1:10">
      <c r="A291" t="s">
        <v>605</v>
      </c>
      <c r="B291">
        <v>21</v>
      </c>
      <c r="C291">
        <v>29</v>
      </c>
      <c r="I291">
        <v>589747</v>
      </c>
    </row>
    <row r="292" spans="1:10">
      <c r="A292" t="s">
        <v>235</v>
      </c>
      <c r="B292">
        <v>21</v>
      </c>
      <c r="C292">
        <v>27</v>
      </c>
      <c r="E292">
        <v>42724</v>
      </c>
      <c r="F292">
        <v>22420</v>
      </c>
      <c r="G292">
        <v>26935</v>
      </c>
      <c r="H292">
        <v>1000</v>
      </c>
    </row>
    <row r="293" spans="1:10">
      <c r="A293" t="s">
        <v>235</v>
      </c>
      <c r="B293">
        <v>24</v>
      </c>
      <c r="C293">
        <v>27</v>
      </c>
      <c r="I293">
        <v>10000</v>
      </c>
    </row>
    <row r="294" spans="1:10">
      <c r="A294" t="s">
        <v>235</v>
      </c>
      <c r="B294">
        <v>29</v>
      </c>
      <c r="C294">
        <v>26</v>
      </c>
      <c r="I294">
        <v>5000</v>
      </c>
    </row>
    <row r="295" spans="1:10">
      <c r="A295" t="s">
        <v>235</v>
      </c>
      <c r="B295">
        <v>29</v>
      </c>
      <c r="C295">
        <v>29</v>
      </c>
      <c r="I295">
        <v>1377</v>
      </c>
    </row>
    <row r="296" spans="1:10">
      <c r="A296" t="s">
        <v>119</v>
      </c>
      <c r="B296">
        <v>21</v>
      </c>
      <c r="C296">
        <v>26</v>
      </c>
      <c r="I296">
        <v>3000</v>
      </c>
    </row>
    <row r="297" spans="1:10">
      <c r="A297" t="s">
        <v>119</v>
      </c>
      <c r="B297">
        <v>21</v>
      </c>
      <c r="C297">
        <v>27</v>
      </c>
      <c r="E297">
        <v>97622</v>
      </c>
      <c r="F297">
        <v>159207</v>
      </c>
      <c r="G297">
        <v>143212</v>
      </c>
      <c r="H297">
        <v>500</v>
      </c>
      <c r="I297">
        <v>50200</v>
      </c>
      <c r="J297">
        <v>1000</v>
      </c>
    </row>
    <row r="298" spans="1:10">
      <c r="A298" t="s">
        <v>119</v>
      </c>
      <c r="B298">
        <v>24</v>
      </c>
      <c r="C298">
        <v>26</v>
      </c>
      <c r="I298">
        <v>56278</v>
      </c>
    </row>
    <row r="299" spans="1:10">
      <c r="A299" t="s">
        <v>387</v>
      </c>
      <c r="B299">
        <v>21</v>
      </c>
      <c r="C299">
        <v>26</v>
      </c>
      <c r="I299">
        <v>3000</v>
      </c>
    </row>
    <row r="300" spans="1:10">
      <c r="A300" t="s">
        <v>387</v>
      </c>
      <c r="B300">
        <v>21</v>
      </c>
      <c r="C300">
        <v>27</v>
      </c>
      <c r="E300">
        <v>48974</v>
      </c>
      <c r="G300">
        <v>23019</v>
      </c>
      <c r="H300">
        <v>10000</v>
      </c>
    </row>
    <row r="301" spans="1:10">
      <c r="A301" t="s">
        <v>387</v>
      </c>
      <c r="B301">
        <v>21</v>
      </c>
      <c r="C301">
        <v>33</v>
      </c>
      <c r="H301">
        <v>5000</v>
      </c>
    </row>
    <row r="302" spans="1:10">
      <c r="A302" t="s">
        <v>387</v>
      </c>
      <c r="B302">
        <v>24</v>
      </c>
      <c r="C302">
        <v>26</v>
      </c>
      <c r="I302">
        <v>13000</v>
      </c>
    </row>
    <row r="303" spans="1:10">
      <c r="A303" t="s">
        <v>223</v>
      </c>
      <c r="B303">
        <v>21</v>
      </c>
      <c r="C303">
        <v>26</v>
      </c>
      <c r="I303">
        <v>16645</v>
      </c>
    </row>
    <row r="304" spans="1:10">
      <c r="A304" t="s">
        <v>223</v>
      </c>
      <c r="B304">
        <v>21</v>
      </c>
      <c r="C304">
        <v>27</v>
      </c>
      <c r="E304">
        <v>134980</v>
      </c>
      <c r="F304">
        <v>207360</v>
      </c>
      <c r="G304">
        <v>160830</v>
      </c>
      <c r="H304">
        <v>6100</v>
      </c>
    </row>
    <row r="305" spans="1:11">
      <c r="A305" t="s">
        <v>223</v>
      </c>
      <c r="B305">
        <v>24</v>
      </c>
      <c r="C305">
        <v>26</v>
      </c>
      <c r="I305">
        <v>56760</v>
      </c>
    </row>
    <row r="306" spans="1:11">
      <c r="A306" t="s">
        <v>223</v>
      </c>
      <c r="B306">
        <v>29</v>
      </c>
      <c r="C306">
        <v>26</v>
      </c>
      <c r="I306">
        <v>20000</v>
      </c>
    </row>
    <row r="307" spans="1:11">
      <c r="A307" t="s">
        <v>453</v>
      </c>
      <c r="B307">
        <v>21</v>
      </c>
      <c r="C307">
        <v>23</v>
      </c>
      <c r="E307">
        <v>42275</v>
      </c>
      <c r="G307">
        <v>29960</v>
      </c>
      <c r="I307">
        <v>15000</v>
      </c>
    </row>
    <row r="308" spans="1:11">
      <c r="A308" t="s">
        <v>453</v>
      </c>
      <c r="B308">
        <v>21</v>
      </c>
      <c r="C308">
        <v>26</v>
      </c>
      <c r="I308">
        <v>220000</v>
      </c>
      <c r="K308">
        <v>60000</v>
      </c>
    </row>
    <row r="309" spans="1:11">
      <c r="A309" t="s">
        <v>453</v>
      </c>
      <c r="B309">
        <v>21</v>
      </c>
      <c r="C309">
        <v>27</v>
      </c>
      <c r="E309">
        <v>252834</v>
      </c>
      <c r="F309">
        <v>124810</v>
      </c>
      <c r="G309">
        <v>153745</v>
      </c>
      <c r="H309">
        <v>25000</v>
      </c>
      <c r="I309">
        <v>169970</v>
      </c>
    </row>
    <row r="310" spans="1:11">
      <c r="A310" t="s">
        <v>453</v>
      </c>
      <c r="B310">
        <v>21</v>
      </c>
      <c r="C310">
        <v>32</v>
      </c>
      <c r="I310">
        <v>10000</v>
      </c>
    </row>
    <row r="311" spans="1:11">
      <c r="A311" t="s">
        <v>453</v>
      </c>
      <c r="B311">
        <v>21</v>
      </c>
      <c r="C311">
        <v>33</v>
      </c>
      <c r="I311">
        <v>20000</v>
      </c>
    </row>
    <row r="312" spans="1:11">
      <c r="A312" t="s">
        <v>453</v>
      </c>
      <c r="B312">
        <v>21</v>
      </c>
      <c r="C312">
        <v>34</v>
      </c>
      <c r="E312">
        <v>1375</v>
      </c>
      <c r="G312">
        <v>40</v>
      </c>
      <c r="I312">
        <v>3000</v>
      </c>
    </row>
    <row r="313" spans="1:11">
      <c r="A313" t="s">
        <v>453</v>
      </c>
      <c r="B313">
        <v>24</v>
      </c>
      <c r="C313">
        <v>27</v>
      </c>
      <c r="I313">
        <v>98168</v>
      </c>
    </row>
    <row r="314" spans="1:11">
      <c r="A314" t="s">
        <v>401</v>
      </c>
      <c r="B314">
        <v>21</v>
      </c>
      <c r="C314">
        <v>21</v>
      </c>
      <c r="E314">
        <v>691718</v>
      </c>
      <c r="F314">
        <v>298643</v>
      </c>
      <c r="G314">
        <v>336959</v>
      </c>
      <c r="H314">
        <v>34854</v>
      </c>
      <c r="I314">
        <v>8000</v>
      </c>
      <c r="J314">
        <v>4000</v>
      </c>
    </row>
    <row r="315" spans="1:11">
      <c r="A315" t="s">
        <v>401</v>
      </c>
      <c r="B315">
        <v>21</v>
      </c>
      <c r="C315">
        <v>25</v>
      </c>
      <c r="F315">
        <v>1173485</v>
      </c>
      <c r="G315">
        <v>729687</v>
      </c>
    </row>
    <row r="316" spans="1:11">
      <c r="A316" t="s">
        <v>401</v>
      </c>
      <c r="B316">
        <v>21</v>
      </c>
      <c r="C316">
        <v>26</v>
      </c>
      <c r="E316">
        <v>3485906</v>
      </c>
      <c r="F316">
        <v>551127</v>
      </c>
      <c r="G316">
        <v>1452930</v>
      </c>
      <c r="H316">
        <v>72800</v>
      </c>
      <c r="I316">
        <v>619851</v>
      </c>
      <c r="J316">
        <v>19400</v>
      </c>
    </row>
    <row r="317" spans="1:11">
      <c r="A317" t="s">
        <v>401</v>
      </c>
      <c r="B317">
        <v>21</v>
      </c>
      <c r="C317">
        <v>27</v>
      </c>
      <c r="E317">
        <v>12668658</v>
      </c>
      <c r="F317">
        <v>6784349</v>
      </c>
      <c r="G317">
        <v>8902351</v>
      </c>
      <c r="H317">
        <v>1335634</v>
      </c>
      <c r="I317">
        <v>310461</v>
      </c>
      <c r="J317">
        <v>17000</v>
      </c>
    </row>
    <row r="318" spans="1:11">
      <c r="A318" t="s">
        <v>401</v>
      </c>
      <c r="B318">
        <v>21</v>
      </c>
      <c r="C318">
        <v>31</v>
      </c>
      <c r="E318">
        <v>53628</v>
      </c>
      <c r="F318">
        <v>26814</v>
      </c>
      <c r="I318">
        <v>10000</v>
      </c>
      <c r="J318">
        <v>5000</v>
      </c>
    </row>
    <row r="319" spans="1:11">
      <c r="A319" t="s">
        <v>401</v>
      </c>
      <c r="B319">
        <v>24</v>
      </c>
      <c r="C319">
        <v>27</v>
      </c>
      <c r="E319">
        <v>1599241</v>
      </c>
      <c r="F319">
        <v>1499185</v>
      </c>
      <c r="G319">
        <v>1524939</v>
      </c>
    </row>
    <row r="320" spans="1:11">
      <c r="A320" t="s">
        <v>347</v>
      </c>
      <c r="B320">
        <v>21</v>
      </c>
      <c r="C320">
        <v>21</v>
      </c>
      <c r="E320">
        <v>166291</v>
      </c>
      <c r="F320">
        <v>49421</v>
      </c>
      <c r="G320">
        <v>66086</v>
      </c>
      <c r="H320">
        <v>2002</v>
      </c>
      <c r="I320">
        <v>600</v>
      </c>
      <c r="J320">
        <v>3000</v>
      </c>
      <c r="K320">
        <v>7000</v>
      </c>
    </row>
    <row r="321" spans="1:11">
      <c r="A321" t="s">
        <v>347</v>
      </c>
      <c r="B321">
        <v>21</v>
      </c>
      <c r="C321">
        <v>26</v>
      </c>
      <c r="E321">
        <v>478987</v>
      </c>
      <c r="F321">
        <v>99246</v>
      </c>
      <c r="G321">
        <v>216655</v>
      </c>
      <c r="H321">
        <v>7500</v>
      </c>
      <c r="I321">
        <v>820608</v>
      </c>
      <c r="J321">
        <v>1500</v>
      </c>
      <c r="K321">
        <v>4000</v>
      </c>
    </row>
    <row r="322" spans="1:11">
      <c r="A322" t="s">
        <v>347</v>
      </c>
      <c r="B322">
        <v>21</v>
      </c>
      <c r="C322">
        <v>27</v>
      </c>
      <c r="D322">
        <v>300</v>
      </c>
      <c r="E322">
        <v>1118291</v>
      </c>
      <c r="F322">
        <v>356904</v>
      </c>
      <c r="G322">
        <v>599134</v>
      </c>
      <c r="H322">
        <v>17483</v>
      </c>
      <c r="I322">
        <v>11100</v>
      </c>
      <c r="J322">
        <v>1000</v>
      </c>
      <c r="K322">
        <v>3000</v>
      </c>
    </row>
    <row r="323" spans="1:11">
      <c r="A323" t="s">
        <v>347</v>
      </c>
      <c r="B323">
        <v>21</v>
      </c>
      <c r="C323">
        <v>31</v>
      </c>
      <c r="E323">
        <v>1495</v>
      </c>
      <c r="F323">
        <v>1355</v>
      </c>
      <c r="G323">
        <v>486</v>
      </c>
      <c r="H323">
        <v>500</v>
      </c>
      <c r="I323">
        <v>4000</v>
      </c>
      <c r="J323">
        <v>1200</v>
      </c>
    </row>
    <row r="324" spans="1:11">
      <c r="A324" t="s">
        <v>347</v>
      </c>
      <c r="B324">
        <v>21</v>
      </c>
      <c r="C324">
        <v>32</v>
      </c>
      <c r="K324">
        <v>8000</v>
      </c>
    </row>
    <row r="325" spans="1:11">
      <c r="A325" t="s">
        <v>347</v>
      </c>
      <c r="B325">
        <v>21</v>
      </c>
      <c r="C325">
        <v>33</v>
      </c>
      <c r="H325">
        <v>191100</v>
      </c>
      <c r="I325">
        <v>9900</v>
      </c>
    </row>
    <row r="326" spans="1:11">
      <c r="A326" t="s">
        <v>347</v>
      </c>
      <c r="B326">
        <v>24</v>
      </c>
      <c r="C326">
        <v>27</v>
      </c>
      <c r="F326">
        <v>272480</v>
      </c>
      <c r="G326">
        <v>183340</v>
      </c>
      <c r="I326">
        <v>1138</v>
      </c>
    </row>
    <row r="327" spans="1:11">
      <c r="A327" t="s">
        <v>521</v>
      </c>
      <c r="B327">
        <v>21</v>
      </c>
      <c r="C327">
        <v>27</v>
      </c>
      <c r="F327">
        <v>2214</v>
      </c>
      <c r="G327">
        <v>254</v>
      </c>
      <c r="I327">
        <v>29000</v>
      </c>
    </row>
    <row r="328" spans="1:11">
      <c r="A328" t="s">
        <v>231</v>
      </c>
      <c r="B328">
        <v>21</v>
      </c>
      <c r="C328">
        <v>27</v>
      </c>
      <c r="F328">
        <v>27811</v>
      </c>
      <c r="H328">
        <v>333</v>
      </c>
      <c r="I328">
        <v>277</v>
      </c>
      <c r="J328">
        <v>555</v>
      </c>
    </row>
    <row r="329" spans="1:11">
      <c r="A329" t="s">
        <v>231</v>
      </c>
      <c r="B329">
        <v>21</v>
      </c>
      <c r="C329">
        <v>29</v>
      </c>
      <c r="I329">
        <v>108722</v>
      </c>
    </row>
    <row r="330" spans="1:11">
      <c r="A330" t="s">
        <v>415</v>
      </c>
      <c r="B330">
        <v>21</v>
      </c>
      <c r="C330">
        <v>21</v>
      </c>
      <c r="E330">
        <v>30823</v>
      </c>
      <c r="G330">
        <v>9421</v>
      </c>
    </row>
    <row r="331" spans="1:11">
      <c r="A331" t="s">
        <v>415</v>
      </c>
      <c r="B331">
        <v>21</v>
      </c>
      <c r="C331">
        <v>26</v>
      </c>
      <c r="E331">
        <v>23158</v>
      </c>
      <c r="G331">
        <v>3652</v>
      </c>
      <c r="H331">
        <v>1250</v>
      </c>
      <c r="I331">
        <v>125000</v>
      </c>
    </row>
    <row r="332" spans="1:11">
      <c r="A332" t="s">
        <v>415</v>
      </c>
      <c r="B332">
        <v>21</v>
      </c>
      <c r="C332">
        <v>27</v>
      </c>
      <c r="E332">
        <v>158378</v>
      </c>
      <c r="F332">
        <v>213663</v>
      </c>
      <c r="G332">
        <v>189953</v>
      </c>
      <c r="H332">
        <v>10000</v>
      </c>
      <c r="I332">
        <v>3150</v>
      </c>
      <c r="J332">
        <v>1000</v>
      </c>
      <c r="K332">
        <v>1000</v>
      </c>
    </row>
    <row r="333" spans="1:11">
      <c r="A333" t="s">
        <v>415</v>
      </c>
      <c r="B333">
        <v>21</v>
      </c>
      <c r="C333">
        <v>34</v>
      </c>
      <c r="G333">
        <v>1004</v>
      </c>
    </row>
    <row r="334" spans="1:11">
      <c r="A334" t="s">
        <v>415</v>
      </c>
      <c r="B334">
        <v>24</v>
      </c>
      <c r="C334">
        <v>27</v>
      </c>
      <c r="E334">
        <v>49964</v>
      </c>
      <c r="G334">
        <v>21756</v>
      </c>
    </row>
    <row r="335" spans="1:11">
      <c r="A335" t="s">
        <v>591</v>
      </c>
      <c r="B335">
        <v>21</v>
      </c>
      <c r="C335">
        <v>21</v>
      </c>
      <c r="E335">
        <v>157731</v>
      </c>
      <c r="F335">
        <v>120195</v>
      </c>
      <c r="G335">
        <v>92237</v>
      </c>
      <c r="H335">
        <v>10009</v>
      </c>
      <c r="I335">
        <v>1147768</v>
      </c>
      <c r="J335">
        <v>9265</v>
      </c>
    </row>
    <row r="336" spans="1:11">
      <c r="A336" t="s">
        <v>591</v>
      </c>
      <c r="B336">
        <v>21</v>
      </c>
      <c r="C336">
        <v>26</v>
      </c>
      <c r="E336">
        <v>209319</v>
      </c>
      <c r="G336">
        <v>63526</v>
      </c>
      <c r="H336">
        <v>9474</v>
      </c>
      <c r="I336">
        <v>730584</v>
      </c>
    </row>
    <row r="337" spans="1:10">
      <c r="A337" t="s">
        <v>591</v>
      </c>
      <c r="B337">
        <v>21</v>
      </c>
      <c r="C337">
        <v>27</v>
      </c>
      <c r="E337">
        <v>1226797</v>
      </c>
      <c r="F337">
        <v>658236</v>
      </c>
      <c r="G337">
        <v>755724</v>
      </c>
      <c r="H337">
        <v>7491</v>
      </c>
      <c r="I337">
        <v>34500</v>
      </c>
    </row>
    <row r="338" spans="1:10">
      <c r="A338" t="s">
        <v>591</v>
      </c>
      <c r="B338">
        <v>21</v>
      </c>
      <c r="C338">
        <v>31</v>
      </c>
      <c r="E338">
        <v>10107</v>
      </c>
      <c r="F338">
        <v>676</v>
      </c>
      <c r="G338">
        <v>1764</v>
      </c>
      <c r="I338">
        <v>859</v>
      </c>
      <c r="J338">
        <v>3108</v>
      </c>
    </row>
    <row r="339" spans="1:10">
      <c r="A339" t="s">
        <v>591</v>
      </c>
      <c r="B339">
        <v>21</v>
      </c>
      <c r="C339">
        <v>32</v>
      </c>
      <c r="H339">
        <v>4273</v>
      </c>
      <c r="I339">
        <v>1285</v>
      </c>
    </row>
    <row r="340" spans="1:10">
      <c r="A340" t="s">
        <v>591</v>
      </c>
      <c r="B340">
        <v>21</v>
      </c>
      <c r="C340">
        <v>33</v>
      </c>
      <c r="H340">
        <v>2484</v>
      </c>
    </row>
    <row r="341" spans="1:10">
      <c r="A341" t="s">
        <v>591</v>
      </c>
      <c r="B341">
        <v>21</v>
      </c>
      <c r="C341">
        <v>34</v>
      </c>
      <c r="E341">
        <v>21494</v>
      </c>
      <c r="G341">
        <v>3539</v>
      </c>
    </row>
    <row r="342" spans="1:10">
      <c r="A342" t="s">
        <v>591</v>
      </c>
      <c r="B342">
        <v>24</v>
      </c>
      <c r="C342">
        <v>26</v>
      </c>
      <c r="I342">
        <v>292</v>
      </c>
    </row>
    <row r="343" spans="1:10">
      <c r="A343" t="s">
        <v>591</v>
      </c>
      <c r="B343">
        <v>24</v>
      </c>
      <c r="C343">
        <v>27</v>
      </c>
      <c r="E343">
        <v>12720</v>
      </c>
      <c r="F343">
        <v>352426</v>
      </c>
      <c r="G343">
        <v>219119</v>
      </c>
    </row>
    <row r="344" spans="1:10">
      <c r="A344" t="s">
        <v>591</v>
      </c>
      <c r="B344">
        <v>24</v>
      </c>
      <c r="C344">
        <v>31</v>
      </c>
      <c r="F344">
        <v>144</v>
      </c>
      <c r="G344">
        <v>22</v>
      </c>
    </row>
    <row r="345" spans="1:10">
      <c r="A345" t="s">
        <v>439</v>
      </c>
      <c r="B345">
        <v>21</v>
      </c>
      <c r="C345">
        <v>21</v>
      </c>
      <c r="E345">
        <v>287400</v>
      </c>
      <c r="F345">
        <v>82743</v>
      </c>
      <c r="G345">
        <v>123520</v>
      </c>
    </row>
    <row r="346" spans="1:10">
      <c r="A346" t="s">
        <v>439</v>
      </c>
      <c r="B346">
        <v>21</v>
      </c>
      <c r="C346">
        <v>25</v>
      </c>
      <c r="F346">
        <v>68144</v>
      </c>
      <c r="G346">
        <v>72933</v>
      </c>
    </row>
    <row r="347" spans="1:10">
      <c r="A347" t="s">
        <v>439</v>
      </c>
      <c r="B347">
        <v>21</v>
      </c>
      <c r="C347">
        <v>26</v>
      </c>
      <c r="F347">
        <v>210</v>
      </c>
      <c r="G347">
        <v>28</v>
      </c>
      <c r="I347">
        <v>1418848</v>
      </c>
    </row>
    <row r="348" spans="1:10">
      <c r="A348" t="s">
        <v>439</v>
      </c>
      <c r="B348">
        <v>21</v>
      </c>
      <c r="C348">
        <v>27</v>
      </c>
      <c r="E348">
        <v>1451301</v>
      </c>
      <c r="F348">
        <v>1238842</v>
      </c>
      <c r="G348">
        <v>1270852</v>
      </c>
    </row>
    <row r="349" spans="1:10">
      <c r="A349" t="s">
        <v>439</v>
      </c>
      <c r="B349">
        <v>24</v>
      </c>
      <c r="C349">
        <v>26</v>
      </c>
      <c r="E349">
        <v>279244</v>
      </c>
      <c r="F349">
        <v>124036</v>
      </c>
      <c r="G349">
        <v>170090</v>
      </c>
      <c r="I349">
        <v>69386</v>
      </c>
    </row>
    <row r="350" spans="1:10">
      <c r="A350" t="s">
        <v>439</v>
      </c>
      <c r="B350">
        <v>24</v>
      </c>
      <c r="C350">
        <v>27</v>
      </c>
      <c r="F350">
        <v>11160</v>
      </c>
      <c r="G350">
        <v>6286</v>
      </c>
    </row>
    <row r="351" spans="1:10">
      <c r="A351" t="s">
        <v>599</v>
      </c>
      <c r="B351">
        <v>21</v>
      </c>
      <c r="C351">
        <v>21</v>
      </c>
      <c r="E351">
        <v>100860</v>
      </c>
      <c r="F351">
        <v>35609</v>
      </c>
      <c r="G351">
        <v>48399</v>
      </c>
      <c r="H351">
        <v>7501</v>
      </c>
      <c r="I351">
        <v>12200</v>
      </c>
      <c r="J351">
        <v>1500</v>
      </c>
    </row>
    <row r="352" spans="1:10">
      <c r="A352" t="s">
        <v>599</v>
      </c>
      <c r="B352">
        <v>21</v>
      </c>
      <c r="C352">
        <v>26</v>
      </c>
      <c r="E352">
        <v>237088</v>
      </c>
      <c r="F352">
        <v>75734</v>
      </c>
      <c r="G352">
        <v>106900</v>
      </c>
      <c r="H352">
        <v>3000</v>
      </c>
      <c r="I352">
        <v>189771</v>
      </c>
    </row>
    <row r="353" spans="1:10">
      <c r="A353" t="s">
        <v>599</v>
      </c>
      <c r="B353">
        <v>21</v>
      </c>
      <c r="C353">
        <v>27</v>
      </c>
      <c r="E353">
        <v>525067</v>
      </c>
      <c r="F353">
        <v>201762</v>
      </c>
      <c r="G353">
        <v>356742</v>
      </c>
      <c r="H353">
        <v>7586</v>
      </c>
      <c r="I353">
        <v>92500</v>
      </c>
      <c r="J353">
        <v>1500</v>
      </c>
    </row>
    <row r="354" spans="1:10">
      <c r="A354" t="s">
        <v>599</v>
      </c>
      <c r="B354">
        <v>21</v>
      </c>
      <c r="C354">
        <v>31</v>
      </c>
      <c r="E354">
        <v>12184</v>
      </c>
      <c r="G354">
        <v>1076</v>
      </c>
      <c r="I354">
        <v>42500</v>
      </c>
      <c r="J354">
        <v>3000</v>
      </c>
    </row>
    <row r="355" spans="1:10">
      <c r="A355" t="s">
        <v>599</v>
      </c>
      <c r="B355">
        <v>21</v>
      </c>
      <c r="C355">
        <v>32</v>
      </c>
      <c r="H355">
        <v>6000</v>
      </c>
      <c r="I355">
        <v>10500</v>
      </c>
    </row>
    <row r="356" spans="1:10">
      <c r="A356" t="s">
        <v>599</v>
      </c>
      <c r="B356">
        <v>21</v>
      </c>
      <c r="C356">
        <v>33</v>
      </c>
      <c r="H356">
        <v>3000</v>
      </c>
    </row>
    <row r="357" spans="1:10">
      <c r="A357" t="s">
        <v>599</v>
      </c>
      <c r="B357">
        <v>24</v>
      </c>
      <c r="C357">
        <v>21</v>
      </c>
      <c r="E357">
        <v>12608</v>
      </c>
      <c r="G357">
        <v>3605</v>
      </c>
      <c r="H357">
        <v>4525</v>
      </c>
      <c r="I357">
        <v>2000</v>
      </c>
    </row>
    <row r="358" spans="1:10">
      <c r="A358" t="s">
        <v>599</v>
      </c>
      <c r="B358">
        <v>24</v>
      </c>
      <c r="C358">
        <v>27</v>
      </c>
      <c r="E358">
        <v>67599</v>
      </c>
      <c r="F358">
        <v>129437</v>
      </c>
      <c r="G358">
        <v>71832</v>
      </c>
      <c r="H358">
        <v>4837</v>
      </c>
      <c r="I358">
        <v>4530</v>
      </c>
    </row>
    <row r="359" spans="1:10">
      <c r="A359" t="s">
        <v>599</v>
      </c>
      <c r="B359">
        <v>24</v>
      </c>
      <c r="C359">
        <v>31</v>
      </c>
      <c r="E359">
        <v>271</v>
      </c>
      <c r="G359">
        <v>47</v>
      </c>
      <c r="I359">
        <v>2000</v>
      </c>
      <c r="J359">
        <v>3500</v>
      </c>
    </row>
    <row r="360" spans="1:10">
      <c r="A360" t="s">
        <v>111</v>
      </c>
      <c r="B360">
        <v>21</v>
      </c>
      <c r="C360">
        <v>23</v>
      </c>
      <c r="E360">
        <v>13240</v>
      </c>
      <c r="F360">
        <v>9302</v>
      </c>
      <c r="G360">
        <v>9086</v>
      </c>
    </row>
    <row r="361" spans="1:10">
      <c r="A361" t="s">
        <v>111</v>
      </c>
      <c r="B361">
        <v>21</v>
      </c>
      <c r="C361">
        <v>26</v>
      </c>
      <c r="I361">
        <v>78500</v>
      </c>
    </row>
    <row r="362" spans="1:10">
      <c r="A362" t="s">
        <v>111</v>
      </c>
      <c r="B362">
        <v>21</v>
      </c>
      <c r="C362">
        <v>27</v>
      </c>
      <c r="E362">
        <v>52034</v>
      </c>
      <c r="F362">
        <v>96975</v>
      </c>
      <c r="G362">
        <v>82666</v>
      </c>
      <c r="H362">
        <v>3500</v>
      </c>
      <c r="I362">
        <v>5000</v>
      </c>
    </row>
    <row r="363" spans="1:10">
      <c r="A363" t="s">
        <v>111</v>
      </c>
      <c r="B363">
        <v>21</v>
      </c>
      <c r="C363">
        <v>29</v>
      </c>
      <c r="I363">
        <v>8000</v>
      </c>
    </row>
    <row r="364" spans="1:10">
      <c r="A364" t="s">
        <v>111</v>
      </c>
      <c r="B364">
        <v>21</v>
      </c>
      <c r="C364">
        <v>32</v>
      </c>
      <c r="H364">
        <v>1000</v>
      </c>
      <c r="I364">
        <v>1500</v>
      </c>
    </row>
    <row r="365" spans="1:10">
      <c r="A365" t="s">
        <v>111</v>
      </c>
      <c r="B365">
        <v>21</v>
      </c>
      <c r="C365">
        <v>33</v>
      </c>
      <c r="H365">
        <v>1500</v>
      </c>
    </row>
    <row r="366" spans="1:10">
      <c r="A366" t="s">
        <v>111</v>
      </c>
      <c r="B366">
        <v>24</v>
      </c>
      <c r="C366">
        <v>27</v>
      </c>
      <c r="E366">
        <v>34986</v>
      </c>
      <c r="G366">
        <v>12652</v>
      </c>
    </row>
    <row r="367" spans="1:10">
      <c r="A367" t="s">
        <v>503</v>
      </c>
      <c r="B367">
        <v>21</v>
      </c>
      <c r="C367">
        <v>21</v>
      </c>
      <c r="E367">
        <v>55105</v>
      </c>
      <c r="F367">
        <v>21770</v>
      </c>
      <c r="G367">
        <v>28007</v>
      </c>
      <c r="H367">
        <v>200</v>
      </c>
      <c r="J367">
        <v>500</v>
      </c>
    </row>
    <row r="368" spans="1:10">
      <c r="A368" t="s">
        <v>503</v>
      </c>
      <c r="B368">
        <v>21</v>
      </c>
      <c r="C368">
        <v>25</v>
      </c>
      <c r="F368">
        <v>2051</v>
      </c>
      <c r="G368">
        <v>1088</v>
      </c>
    </row>
    <row r="369" spans="1:10">
      <c r="A369" t="s">
        <v>503</v>
      </c>
      <c r="B369">
        <v>21</v>
      </c>
      <c r="C369">
        <v>26</v>
      </c>
      <c r="E369">
        <v>60072</v>
      </c>
      <c r="F369">
        <v>49223</v>
      </c>
      <c r="G369">
        <v>41457</v>
      </c>
      <c r="H369">
        <v>500</v>
      </c>
      <c r="I369">
        <v>517118</v>
      </c>
    </row>
    <row r="370" spans="1:10">
      <c r="A370" t="s">
        <v>503</v>
      </c>
      <c r="B370">
        <v>21</v>
      </c>
      <c r="C370">
        <v>27</v>
      </c>
      <c r="E370">
        <v>235326</v>
      </c>
      <c r="F370">
        <v>379706</v>
      </c>
      <c r="G370">
        <v>302613</v>
      </c>
      <c r="H370">
        <v>6200</v>
      </c>
      <c r="I370">
        <v>8300</v>
      </c>
    </row>
    <row r="371" spans="1:10">
      <c r="A371" t="s">
        <v>503</v>
      </c>
      <c r="B371">
        <v>21</v>
      </c>
      <c r="C371">
        <v>31</v>
      </c>
      <c r="I371">
        <v>3475</v>
      </c>
    </row>
    <row r="372" spans="1:10">
      <c r="A372" t="s">
        <v>503</v>
      </c>
      <c r="B372">
        <v>21</v>
      </c>
      <c r="C372">
        <v>34</v>
      </c>
      <c r="E372">
        <v>4310</v>
      </c>
      <c r="G372">
        <v>719</v>
      </c>
    </row>
    <row r="373" spans="1:10">
      <c r="A373" t="s">
        <v>503</v>
      </c>
      <c r="B373">
        <v>24</v>
      </c>
      <c r="C373">
        <v>21</v>
      </c>
      <c r="F373">
        <v>20410</v>
      </c>
      <c r="G373">
        <v>10444</v>
      </c>
    </row>
    <row r="374" spans="1:10">
      <c r="A374" t="s">
        <v>503</v>
      </c>
      <c r="B374">
        <v>24</v>
      </c>
      <c r="C374">
        <v>27</v>
      </c>
      <c r="E374">
        <v>63061</v>
      </c>
      <c r="G374">
        <v>24040</v>
      </c>
    </row>
    <row r="375" spans="1:10">
      <c r="A375" t="s">
        <v>503</v>
      </c>
      <c r="B375">
        <v>24</v>
      </c>
      <c r="C375">
        <v>31</v>
      </c>
      <c r="I375">
        <v>2335</v>
      </c>
    </row>
    <row r="376" spans="1:10">
      <c r="A376" t="s">
        <v>471</v>
      </c>
      <c r="B376">
        <v>21</v>
      </c>
      <c r="C376">
        <v>21</v>
      </c>
      <c r="E376">
        <v>143512</v>
      </c>
      <c r="G376">
        <v>39046</v>
      </c>
      <c r="I376">
        <v>3000</v>
      </c>
    </row>
    <row r="377" spans="1:10">
      <c r="A377" t="s">
        <v>471</v>
      </c>
      <c r="B377">
        <v>21</v>
      </c>
      <c r="C377">
        <v>23</v>
      </c>
      <c r="F377">
        <v>46895</v>
      </c>
      <c r="G377">
        <v>23416</v>
      </c>
    </row>
    <row r="378" spans="1:10">
      <c r="A378" t="s">
        <v>471</v>
      </c>
      <c r="B378">
        <v>21</v>
      </c>
      <c r="C378">
        <v>26</v>
      </c>
      <c r="E378">
        <v>218094</v>
      </c>
      <c r="G378">
        <v>66738</v>
      </c>
      <c r="I378">
        <v>316164</v>
      </c>
      <c r="J378">
        <v>11000</v>
      </c>
    </row>
    <row r="379" spans="1:10">
      <c r="A379" t="s">
        <v>471</v>
      </c>
      <c r="B379">
        <v>21</v>
      </c>
      <c r="C379">
        <v>27</v>
      </c>
      <c r="E379">
        <v>817280</v>
      </c>
      <c r="F379">
        <v>346312</v>
      </c>
      <c r="G379">
        <v>485915</v>
      </c>
      <c r="H379">
        <v>240857</v>
      </c>
    </row>
    <row r="380" spans="1:10">
      <c r="A380" t="s">
        <v>471</v>
      </c>
      <c r="B380">
        <v>21</v>
      </c>
      <c r="C380">
        <v>31</v>
      </c>
      <c r="I380">
        <v>15000</v>
      </c>
    </row>
    <row r="381" spans="1:10">
      <c r="A381" t="s">
        <v>471</v>
      </c>
      <c r="B381">
        <v>21</v>
      </c>
      <c r="C381">
        <v>33</v>
      </c>
      <c r="H381">
        <v>15000</v>
      </c>
    </row>
    <row r="382" spans="1:10">
      <c r="A382" t="s">
        <v>471</v>
      </c>
      <c r="B382">
        <v>21</v>
      </c>
      <c r="C382">
        <v>34</v>
      </c>
      <c r="E382">
        <v>14370</v>
      </c>
      <c r="G382">
        <v>2522</v>
      </c>
    </row>
    <row r="383" spans="1:10">
      <c r="A383" t="s">
        <v>471</v>
      </c>
      <c r="B383">
        <v>24</v>
      </c>
      <c r="C383">
        <v>27</v>
      </c>
      <c r="F383">
        <v>185806</v>
      </c>
      <c r="G383">
        <v>132846</v>
      </c>
    </row>
    <row r="384" spans="1:10">
      <c r="A384" t="s">
        <v>317</v>
      </c>
      <c r="B384">
        <v>21</v>
      </c>
      <c r="C384">
        <v>21</v>
      </c>
      <c r="E384">
        <v>349157</v>
      </c>
      <c r="G384">
        <v>90272</v>
      </c>
      <c r="I384">
        <v>11921</v>
      </c>
    </row>
    <row r="385" spans="1:10">
      <c r="A385" t="s">
        <v>317</v>
      </c>
      <c r="B385">
        <v>21</v>
      </c>
      <c r="C385">
        <v>25</v>
      </c>
      <c r="F385">
        <v>317306</v>
      </c>
      <c r="G385">
        <v>273165</v>
      </c>
    </row>
    <row r="386" spans="1:10">
      <c r="A386" t="s">
        <v>317</v>
      </c>
      <c r="B386">
        <v>21</v>
      </c>
      <c r="C386">
        <v>26</v>
      </c>
      <c r="E386">
        <v>4441607</v>
      </c>
      <c r="F386">
        <v>662541</v>
      </c>
      <c r="G386">
        <v>1667142</v>
      </c>
      <c r="I386">
        <v>17000</v>
      </c>
    </row>
    <row r="387" spans="1:10">
      <c r="A387" t="s">
        <v>317</v>
      </c>
      <c r="B387">
        <v>21</v>
      </c>
      <c r="C387">
        <v>27</v>
      </c>
      <c r="E387">
        <v>4473612</v>
      </c>
      <c r="F387">
        <v>4824552</v>
      </c>
      <c r="G387">
        <v>4615174</v>
      </c>
    </row>
    <row r="388" spans="1:10">
      <c r="A388" t="s">
        <v>317</v>
      </c>
      <c r="B388">
        <v>21</v>
      </c>
      <c r="C388">
        <v>31</v>
      </c>
      <c r="E388">
        <v>57778</v>
      </c>
      <c r="G388">
        <v>18134</v>
      </c>
    </row>
    <row r="389" spans="1:10">
      <c r="A389" t="s">
        <v>317</v>
      </c>
      <c r="B389">
        <v>21</v>
      </c>
      <c r="C389">
        <v>34</v>
      </c>
      <c r="E389">
        <v>63396</v>
      </c>
      <c r="G389">
        <v>11316</v>
      </c>
    </row>
    <row r="390" spans="1:10">
      <c r="A390" t="s">
        <v>317</v>
      </c>
      <c r="B390">
        <v>24</v>
      </c>
      <c r="C390">
        <v>27</v>
      </c>
      <c r="E390">
        <v>409802</v>
      </c>
      <c r="F390">
        <v>24672</v>
      </c>
      <c r="G390">
        <v>123711</v>
      </c>
      <c r="H390">
        <v>635921</v>
      </c>
      <c r="I390">
        <v>709200</v>
      </c>
    </row>
    <row r="391" spans="1:10">
      <c r="A391" t="s">
        <v>159</v>
      </c>
      <c r="B391">
        <v>21</v>
      </c>
      <c r="C391">
        <v>21</v>
      </c>
      <c r="E391">
        <v>149510</v>
      </c>
      <c r="F391">
        <v>95493</v>
      </c>
      <c r="G391">
        <v>84984</v>
      </c>
      <c r="H391">
        <v>15000</v>
      </c>
      <c r="I391">
        <v>25000</v>
      </c>
    </row>
    <row r="392" spans="1:10">
      <c r="A392" t="s">
        <v>159</v>
      </c>
      <c r="B392">
        <v>21</v>
      </c>
      <c r="C392">
        <v>25</v>
      </c>
      <c r="F392">
        <v>71453</v>
      </c>
      <c r="G392">
        <v>20224</v>
      </c>
    </row>
    <row r="393" spans="1:10">
      <c r="A393" t="s">
        <v>159</v>
      </c>
      <c r="B393">
        <v>21</v>
      </c>
      <c r="C393">
        <v>26</v>
      </c>
      <c r="E393">
        <v>632177</v>
      </c>
      <c r="F393">
        <v>7040</v>
      </c>
      <c r="G393">
        <v>223134</v>
      </c>
      <c r="H393">
        <v>8500</v>
      </c>
      <c r="I393">
        <v>376000</v>
      </c>
      <c r="J393">
        <v>2500</v>
      </c>
    </row>
    <row r="394" spans="1:10">
      <c r="A394" t="s">
        <v>159</v>
      </c>
      <c r="B394">
        <v>21</v>
      </c>
      <c r="C394">
        <v>27</v>
      </c>
      <c r="E394">
        <v>1529233</v>
      </c>
      <c r="F394">
        <v>624671</v>
      </c>
      <c r="G394">
        <v>902671</v>
      </c>
      <c r="H394">
        <v>5950</v>
      </c>
      <c r="I394">
        <v>256501</v>
      </c>
    </row>
    <row r="395" spans="1:10">
      <c r="A395" t="s">
        <v>159</v>
      </c>
      <c r="B395">
        <v>21</v>
      </c>
      <c r="C395">
        <v>31</v>
      </c>
      <c r="I395">
        <v>35000</v>
      </c>
      <c r="J395">
        <v>10000</v>
      </c>
    </row>
    <row r="396" spans="1:10">
      <c r="A396" t="s">
        <v>159</v>
      </c>
      <c r="B396">
        <v>21</v>
      </c>
      <c r="C396">
        <v>32</v>
      </c>
      <c r="H396">
        <v>8000</v>
      </c>
      <c r="I396">
        <v>7000</v>
      </c>
    </row>
    <row r="397" spans="1:10">
      <c r="A397" t="s">
        <v>159</v>
      </c>
      <c r="B397">
        <v>21</v>
      </c>
      <c r="C397">
        <v>33</v>
      </c>
      <c r="H397">
        <v>20000</v>
      </c>
    </row>
    <row r="398" spans="1:10">
      <c r="A398" t="s">
        <v>159</v>
      </c>
      <c r="B398">
        <v>21</v>
      </c>
      <c r="C398">
        <v>34</v>
      </c>
      <c r="E398">
        <v>31812</v>
      </c>
      <c r="G398">
        <v>5181</v>
      </c>
    </row>
    <row r="399" spans="1:10">
      <c r="A399" t="s">
        <v>159</v>
      </c>
      <c r="B399">
        <v>24</v>
      </c>
      <c r="C399">
        <v>27</v>
      </c>
      <c r="E399">
        <v>13768</v>
      </c>
      <c r="F399">
        <v>360042</v>
      </c>
      <c r="G399">
        <v>250703</v>
      </c>
    </row>
    <row r="400" spans="1:10">
      <c r="A400" t="s">
        <v>629</v>
      </c>
      <c r="B400">
        <v>21</v>
      </c>
      <c r="C400">
        <v>21</v>
      </c>
      <c r="E400">
        <v>5416</v>
      </c>
      <c r="G400">
        <v>874</v>
      </c>
    </row>
    <row r="401" spans="1:10">
      <c r="A401" t="s">
        <v>629</v>
      </c>
      <c r="B401">
        <v>21</v>
      </c>
      <c r="C401">
        <v>26</v>
      </c>
      <c r="I401">
        <v>47421</v>
      </c>
    </row>
    <row r="402" spans="1:10">
      <c r="A402" t="s">
        <v>629</v>
      </c>
      <c r="B402">
        <v>21</v>
      </c>
      <c r="C402">
        <v>27</v>
      </c>
      <c r="E402">
        <v>93079</v>
      </c>
      <c r="F402">
        <v>46055</v>
      </c>
      <c r="G402">
        <v>73525</v>
      </c>
      <c r="H402">
        <v>10000</v>
      </c>
    </row>
    <row r="403" spans="1:10">
      <c r="A403" t="s">
        <v>629</v>
      </c>
      <c r="B403">
        <v>24</v>
      </c>
      <c r="C403">
        <v>26</v>
      </c>
      <c r="I403">
        <v>25498</v>
      </c>
      <c r="J403">
        <v>1000</v>
      </c>
    </row>
    <row r="404" spans="1:10">
      <c r="A404" t="s">
        <v>189</v>
      </c>
      <c r="B404">
        <v>21</v>
      </c>
      <c r="C404">
        <v>21</v>
      </c>
      <c r="E404">
        <v>104248</v>
      </c>
      <c r="G404">
        <v>30763</v>
      </c>
    </row>
    <row r="405" spans="1:10">
      <c r="A405" t="s">
        <v>189</v>
      </c>
      <c r="B405">
        <v>21</v>
      </c>
      <c r="C405">
        <v>24</v>
      </c>
      <c r="F405">
        <v>3000</v>
      </c>
      <c r="G405">
        <v>261</v>
      </c>
    </row>
    <row r="406" spans="1:10">
      <c r="A406" t="s">
        <v>189</v>
      </c>
      <c r="B406">
        <v>21</v>
      </c>
      <c r="C406">
        <v>26</v>
      </c>
      <c r="F406">
        <v>79644</v>
      </c>
      <c r="G406">
        <v>44561</v>
      </c>
      <c r="I406">
        <v>384568</v>
      </c>
    </row>
    <row r="407" spans="1:10">
      <c r="A407" t="s">
        <v>189</v>
      </c>
      <c r="B407">
        <v>21</v>
      </c>
      <c r="C407">
        <v>27</v>
      </c>
      <c r="E407">
        <v>157242</v>
      </c>
      <c r="F407">
        <v>374171</v>
      </c>
      <c r="G407">
        <v>283903</v>
      </c>
      <c r="H407">
        <v>1750</v>
      </c>
      <c r="I407">
        <v>5840</v>
      </c>
      <c r="J407">
        <v>1000</v>
      </c>
    </row>
    <row r="408" spans="1:10">
      <c r="A408" t="s">
        <v>189</v>
      </c>
      <c r="B408">
        <v>21</v>
      </c>
      <c r="C408">
        <v>31</v>
      </c>
      <c r="E408">
        <v>1243</v>
      </c>
      <c r="G408">
        <v>209</v>
      </c>
      <c r="J408">
        <v>500</v>
      </c>
    </row>
    <row r="409" spans="1:10">
      <c r="A409" t="s">
        <v>189</v>
      </c>
      <c r="B409">
        <v>21</v>
      </c>
      <c r="C409">
        <v>32</v>
      </c>
      <c r="H409">
        <v>2000</v>
      </c>
    </row>
    <row r="410" spans="1:10">
      <c r="A410" t="s">
        <v>189</v>
      </c>
      <c r="B410">
        <v>21</v>
      </c>
      <c r="C410">
        <v>34</v>
      </c>
      <c r="E410">
        <v>1243</v>
      </c>
      <c r="G410">
        <v>209</v>
      </c>
    </row>
    <row r="411" spans="1:10">
      <c r="A411" t="s">
        <v>189</v>
      </c>
      <c r="B411">
        <v>24</v>
      </c>
      <c r="C411">
        <v>26</v>
      </c>
      <c r="I411">
        <v>6309</v>
      </c>
    </row>
    <row r="412" spans="1:10">
      <c r="A412" t="s">
        <v>189</v>
      </c>
      <c r="B412">
        <v>24</v>
      </c>
      <c r="C412">
        <v>27</v>
      </c>
      <c r="E412">
        <v>130169</v>
      </c>
      <c r="G412">
        <v>47496</v>
      </c>
    </row>
    <row r="413" spans="1:10">
      <c r="A413" t="s">
        <v>189</v>
      </c>
      <c r="B413">
        <v>29</v>
      </c>
      <c r="C413">
        <v>26</v>
      </c>
      <c r="I413">
        <v>4745</v>
      </c>
    </row>
    <row r="414" spans="1:10">
      <c r="A414" t="s">
        <v>6</v>
      </c>
      <c r="B414">
        <v>21</v>
      </c>
      <c r="C414">
        <v>21</v>
      </c>
      <c r="E414">
        <v>176068</v>
      </c>
      <c r="F414">
        <v>135880</v>
      </c>
      <c r="G414">
        <v>115804</v>
      </c>
      <c r="H414">
        <v>1000</v>
      </c>
      <c r="I414">
        <v>26000</v>
      </c>
    </row>
    <row r="415" spans="1:10">
      <c r="A415" t="s">
        <v>6</v>
      </c>
      <c r="B415">
        <v>21</v>
      </c>
      <c r="C415">
        <v>26</v>
      </c>
      <c r="E415">
        <v>506085</v>
      </c>
      <c r="F415">
        <v>431481</v>
      </c>
      <c r="G415">
        <v>345080</v>
      </c>
      <c r="H415">
        <v>9500</v>
      </c>
      <c r="I415">
        <v>976000</v>
      </c>
    </row>
    <row r="416" spans="1:10">
      <c r="A416" t="s">
        <v>6</v>
      </c>
      <c r="B416">
        <v>21</v>
      </c>
      <c r="C416">
        <v>27</v>
      </c>
      <c r="E416">
        <v>2553600</v>
      </c>
      <c r="F416">
        <v>1539985</v>
      </c>
      <c r="G416">
        <v>1769019</v>
      </c>
      <c r="H416">
        <v>18500</v>
      </c>
      <c r="I416">
        <v>510150</v>
      </c>
    </row>
    <row r="417" spans="1:10">
      <c r="A417" t="s">
        <v>6</v>
      </c>
      <c r="B417">
        <v>21</v>
      </c>
      <c r="C417">
        <v>31</v>
      </c>
      <c r="I417">
        <v>1000</v>
      </c>
    </row>
    <row r="418" spans="1:10">
      <c r="A418" t="s">
        <v>6</v>
      </c>
      <c r="B418">
        <v>21</v>
      </c>
      <c r="C418">
        <v>32</v>
      </c>
      <c r="H418">
        <v>500</v>
      </c>
    </row>
    <row r="419" spans="1:10">
      <c r="A419" t="s">
        <v>6</v>
      </c>
      <c r="B419">
        <v>21</v>
      </c>
      <c r="C419">
        <v>33</v>
      </c>
      <c r="H419">
        <v>3000</v>
      </c>
    </row>
    <row r="420" spans="1:10">
      <c r="A420" t="s">
        <v>6</v>
      </c>
      <c r="B420">
        <v>21</v>
      </c>
      <c r="C420">
        <v>34</v>
      </c>
      <c r="E420">
        <v>67762</v>
      </c>
      <c r="G420">
        <v>10733</v>
      </c>
    </row>
    <row r="421" spans="1:10">
      <c r="A421" t="s">
        <v>6</v>
      </c>
      <c r="B421">
        <v>24</v>
      </c>
      <c r="C421">
        <v>26</v>
      </c>
      <c r="E421">
        <v>453746</v>
      </c>
      <c r="G421">
        <v>134832</v>
      </c>
      <c r="I421">
        <v>82504</v>
      </c>
    </row>
    <row r="422" spans="1:10">
      <c r="A422" t="s">
        <v>6</v>
      </c>
      <c r="B422">
        <v>24</v>
      </c>
      <c r="C422">
        <v>27</v>
      </c>
      <c r="E422">
        <v>158036</v>
      </c>
      <c r="G422">
        <v>58009</v>
      </c>
    </row>
    <row r="423" spans="1:10">
      <c r="A423" t="s">
        <v>215</v>
      </c>
      <c r="B423">
        <v>21</v>
      </c>
      <c r="C423">
        <v>21</v>
      </c>
      <c r="E423">
        <v>85799</v>
      </c>
      <c r="F423">
        <v>60923</v>
      </c>
      <c r="G423">
        <v>45927</v>
      </c>
      <c r="H423">
        <v>4500</v>
      </c>
      <c r="I423">
        <v>9550</v>
      </c>
      <c r="J423">
        <v>250</v>
      </c>
    </row>
    <row r="424" spans="1:10">
      <c r="A424" t="s">
        <v>215</v>
      </c>
      <c r="B424">
        <v>21</v>
      </c>
      <c r="C424">
        <v>26</v>
      </c>
      <c r="E424">
        <v>506555</v>
      </c>
      <c r="F424">
        <v>33389</v>
      </c>
      <c r="G424">
        <v>145065</v>
      </c>
      <c r="H424">
        <v>12000</v>
      </c>
      <c r="I424">
        <v>525000</v>
      </c>
    </row>
    <row r="425" spans="1:10">
      <c r="A425" t="s">
        <v>215</v>
      </c>
      <c r="B425">
        <v>21</v>
      </c>
      <c r="C425">
        <v>27</v>
      </c>
      <c r="E425">
        <v>1129690</v>
      </c>
      <c r="F425">
        <v>902582</v>
      </c>
      <c r="G425">
        <v>947180</v>
      </c>
      <c r="H425">
        <v>16000</v>
      </c>
    </row>
    <row r="426" spans="1:10">
      <c r="A426" t="s">
        <v>215</v>
      </c>
      <c r="B426">
        <v>21</v>
      </c>
      <c r="C426">
        <v>31</v>
      </c>
      <c r="E426">
        <v>8426</v>
      </c>
      <c r="G426">
        <v>2584</v>
      </c>
      <c r="I426">
        <v>10000</v>
      </c>
    </row>
    <row r="427" spans="1:10">
      <c r="A427" t="s">
        <v>215</v>
      </c>
      <c r="B427">
        <v>21</v>
      </c>
      <c r="C427">
        <v>32</v>
      </c>
      <c r="H427">
        <v>4000</v>
      </c>
    </row>
    <row r="428" spans="1:10">
      <c r="A428" t="s">
        <v>215</v>
      </c>
      <c r="B428">
        <v>21</v>
      </c>
      <c r="C428">
        <v>33</v>
      </c>
      <c r="H428">
        <v>2000</v>
      </c>
      <c r="I428">
        <v>2000</v>
      </c>
    </row>
    <row r="429" spans="1:10">
      <c r="A429" t="s">
        <v>215</v>
      </c>
      <c r="B429">
        <v>21</v>
      </c>
      <c r="C429">
        <v>34</v>
      </c>
      <c r="E429">
        <v>19926</v>
      </c>
      <c r="G429">
        <v>6265</v>
      </c>
    </row>
    <row r="430" spans="1:10">
      <c r="A430" t="s">
        <v>215</v>
      </c>
      <c r="B430">
        <v>24</v>
      </c>
      <c r="C430">
        <v>27</v>
      </c>
      <c r="E430">
        <v>330151</v>
      </c>
      <c r="F430">
        <v>13024</v>
      </c>
      <c r="G430">
        <v>107091</v>
      </c>
    </row>
    <row r="431" spans="1:10">
      <c r="A431" t="s">
        <v>345</v>
      </c>
      <c r="B431">
        <v>21</v>
      </c>
      <c r="C431">
        <v>21</v>
      </c>
      <c r="F431">
        <v>92333</v>
      </c>
      <c r="G431">
        <v>30504</v>
      </c>
      <c r="H431">
        <v>100</v>
      </c>
    </row>
    <row r="432" spans="1:10">
      <c r="A432" t="s">
        <v>345</v>
      </c>
      <c r="B432">
        <v>21</v>
      </c>
      <c r="C432">
        <v>26</v>
      </c>
      <c r="E432">
        <v>118131</v>
      </c>
      <c r="G432">
        <v>34310</v>
      </c>
      <c r="I432">
        <v>35000</v>
      </c>
      <c r="J432">
        <v>1000</v>
      </c>
    </row>
    <row r="433" spans="1:10">
      <c r="A433" t="s">
        <v>345</v>
      </c>
      <c r="B433">
        <v>21</v>
      </c>
      <c r="C433">
        <v>27</v>
      </c>
      <c r="E433">
        <v>545758</v>
      </c>
      <c r="F433">
        <v>390099</v>
      </c>
      <c r="G433">
        <v>436906</v>
      </c>
      <c r="H433">
        <v>2100</v>
      </c>
    </row>
    <row r="434" spans="1:10">
      <c r="A434" t="s">
        <v>345</v>
      </c>
      <c r="B434">
        <v>21</v>
      </c>
      <c r="C434">
        <v>32</v>
      </c>
      <c r="H434">
        <v>25000</v>
      </c>
    </row>
    <row r="435" spans="1:10">
      <c r="A435" t="s">
        <v>345</v>
      </c>
      <c r="B435">
        <v>21</v>
      </c>
      <c r="C435">
        <v>33</v>
      </c>
      <c r="H435">
        <v>4500</v>
      </c>
    </row>
    <row r="436" spans="1:10">
      <c r="A436" t="s">
        <v>345</v>
      </c>
      <c r="B436">
        <v>21</v>
      </c>
      <c r="C436">
        <v>34</v>
      </c>
      <c r="E436">
        <v>15485</v>
      </c>
      <c r="G436">
        <v>5010</v>
      </c>
    </row>
    <row r="437" spans="1:10">
      <c r="A437" t="s">
        <v>345</v>
      </c>
      <c r="B437">
        <v>24</v>
      </c>
      <c r="C437">
        <v>26</v>
      </c>
      <c r="I437">
        <v>62070</v>
      </c>
    </row>
    <row r="438" spans="1:10">
      <c r="A438" t="s">
        <v>345</v>
      </c>
      <c r="B438">
        <v>24</v>
      </c>
      <c r="C438">
        <v>27</v>
      </c>
      <c r="E438">
        <v>28306</v>
      </c>
      <c r="F438">
        <v>26637</v>
      </c>
      <c r="G438">
        <v>27420</v>
      </c>
      <c r="H438">
        <v>2000</v>
      </c>
    </row>
    <row r="439" spans="1:10">
      <c r="A439" t="s">
        <v>297</v>
      </c>
      <c r="B439">
        <v>21</v>
      </c>
      <c r="C439">
        <v>21</v>
      </c>
      <c r="F439">
        <v>26591</v>
      </c>
      <c r="G439">
        <v>13078</v>
      </c>
    </row>
    <row r="440" spans="1:10">
      <c r="A440" t="s">
        <v>297</v>
      </c>
      <c r="B440">
        <v>21</v>
      </c>
      <c r="C440">
        <v>25</v>
      </c>
      <c r="F440">
        <v>2742</v>
      </c>
      <c r="G440">
        <v>1323</v>
      </c>
    </row>
    <row r="441" spans="1:10">
      <c r="A441" t="s">
        <v>297</v>
      </c>
      <c r="B441">
        <v>21</v>
      </c>
      <c r="C441">
        <v>26</v>
      </c>
      <c r="I441">
        <v>280000</v>
      </c>
    </row>
    <row r="442" spans="1:10">
      <c r="A442" t="s">
        <v>297</v>
      </c>
      <c r="B442">
        <v>21</v>
      </c>
      <c r="C442">
        <v>27</v>
      </c>
      <c r="E442">
        <v>230998</v>
      </c>
      <c r="F442">
        <v>196508</v>
      </c>
      <c r="G442">
        <v>210530</v>
      </c>
      <c r="H442">
        <v>40942</v>
      </c>
      <c r="I442">
        <v>2500</v>
      </c>
    </row>
    <row r="443" spans="1:10">
      <c r="A443" t="s">
        <v>297</v>
      </c>
      <c r="B443">
        <v>21</v>
      </c>
      <c r="C443">
        <v>32</v>
      </c>
      <c r="H443">
        <v>1250</v>
      </c>
      <c r="I443">
        <v>1300</v>
      </c>
    </row>
    <row r="444" spans="1:10">
      <c r="A444" t="s">
        <v>297</v>
      </c>
      <c r="B444">
        <v>21</v>
      </c>
      <c r="C444">
        <v>33</v>
      </c>
      <c r="H444">
        <v>25000</v>
      </c>
    </row>
    <row r="445" spans="1:10">
      <c r="A445" t="s">
        <v>297</v>
      </c>
      <c r="B445">
        <v>24</v>
      </c>
      <c r="C445">
        <v>26</v>
      </c>
      <c r="I445">
        <v>68319</v>
      </c>
    </row>
    <row r="446" spans="1:10">
      <c r="A446" t="s">
        <v>297</v>
      </c>
      <c r="B446">
        <v>24</v>
      </c>
      <c r="C446">
        <v>27</v>
      </c>
      <c r="F446">
        <v>2362</v>
      </c>
      <c r="G446">
        <v>1520</v>
      </c>
    </row>
    <row r="447" spans="1:10">
      <c r="A447" t="s">
        <v>313</v>
      </c>
      <c r="B447">
        <v>21</v>
      </c>
      <c r="C447">
        <v>21</v>
      </c>
      <c r="E447">
        <v>27012</v>
      </c>
      <c r="F447">
        <v>43468</v>
      </c>
      <c r="G447">
        <v>23085</v>
      </c>
      <c r="H447">
        <v>250</v>
      </c>
      <c r="I447">
        <v>5170</v>
      </c>
      <c r="J447">
        <v>750</v>
      </c>
    </row>
    <row r="448" spans="1:10">
      <c r="A448" t="s">
        <v>313</v>
      </c>
      <c r="B448">
        <v>21</v>
      </c>
      <c r="C448">
        <v>25</v>
      </c>
      <c r="F448">
        <v>63640</v>
      </c>
      <c r="G448">
        <v>39745</v>
      </c>
    </row>
    <row r="449" spans="1:10">
      <c r="A449" t="s">
        <v>313</v>
      </c>
      <c r="B449">
        <v>21</v>
      </c>
      <c r="C449">
        <v>26</v>
      </c>
      <c r="E449">
        <v>406597</v>
      </c>
      <c r="F449">
        <v>34913</v>
      </c>
      <c r="G449">
        <v>152898</v>
      </c>
      <c r="H449">
        <v>3800</v>
      </c>
      <c r="I449">
        <v>231720</v>
      </c>
    </row>
    <row r="450" spans="1:10">
      <c r="A450" t="s">
        <v>313</v>
      </c>
      <c r="B450">
        <v>21</v>
      </c>
      <c r="C450">
        <v>27</v>
      </c>
      <c r="D450">
        <v>5000</v>
      </c>
      <c r="E450">
        <v>1041322</v>
      </c>
      <c r="F450">
        <v>826123</v>
      </c>
      <c r="G450">
        <v>850573</v>
      </c>
      <c r="H450">
        <v>600</v>
      </c>
    </row>
    <row r="451" spans="1:10">
      <c r="A451" t="s">
        <v>313</v>
      </c>
      <c r="B451">
        <v>21</v>
      </c>
      <c r="C451">
        <v>28</v>
      </c>
      <c r="F451">
        <v>15000</v>
      </c>
      <c r="G451">
        <v>2427</v>
      </c>
    </row>
    <row r="452" spans="1:10">
      <c r="A452" t="s">
        <v>313</v>
      </c>
      <c r="B452">
        <v>21</v>
      </c>
      <c r="C452">
        <v>31</v>
      </c>
      <c r="H452">
        <v>50</v>
      </c>
    </row>
    <row r="453" spans="1:10">
      <c r="A453" t="s">
        <v>313</v>
      </c>
      <c r="B453">
        <v>21</v>
      </c>
      <c r="C453">
        <v>34</v>
      </c>
      <c r="E453">
        <v>15083</v>
      </c>
      <c r="G453">
        <v>2578</v>
      </c>
    </row>
    <row r="454" spans="1:10">
      <c r="A454" t="s">
        <v>313</v>
      </c>
      <c r="B454">
        <v>24</v>
      </c>
      <c r="C454">
        <v>25</v>
      </c>
      <c r="F454">
        <v>8920</v>
      </c>
      <c r="G454">
        <v>6018</v>
      </c>
    </row>
    <row r="455" spans="1:10">
      <c r="A455" t="s">
        <v>313</v>
      </c>
      <c r="B455">
        <v>24</v>
      </c>
      <c r="C455">
        <v>26</v>
      </c>
      <c r="E455">
        <v>119091</v>
      </c>
      <c r="G455">
        <v>35712</v>
      </c>
    </row>
    <row r="456" spans="1:10">
      <c r="A456" t="s">
        <v>313</v>
      </c>
      <c r="B456">
        <v>24</v>
      </c>
      <c r="C456">
        <v>27</v>
      </c>
      <c r="E456">
        <v>58203</v>
      </c>
      <c r="F456">
        <v>42903</v>
      </c>
      <c r="G456">
        <v>46515</v>
      </c>
    </row>
    <row r="457" spans="1:10">
      <c r="A457" t="s">
        <v>151</v>
      </c>
      <c r="B457">
        <v>21</v>
      </c>
      <c r="C457">
        <v>21</v>
      </c>
      <c r="D457">
        <v>157</v>
      </c>
      <c r="E457">
        <v>141799</v>
      </c>
      <c r="F457">
        <v>62177</v>
      </c>
      <c r="G457">
        <v>55230</v>
      </c>
      <c r="H457">
        <v>9719</v>
      </c>
      <c r="I457">
        <v>196951</v>
      </c>
      <c r="J457">
        <v>325</v>
      </c>
    </row>
    <row r="458" spans="1:10">
      <c r="A458" t="s">
        <v>151</v>
      </c>
      <c r="B458">
        <v>21</v>
      </c>
      <c r="C458">
        <v>26</v>
      </c>
      <c r="D458">
        <v>200</v>
      </c>
      <c r="E458">
        <v>373003</v>
      </c>
      <c r="G458">
        <v>124487</v>
      </c>
      <c r="H458">
        <v>3185</v>
      </c>
      <c r="I458">
        <v>490300</v>
      </c>
      <c r="J458">
        <v>300</v>
      </c>
    </row>
    <row r="459" spans="1:10">
      <c r="A459" t="s">
        <v>151</v>
      </c>
      <c r="B459">
        <v>21</v>
      </c>
      <c r="C459">
        <v>27</v>
      </c>
      <c r="D459">
        <v>3700</v>
      </c>
      <c r="E459">
        <v>1147554</v>
      </c>
      <c r="F459">
        <v>368542</v>
      </c>
      <c r="G459">
        <v>565750</v>
      </c>
      <c r="H459">
        <v>21950</v>
      </c>
      <c r="I459">
        <v>440300</v>
      </c>
    </row>
    <row r="460" spans="1:10">
      <c r="A460" t="s">
        <v>151</v>
      </c>
      <c r="B460">
        <v>21</v>
      </c>
      <c r="C460">
        <v>31</v>
      </c>
      <c r="H460">
        <v>80</v>
      </c>
      <c r="I460">
        <v>500</v>
      </c>
    </row>
    <row r="461" spans="1:10">
      <c r="A461" t="s">
        <v>151</v>
      </c>
      <c r="B461">
        <v>21</v>
      </c>
      <c r="C461">
        <v>33</v>
      </c>
      <c r="I461">
        <v>1500</v>
      </c>
    </row>
    <row r="462" spans="1:10">
      <c r="A462" t="s">
        <v>151</v>
      </c>
      <c r="B462">
        <v>21</v>
      </c>
      <c r="C462">
        <v>34</v>
      </c>
      <c r="E462">
        <v>22880</v>
      </c>
      <c r="G462">
        <v>3632</v>
      </c>
    </row>
    <row r="463" spans="1:10">
      <c r="A463" t="s">
        <v>151</v>
      </c>
      <c r="B463">
        <v>24</v>
      </c>
      <c r="C463">
        <v>27</v>
      </c>
      <c r="E463">
        <v>13921</v>
      </c>
      <c r="F463">
        <v>263975</v>
      </c>
      <c r="G463">
        <v>163539</v>
      </c>
      <c r="H463">
        <v>6786</v>
      </c>
    </row>
    <row r="464" spans="1:10">
      <c r="A464" t="s">
        <v>551</v>
      </c>
      <c r="B464">
        <v>21</v>
      </c>
      <c r="C464">
        <v>21</v>
      </c>
      <c r="E464">
        <v>34205</v>
      </c>
      <c r="G464">
        <v>10805</v>
      </c>
      <c r="H464">
        <v>1000</v>
      </c>
    </row>
    <row r="465" spans="1:10">
      <c r="A465" t="s">
        <v>551</v>
      </c>
      <c r="B465">
        <v>21</v>
      </c>
      <c r="C465">
        <v>26</v>
      </c>
      <c r="F465">
        <v>61500</v>
      </c>
      <c r="G465">
        <v>17297</v>
      </c>
      <c r="I465">
        <v>25000</v>
      </c>
    </row>
    <row r="466" spans="1:10">
      <c r="A466" t="s">
        <v>551</v>
      </c>
      <c r="B466">
        <v>21</v>
      </c>
      <c r="C466">
        <v>27</v>
      </c>
      <c r="E466">
        <v>174983</v>
      </c>
      <c r="F466">
        <v>69845</v>
      </c>
      <c r="G466">
        <v>77545</v>
      </c>
      <c r="H466">
        <v>32701</v>
      </c>
      <c r="J466">
        <v>1000</v>
      </c>
    </row>
    <row r="467" spans="1:10">
      <c r="A467" t="s">
        <v>551</v>
      </c>
      <c r="B467">
        <v>24</v>
      </c>
      <c r="C467">
        <v>26</v>
      </c>
      <c r="I467">
        <v>44000</v>
      </c>
    </row>
    <row r="468" spans="1:10">
      <c r="A468" t="s">
        <v>551</v>
      </c>
      <c r="B468">
        <v>29</v>
      </c>
      <c r="C468">
        <v>27</v>
      </c>
      <c r="F468">
        <v>39178</v>
      </c>
      <c r="G468">
        <v>23305</v>
      </c>
    </row>
    <row r="469" spans="1:10">
      <c r="A469" t="s">
        <v>259</v>
      </c>
      <c r="B469">
        <v>21</v>
      </c>
      <c r="C469">
        <v>29</v>
      </c>
      <c r="I469">
        <v>750920</v>
      </c>
    </row>
    <row r="470" spans="1:10">
      <c r="A470" t="s">
        <v>259</v>
      </c>
      <c r="B470">
        <v>29</v>
      </c>
      <c r="C470">
        <v>29</v>
      </c>
      <c r="I470">
        <v>9000</v>
      </c>
    </row>
    <row r="471" spans="1:10">
      <c r="A471" t="s">
        <v>109</v>
      </c>
      <c r="B471">
        <v>21</v>
      </c>
      <c r="C471">
        <v>26</v>
      </c>
      <c r="I471">
        <v>115606</v>
      </c>
    </row>
    <row r="472" spans="1:10">
      <c r="A472" t="s">
        <v>109</v>
      </c>
      <c r="B472">
        <v>21</v>
      </c>
      <c r="C472">
        <v>27</v>
      </c>
      <c r="E472">
        <v>98020</v>
      </c>
      <c r="F472">
        <v>113024</v>
      </c>
      <c r="G472">
        <v>104803</v>
      </c>
    </row>
    <row r="473" spans="1:10">
      <c r="A473" t="s">
        <v>109</v>
      </c>
      <c r="B473">
        <v>24</v>
      </c>
      <c r="C473">
        <v>26</v>
      </c>
      <c r="I473">
        <v>43925</v>
      </c>
    </row>
    <row r="474" spans="1:10">
      <c r="A474" t="s">
        <v>477</v>
      </c>
      <c r="B474">
        <v>21</v>
      </c>
      <c r="C474">
        <v>26</v>
      </c>
      <c r="I474">
        <v>50000</v>
      </c>
    </row>
    <row r="475" spans="1:10">
      <c r="A475" t="s">
        <v>477</v>
      </c>
      <c r="B475">
        <v>21</v>
      </c>
      <c r="C475">
        <v>27</v>
      </c>
      <c r="E475">
        <v>43606</v>
      </c>
      <c r="G475">
        <v>18848</v>
      </c>
      <c r="H475">
        <v>750</v>
      </c>
      <c r="I475">
        <v>300</v>
      </c>
    </row>
    <row r="476" spans="1:10">
      <c r="A476" t="s">
        <v>477</v>
      </c>
      <c r="B476">
        <v>21</v>
      </c>
      <c r="C476">
        <v>29</v>
      </c>
      <c r="I476">
        <v>140000</v>
      </c>
    </row>
    <row r="477" spans="1:10">
      <c r="A477" t="s">
        <v>477</v>
      </c>
      <c r="B477">
        <v>24</v>
      </c>
      <c r="C477">
        <v>27</v>
      </c>
      <c r="F477">
        <v>10229</v>
      </c>
      <c r="G477">
        <v>6188</v>
      </c>
      <c r="H477">
        <v>500</v>
      </c>
    </row>
    <row r="478" spans="1:10">
      <c r="A478" t="s">
        <v>633</v>
      </c>
      <c r="B478">
        <v>21</v>
      </c>
      <c r="C478">
        <v>21</v>
      </c>
      <c r="E478">
        <v>36401</v>
      </c>
      <c r="G478">
        <v>11500</v>
      </c>
    </row>
    <row r="479" spans="1:10">
      <c r="A479" t="s">
        <v>633</v>
      </c>
      <c r="B479">
        <v>21</v>
      </c>
      <c r="C479">
        <v>27</v>
      </c>
      <c r="E479">
        <v>68269</v>
      </c>
      <c r="F479">
        <v>76221</v>
      </c>
      <c r="G479">
        <v>84505</v>
      </c>
      <c r="H479">
        <v>3500</v>
      </c>
      <c r="I479">
        <v>55000</v>
      </c>
    </row>
    <row r="480" spans="1:10">
      <c r="A480" t="s">
        <v>633</v>
      </c>
      <c r="B480">
        <v>21</v>
      </c>
      <c r="C480">
        <v>31</v>
      </c>
      <c r="J480">
        <v>1000</v>
      </c>
    </row>
    <row r="481" spans="1:10">
      <c r="A481" t="s">
        <v>633</v>
      </c>
      <c r="B481">
        <v>21</v>
      </c>
      <c r="C481">
        <v>32</v>
      </c>
      <c r="I481">
        <v>2500</v>
      </c>
    </row>
    <row r="482" spans="1:10">
      <c r="A482" t="s">
        <v>633</v>
      </c>
      <c r="B482">
        <v>21</v>
      </c>
      <c r="C482">
        <v>34</v>
      </c>
      <c r="E482">
        <v>1138</v>
      </c>
      <c r="G482">
        <v>193</v>
      </c>
    </row>
    <row r="483" spans="1:10">
      <c r="A483" t="s">
        <v>633</v>
      </c>
      <c r="B483">
        <v>24</v>
      </c>
      <c r="C483">
        <v>26</v>
      </c>
      <c r="I483">
        <v>36421</v>
      </c>
    </row>
    <row r="484" spans="1:10">
      <c r="A484" t="s">
        <v>633</v>
      </c>
      <c r="B484">
        <v>24</v>
      </c>
      <c r="C484">
        <v>27</v>
      </c>
      <c r="H484">
        <v>3086</v>
      </c>
    </row>
    <row r="485" spans="1:10">
      <c r="A485" t="s">
        <v>369</v>
      </c>
      <c r="B485">
        <v>21</v>
      </c>
      <c r="C485">
        <v>21</v>
      </c>
      <c r="E485">
        <v>32500</v>
      </c>
      <c r="F485">
        <v>19032</v>
      </c>
      <c r="G485">
        <v>17076</v>
      </c>
      <c r="J485">
        <v>2000</v>
      </c>
    </row>
    <row r="486" spans="1:10">
      <c r="A486" t="s">
        <v>369</v>
      </c>
      <c r="B486">
        <v>21</v>
      </c>
      <c r="C486">
        <v>24</v>
      </c>
      <c r="H486">
        <v>200</v>
      </c>
    </row>
    <row r="487" spans="1:10">
      <c r="A487" t="s">
        <v>369</v>
      </c>
      <c r="B487">
        <v>21</v>
      </c>
      <c r="C487">
        <v>25</v>
      </c>
      <c r="I487">
        <v>400</v>
      </c>
    </row>
    <row r="488" spans="1:10">
      <c r="A488" t="s">
        <v>369</v>
      </c>
      <c r="B488">
        <v>21</v>
      </c>
      <c r="C488">
        <v>26</v>
      </c>
      <c r="I488">
        <v>125000</v>
      </c>
    </row>
    <row r="489" spans="1:10">
      <c r="A489" t="s">
        <v>369</v>
      </c>
      <c r="B489">
        <v>21</v>
      </c>
      <c r="C489">
        <v>27</v>
      </c>
      <c r="D489">
        <v>100</v>
      </c>
      <c r="E489">
        <v>365559</v>
      </c>
      <c r="F489">
        <v>213657</v>
      </c>
      <c r="G489">
        <v>294703</v>
      </c>
      <c r="H489">
        <v>10000</v>
      </c>
      <c r="I489">
        <v>3400</v>
      </c>
    </row>
    <row r="490" spans="1:10">
      <c r="A490" t="s">
        <v>369</v>
      </c>
      <c r="B490">
        <v>21</v>
      </c>
      <c r="C490">
        <v>31</v>
      </c>
      <c r="I490">
        <v>5500</v>
      </c>
      <c r="J490">
        <v>2000</v>
      </c>
    </row>
    <row r="491" spans="1:10">
      <c r="A491" t="s">
        <v>369</v>
      </c>
      <c r="B491">
        <v>24</v>
      </c>
      <c r="C491">
        <v>26</v>
      </c>
      <c r="H491">
        <v>10000</v>
      </c>
      <c r="I491">
        <v>200000</v>
      </c>
    </row>
    <row r="492" spans="1:10">
      <c r="A492" t="s">
        <v>369</v>
      </c>
      <c r="B492">
        <v>24</v>
      </c>
      <c r="C492">
        <v>27</v>
      </c>
      <c r="I492">
        <v>200</v>
      </c>
    </row>
    <row r="493" spans="1:10">
      <c r="A493" t="s">
        <v>365</v>
      </c>
      <c r="B493">
        <v>21</v>
      </c>
      <c r="C493">
        <v>26</v>
      </c>
      <c r="E493">
        <v>22341</v>
      </c>
      <c r="I493">
        <v>200589</v>
      </c>
    </row>
    <row r="494" spans="1:10">
      <c r="A494" t="s">
        <v>365</v>
      </c>
      <c r="B494">
        <v>21</v>
      </c>
      <c r="C494">
        <v>27</v>
      </c>
      <c r="E494">
        <v>303180</v>
      </c>
      <c r="F494">
        <v>183709</v>
      </c>
      <c r="G494">
        <v>235991</v>
      </c>
      <c r="I494">
        <v>310500</v>
      </c>
    </row>
    <row r="495" spans="1:10">
      <c r="A495" t="s">
        <v>365</v>
      </c>
      <c r="B495">
        <v>21</v>
      </c>
      <c r="C495">
        <v>34</v>
      </c>
      <c r="E495">
        <v>4179</v>
      </c>
      <c r="G495">
        <v>737</v>
      </c>
    </row>
    <row r="496" spans="1:10">
      <c r="A496" t="s">
        <v>365</v>
      </c>
      <c r="B496">
        <v>24</v>
      </c>
      <c r="C496">
        <v>26</v>
      </c>
      <c r="I496">
        <v>70844</v>
      </c>
    </row>
    <row r="497" spans="1:9">
      <c r="A497" t="s">
        <v>365</v>
      </c>
      <c r="B497">
        <v>29</v>
      </c>
      <c r="C497">
        <v>26</v>
      </c>
      <c r="I497">
        <v>8433</v>
      </c>
    </row>
    <row r="498" spans="1:9">
      <c r="A498" t="s">
        <v>361</v>
      </c>
      <c r="B498">
        <v>21</v>
      </c>
      <c r="C498">
        <v>21</v>
      </c>
      <c r="E498">
        <v>453696</v>
      </c>
      <c r="F498">
        <v>187745</v>
      </c>
      <c r="G498">
        <v>178516</v>
      </c>
    </row>
    <row r="499" spans="1:9">
      <c r="A499" t="s">
        <v>361</v>
      </c>
      <c r="B499">
        <v>21</v>
      </c>
      <c r="C499">
        <v>26</v>
      </c>
      <c r="E499">
        <v>2916551</v>
      </c>
      <c r="F499">
        <v>163611</v>
      </c>
      <c r="G499">
        <v>965931</v>
      </c>
      <c r="I499">
        <v>1000742</v>
      </c>
    </row>
    <row r="500" spans="1:9">
      <c r="A500" t="s">
        <v>361</v>
      </c>
      <c r="B500">
        <v>21</v>
      </c>
      <c r="C500">
        <v>27</v>
      </c>
      <c r="E500">
        <v>7129897</v>
      </c>
      <c r="F500">
        <v>4558089</v>
      </c>
      <c r="G500">
        <v>4528987</v>
      </c>
    </row>
    <row r="501" spans="1:9">
      <c r="A501" t="s">
        <v>361</v>
      </c>
      <c r="B501">
        <v>21</v>
      </c>
      <c r="C501">
        <v>31</v>
      </c>
      <c r="E501">
        <v>428648</v>
      </c>
      <c r="G501">
        <v>82910</v>
      </c>
    </row>
    <row r="502" spans="1:9">
      <c r="A502" t="s">
        <v>361</v>
      </c>
      <c r="B502">
        <v>21</v>
      </c>
      <c r="C502">
        <v>34</v>
      </c>
      <c r="E502">
        <v>157867</v>
      </c>
      <c r="G502">
        <v>48504</v>
      </c>
    </row>
    <row r="503" spans="1:9">
      <c r="A503" t="s">
        <v>361</v>
      </c>
      <c r="B503">
        <v>24</v>
      </c>
      <c r="C503">
        <v>27</v>
      </c>
      <c r="F503">
        <v>653293</v>
      </c>
      <c r="G503">
        <v>378472</v>
      </c>
    </row>
    <row r="504" spans="1:9">
      <c r="A504" t="s">
        <v>361</v>
      </c>
      <c r="B504">
        <v>29</v>
      </c>
      <c r="C504">
        <v>26</v>
      </c>
      <c r="I504">
        <v>237389</v>
      </c>
    </row>
    <row r="505" spans="1:9">
      <c r="A505" t="s">
        <v>113</v>
      </c>
      <c r="B505">
        <v>21</v>
      </c>
      <c r="C505">
        <v>21</v>
      </c>
      <c r="E505">
        <v>136200</v>
      </c>
      <c r="F505">
        <v>24366</v>
      </c>
      <c r="G505">
        <v>49756</v>
      </c>
    </row>
    <row r="506" spans="1:9">
      <c r="A506" t="s">
        <v>113</v>
      </c>
      <c r="B506">
        <v>21</v>
      </c>
      <c r="C506">
        <v>26</v>
      </c>
      <c r="E506">
        <v>277516</v>
      </c>
      <c r="G506">
        <v>77681</v>
      </c>
      <c r="I506">
        <v>53000</v>
      </c>
    </row>
    <row r="507" spans="1:9">
      <c r="A507" t="s">
        <v>113</v>
      </c>
      <c r="B507">
        <v>21</v>
      </c>
      <c r="C507">
        <v>27</v>
      </c>
      <c r="E507">
        <v>828760</v>
      </c>
      <c r="F507">
        <v>645629</v>
      </c>
      <c r="G507">
        <v>581158</v>
      </c>
      <c r="H507">
        <v>10000</v>
      </c>
    </row>
    <row r="508" spans="1:9">
      <c r="A508" t="s">
        <v>113</v>
      </c>
      <c r="B508">
        <v>21</v>
      </c>
      <c r="C508">
        <v>29</v>
      </c>
      <c r="I508">
        <v>75000</v>
      </c>
    </row>
    <row r="509" spans="1:9">
      <c r="A509" t="s">
        <v>113</v>
      </c>
      <c r="B509">
        <v>21</v>
      </c>
      <c r="C509">
        <v>31</v>
      </c>
      <c r="I509">
        <v>3000</v>
      </c>
    </row>
    <row r="510" spans="1:9">
      <c r="A510" t="s">
        <v>113</v>
      </c>
      <c r="B510">
        <v>24</v>
      </c>
      <c r="C510">
        <v>26</v>
      </c>
      <c r="E510">
        <v>48084</v>
      </c>
      <c r="G510">
        <v>24173</v>
      </c>
    </row>
    <row r="511" spans="1:9">
      <c r="A511" t="s">
        <v>113</v>
      </c>
      <c r="B511">
        <v>24</v>
      </c>
      <c r="C511">
        <v>27</v>
      </c>
      <c r="E511">
        <v>102257</v>
      </c>
      <c r="G511">
        <v>32982</v>
      </c>
    </row>
    <row r="512" spans="1:9">
      <c r="A512" t="s">
        <v>509</v>
      </c>
      <c r="B512">
        <v>21</v>
      </c>
      <c r="C512">
        <v>21</v>
      </c>
      <c r="E512">
        <v>84200</v>
      </c>
      <c r="F512">
        <v>50378</v>
      </c>
      <c r="G512">
        <v>55347</v>
      </c>
      <c r="H512">
        <v>1000</v>
      </c>
      <c r="I512">
        <v>6150</v>
      </c>
    </row>
    <row r="513" spans="1:10">
      <c r="A513" t="s">
        <v>509</v>
      </c>
      <c r="B513">
        <v>21</v>
      </c>
      <c r="C513">
        <v>26</v>
      </c>
      <c r="E513">
        <v>411513</v>
      </c>
      <c r="G513">
        <v>129682</v>
      </c>
      <c r="H513">
        <v>1825</v>
      </c>
      <c r="I513">
        <v>403000</v>
      </c>
      <c r="J513">
        <v>2500</v>
      </c>
    </row>
    <row r="514" spans="1:10">
      <c r="A514" t="s">
        <v>509</v>
      </c>
      <c r="B514">
        <v>21</v>
      </c>
      <c r="C514">
        <v>27</v>
      </c>
      <c r="E514">
        <v>680934</v>
      </c>
      <c r="F514">
        <v>990477</v>
      </c>
      <c r="G514">
        <v>839160</v>
      </c>
      <c r="H514">
        <v>3350</v>
      </c>
    </row>
    <row r="515" spans="1:10">
      <c r="A515" t="s">
        <v>509</v>
      </c>
      <c r="B515">
        <v>21</v>
      </c>
      <c r="C515">
        <v>34</v>
      </c>
      <c r="E515">
        <v>4877</v>
      </c>
      <c r="G515">
        <v>824</v>
      </c>
    </row>
    <row r="516" spans="1:10">
      <c r="A516" t="s">
        <v>509</v>
      </c>
      <c r="B516">
        <v>24</v>
      </c>
      <c r="C516">
        <v>26</v>
      </c>
      <c r="E516">
        <v>163075</v>
      </c>
      <c r="G516">
        <v>53952</v>
      </c>
    </row>
    <row r="517" spans="1:10">
      <c r="A517" t="s">
        <v>509</v>
      </c>
      <c r="B517">
        <v>24</v>
      </c>
      <c r="C517">
        <v>27</v>
      </c>
      <c r="E517">
        <v>146840</v>
      </c>
      <c r="G517">
        <v>52422</v>
      </c>
    </row>
    <row r="518" spans="1:10">
      <c r="A518" t="s">
        <v>433</v>
      </c>
      <c r="B518">
        <v>21</v>
      </c>
      <c r="C518">
        <v>26</v>
      </c>
      <c r="I518">
        <v>134236</v>
      </c>
    </row>
    <row r="519" spans="1:10">
      <c r="A519" t="s">
        <v>433</v>
      </c>
      <c r="B519">
        <v>21</v>
      </c>
      <c r="C519">
        <v>27</v>
      </c>
      <c r="F519">
        <v>2810</v>
      </c>
      <c r="G519">
        <v>2029</v>
      </c>
      <c r="I519">
        <v>192000</v>
      </c>
    </row>
    <row r="520" spans="1:10">
      <c r="A520" t="s">
        <v>433</v>
      </c>
      <c r="B520">
        <v>24</v>
      </c>
      <c r="C520">
        <v>27</v>
      </c>
      <c r="I520">
        <v>10564</v>
      </c>
    </row>
    <row r="521" spans="1:10">
      <c r="A521" t="s">
        <v>433</v>
      </c>
      <c r="B521">
        <v>29</v>
      </c>
      <c r="C521">
        <v>27</v>
      </c>
      <c r="F521">
        <v>3371</v>
      </c>
      <c r="G521">
        <v>2434</v>
      </c>
    </row>
    <row r="522" spans="1:10">
      <c r="A522" t="s">
        <v>53</v>
      </c>
      <c r="B522">
        <v>21</v>
      </c>
      <c r="C522">
        <v>21</v>
      </c>
      <c r="E522">
        <v>14520</v>
      </c>
      <c r="G522">
        <v>3867</v>
      </c>
    </row>
    <row r="523" spans="1:10">
      <c r="A523" t="s">
        <v>53</v>
      </c>
      <c r="B523">
        <v>21</v>
      </c>
      <c r="C523">
        <v>25</v>
      </c>
      <c r="F523">
        <v>7772</v>
      </c>
      <c r="G523">
        <v>7952</v>
      </c>
    </row>
    <row r="524" spans="1:10">
      <c r="A524" t="s">
        <v>53</v>
      </c>
      <c r="B524">
        <v>21</v>
      </c>
      <c r="C524">
        <v>26</v>
      </c>
      <c r="F524">
        <v>19108</v>
      </c>
      <c r="G524">
        <v>3962</v>
      </c>
      <c r="H524">
        <v>155</v>
      </c>
      <c r="I524">
        <v>22641</v>
      </c>
    </row>
    <row r="525" spans="1:10">
      <c r="A525" t="s">
        <v>53</v>
      </c>
      <c r="B525">
        <v>21</v>
      </c>
      <c r="C525">
        <v>27</v>
      </c>
      <c r="E525">
        <v>37940</v>
      </c>
      <c r="F525">
        <v>24068</v>
      </c>
      <c r="G525">
        <v>44965</v>
      </c>
      <c r="H525">
        <v>2190</v>
      </c>
    </row>
    <row r="526" spans="1:10">
      <c r="A526" t="s">
        <v>53</v>
      </c>
      <c r="B526">
        <v>21</v>
      </c>
      <c r="C526">
        <v>31</v>
      </c>
      <c r="F526">
        <v>760</v>
      </c>
      <c r="G526">
        <v>125</v>
      </c>
      <c r="H526">
        <v>265</v>
      </c>
    </row>
    <row r="527" spans="1:10">
      <c r="A527" t="s">
        <v>53</v>
      </c>
      <c r="B527">
        <v>21</v>
      </c>
      <c r="C527">
        <v>34</v>
      </c>
      <c r="E527">
        <v>1250</v>
      </c>
      <c r="G527">
        <v>455</v>
      </c>
    </row>
    <row r="528" spans="1:10">
      <c r="A528" t="s">
        <v>53</v>
      </c>
      <c r="B528">
        <v>24</v>
      </c>
      <c r="C528">
        <v>26</v>
      </c>
      <c r="I528">
        <v>20431</v>
      </c>
    </row>
    <row r="529" spans="1:10">
      <c r="A529" t="s">
        <v>435</v>
      </c>
      <c r="B529">
        <v>21</v>
      </c>
      <c r="C529">
        <v>21</v>
      </c>
      <c r="E529">
        <v>121373</v>
      </c>
      <c r="G529">
        <v>35012</v>
      </c>
      <c r="H529">
        <v>600</v>
      </c>
      <c r="I529">
        <v>2786</v>
      </c>
      <c r="J529">
        <v>250</v>
      </c>
    </row>
    <row r="530" spans="1:10">
      <c r="A530" t="s">
        <v>435</v>
      </c>
      <c r="B530">
        <v>21</v>
      </c>
      <c r="C530">
        <v>26</v>
      </c>
      <c r="E530">
        <v>91871</v>
      </c>
      <c r="G530">
        <v>46674</v>
      </c>
      <c r="H530">
        <v>11000</v>
      </c>
      <c r="I530">
        <v>50478</v>
      </c>
    </row>
    <row r="531" spans="1:10">
      <c r="A531" t="s">
        <v>435</v>
      </c>
      <c r="B531">
        <v>21</v>
      </c>
      <c r="C531">
        <v>27</v>
      </c>
      <c r="E531">
        <v>336469</v>
      </c>
      <c r="F531">
        <v>242861</v>
      </c>
      <c r="G531">
        <v>251366</v>
      </c>
      <c r="H531">
        <v>3380</v>
      </c>
      <c r="I531">
        <v>5000</v>
      </c>
    </row>
    <row r="532" spans="1:10">
      <c r="A532" t="s">
        <v>435</v>
      </c>
      <c r="B532">
        <v>21</v>
      </c>
      <c r="C532">
        <v>33</v>
      </c>
      <c r="H532">
        <v>4600</v>
      </c>
    </row>
    <row r="533" spans="1:10">
      <c r="A533" t="s">
        <v>435</v>
      </c>
      <c r="B533">
        <v>21</v>
      </c>
      <c r="C533">
        <v>34</v>
      </c>
      <c r="E533">
        <v>11547</v>
      </c>
      <c r="G533">
        <v>1770</v>
      </c>
    </row>
    <row r="534" spans="1:10">
      <c r="A534" t="s">
        <v>435</v>
      </c>
      <c r="B534">
        <v>24</v>
      </c>
      <c r="C534">
        <v>26</v>
      </c>
      <c r="E534">
        <v>62834</v>
      </c>
      <c r="G534">
        <v>24840</v>
      </c>
      <c r="I534">
        <v>40814</v>
      </c>
    </row>
    <row r="535" spans="1:10">
      <c r="A535" t="s">
        <v>85</v>
      </c>
      <c r="B535">
        <v>21</v>
      </c>
      <c r="C535">
        <v>21</v>
      </c>
      <c r="E535">
        <v>69991</v>
      </c>
      <c r="F535">
        <v>51052</v>
      </c>
      <c r="G535">
        <v>43191</v>
      </c>
    </row>
    <row r="536" spans="1:10">
      <c r="A536" t="s">
        <v>85</v>
      </c>
      <c r="B536">
        <v>21</v>
      </c>
      <c r="C536">
        <v>25</v>
      </c>
      <c r="F536">
        <v>6308</v>
      </c>
      <c r="G536">
        <v>4105</v>
      </c>
    </row>
    <row r="537" spans="1:10">
      <c r="A537" t="s">
        <v>85</v>
      </c>
      <c r="B537">
        <v>21</v>
      </c>
      <c r="C537">
        <v>26</v>
      </c>
      <c r="E537">
        <v>348099</v>
      </c>
      <c r="G537">
        <v>120419</v>
      </c>
      <c r="I537">
        <v>102750</v>
      </c>
    </row>
    <row r="538" spans="1:10">
      <c r="A538" t="s">
        <v>85</v>
      </c>
      <c r="B538">
        <v>21</v>
      </c>
      <c r="C538">
        <v>27</v>
      </c>
      <c r="E538">
        <v>225296</v>
      </c>
      <c r="F538">
        <v>501334</v>
      </c>
      <c r="G538">
        <v>411865</v>
      </c>
      <c r="H538">
        <v>25000</v>
      </c>
      <c r="I538">
        <v>783000</v>
      </c>
    </row>
    <row r="539" spans="1:10">
      <c r="A539" t="s">
        <v>85</v>
      </c>
      <c r="B539">
        <v>21</v>
      </c>
      <c r="C539">
        <v>31</v>
      </c>
      <c r="E539">
        <v>10279</v>
      </c>
      <c r="G539">
        <v>3388</v>
      </c>
    </row>
    <row r="540" spans="1:10">
      <c r="A540" t="s">
        <v>85</v>
      </c>
      <c r="B540">
        <v>21</v>
      </c>
      <c r="C540">
        <v>34</v>
      </c>
      <c r="E540">
        <v>10278</v>
      </c>
    </row>
    <row r="541" spans="1:10">
      <c r="A541" t="s">
        <v>85</v>
      </c>
      <c r="B541">
        <v>24</v>
      </c>
      <c r="C541">
        <v>27</v>
      </c>
      <c r="E541">
        <v>186408</v>
      </c>
      <c r="G541">
        <v>59422</v>
      </c>
      <c r="H541">
        <v>16975</v>
      </c>
    </row>
    <row r="542" spans="1:10">
      <c r="A542" t="s">
        <v>85</v>
      </c>
      <c r="B542">
        <v>24</v>
      </c>
      <c r="C542">
        <v>31</v>
      </c>
      <c r="E542">
        <v>6213</v>
      </c>
      <c r="G542">
        <v>1012</v>
      </c>
    </row>
    <row r="543" spans="1:10">
      <c r="A543" t="s">
        <v>419</v>
      </c>
      <c r="B543">
        <v>21</v>
      </c>
      <c r="C543">
        <v>21</v>
      </c>
      <c r="E543">
        <v>93202</v>
      </c>
      <c r="F543">
        <v>28928</v>
      </c>
      <c r="G543">
        <v>29078</v>
      </c>
      <c r="H543">
        <v>300</v>
      </c>
      <c r="I543">
        <v>250</v>
      </c>
    </row>
    <row r="544" spans="1:10">
      <c r="A544" t="s">
        <v>419</v>
      </c>
      <c r="B544">
        <v>21</v>
      </c>
      <c r="C544">
        <v>26</v>
      </c>
      <c r="E544">
        <v>466026</v>
      </c>
      <c r="G544">
        <v>153022</v>
      </c>
      <c r="H544">
        <v>5200</v>
      </c>
      <c r="I544">
        <v>165538</v>
      </c>
    </row>
    <row r="545" spans="1:10">
      <c r="A545" t="s">
        <v>419</v>
      </c>
      <c r="B545">
        <v>21</v>
      </c>
      <c r="C545">
        <v>27</v>
      </c>
      <c r="E545">
        <v>522260</v>
      </c>
      <c r="F545">
        <v>789182</v>
      </c>
      <c r="G545">
        <v>653602</v>
      </c>
      <c r="H545">
        <v>13500</v>
      </c>
      <c r="I545">
        <v>125000</v>
      </c>
      <c r="J545">
        <v>1000</v>
      </c>
    </row>
    <row r="546" spans="1:10">
      <c r="A546" t="s">
        <v>419</v>
      </c>
      <c r="B546">
        <v>21</v>
      </c>
      <c r="C546">
        <v>31</v>
      </c>
      <c r="E546">
        <v>15837</v>
      </c>
      <c r="G546">
        <v>2585</v>
      </c>
      <c r="I546">
        <v>1500</v>
      </c>
    </row>
    <row r="547" spans="1:10">
      <c r="A547" t="s">
        <v>419</v>
      </c>
      <c r="B547">
        <v>21</v>
      </c>
      <c r="C547">
        <v>34</v>
      </c>
      <c r="E547">
        <v>15837</v>
      </c>
      <c r="G547">
        <v>4867</v>
      </c>
    </row>
    <row r="548" spans="1:10">
      <c r="A548" t="s">
        <v>419</v>
      </c>
      <c r="B548">
        <v>24</v>
      </c>
      <c r="C548">
        <v>27</v>
      </c>
      <c r="E548">
        <v>224688</v>
      </c>
      <c r="G548">
        <v>89078</v>
      </c>
    </row>
    <row r="549" spans="1:10">
      <c r="A549" t="s">
        <v>419</v>
      </c>
      <c r="B549">
        <v>24</v>
      </c>
      <c r="C549">
        <v>31</v>
      </c>
      <c r="E549">
        <v>7490</v>
      </c>
      <c r="G549">
        <v>2423</v>
      </c>
    </row>
    <row r="550" spans="1:10">
      <c r="A550" t="s">
        <v>479</v>
      </c>
      <c r="B550">
        <v>21</v>
      </c>
      <c r="C550">
        <v>21</v>
      </c>
      <c r="D550">
        <v>8200</v>
      </c>
      <c r="E550">
        <v>1263841</v>
      </c>
      <c r="F550">
        <v>1170779</v>
      </c>
      <c r="G550">
        <v>755503</v>
      </c>
      <c r="H550">
        <v>5100</v>
      </c>
      <c r="I550">
        <v>16373</v>
      </c>
      <c r="J550">
        <v>500</v>
      </c>
    </row>
    <row r="551" spans="1:10">
      <c r="A551" t="s">
        <v>479</v>
      </c>
      <c r="B551">
        <v>21</v>
      </c>
      <c r="C551">
        <v>24</v>
      </c>
      <c r="E551">
        <v>68027</v>
      </c>
      <c r="G551">
        <v>20597</v>
      </c>
    </row>
    <row r="552" spans="1:10">
      <c r="A552" t="s">
        <v>479</v>
      </c>
      <c r="B552">
        <v>21</v>
      </c>
      <c r="C552">
        <v>26</v>
      </c>
      <c r="E552">
        <v>32873694</v>
      </c>
      <c r="F552">
        <v>991222</v>
      </c>
      <c r="G552">
        <v>10575814</v>
      </c>
      <c r="H552">
        <v>282381</v>
      </c>
      <c r="I552">
        <v>904327</v>
      </c>
      <c r="J552">
        <v>18700</v>
      </c>
    </row>
    <row r="553" spans="1:10">
      <c r="A553" t="s">
        <v>479</v>
      </c>
      <c r="B553">
        <v>21</v>
      </c>
      <c r="C553">
        <v>27</v>
      </c>
      <c r="D553">
        <v>650</v>
      </c>
      <c r="E553">
        <v>74040332</v>
      </c>
      <c r="F553">
        <v>80134880</v>
      </c>
      <c r="G553">
        <v>52810808</v>
      </c>
      <c r="H553">
        <v>460005</v>
      </c>
      <c r="I553">
        <v>24466680</v>
      </c>
      <c r="J553">
        <v>8977</v>
      </c>
    </row>
    <row r="554" spans="1:10">
      <c r="A554" t="s">
        <v>479</v>
      </c>
      <c r="B554">
        <v>21</v>
      </c>
      <c r="C554">
        <v>31</v>
      </c>
      <c r="E554">
        <v>682472</v>
      </c>
      <c r="F554">
        <v>531429</v>
      </c>
      <c r="G554">
        <v>307596</v>
      </c>
      <c r="H554">
        <v>14516</v>
      </c>
      <c r="I554">
        <v>20000</v>
      </c>
      <c r="J554">
        <v>2136</v>
      </c>
    </row>
    <row r="555" spans="1:10">
      <c r="A555" t="s">
        <v>479</v>
      </c>
      <c r="B555">
        <v>21</v>
      </c>
      <c r="C555">
        <v>33</v>
      </c>
      <c r="H555">
        <v>77521</v>
      </c>
    </row>
    <row r="556" spans="1:10">
      <c r="A556" t="s">
        <v>479</v>
      </c>
      <c r="B556">
        <v>24</v>
      </c>
      <c r="C556">
        <v>21</v>
      </c>
      <c r="E556">
        <v>1891183</v>
      </c>
      <c r="F556">
        <v>276754</v>
      </c>
      <c r="G556">
        <v>533941</v>
      </c>
      <c r="J556">
        <v>1112</v>
      </c>
    </row>
    <row r="557" spans="1:10">
      <c r="A557" t="s">
        <v>479</v>
      </c>
      <c r="B557">
        <v>24</v>
      </c>
      <c r="C557">
        <v>26</v>
      </c>
      <c r="E557">
        <v>1209968</v>
      </c>
      <c r="F557">
        <v>71210</v>
      </c>
      <c r="G557">
        <v>396713</v>
      </c>
      <c r="H557">
        <v>191673</v>
      </c>
      <c r="J557">
        <v>3400</v>
      </c>
    </row>
    <row r="558" spans="1:10">
      <c r="A558" t="s">
        <v>479</v>
      </c>
      <c r="B558">
        <v>24</v>
      </c>
      <c r="C558">
        <v>27</v>
      </c>
      <c r="E558">
        <v>1545702</v>
      </c>
      <c r="F558">
        <v>2412080</v>
      </c>
      <c r="G558">
        <v>1500794</v>
      </c>
      <c r="H558">
        <v>301420</v>
      </c>
      <c r="I558">
        <v>3279174</v>
      </c>
      <c r="J558">
        <v>4716</v>
      </c>
    </row>
    <row r="559" spans="1:10">
      <c r="A559" t="s">
        <v>479</v>
      </c>
      <c r="B559">
        <v>24</v>
      </c>
      <c r="C559">
        <v>31</v>
      </c>
      <c r="E559">
        <v>2102668</v>
      </c>
      <c r="G559">
        <v>521836</v>
      </c>
      <c r="I559">
        <v>45808</v>
      </c>
      <c r="J559">
        <v>15123</v>
      </c>
    </row>
    <row r="560" spans="1:10">
      <c r="A560" t="s">
        <v>171</v>
      </c>
      <c r="B560">
        <v>21</v>
      </c>
      <c r="C560">
        <v>21</v>
      </c>
      <c r="D560">
        <v>50</v>
      </c>
      <c r="E560">
        <v>1902226</v>
      </c>
      <c r="F560">
        <v>397387</v>
      </c>
      <c r="G560">
        <v>666473</v>
      </c>
      <c r="H560">
        <v>2500</v>
      </c>
      <c r="I560">
        <v>4950</v>
      </c>
      <c r="J560">
        <v>2000</v>
      </c>
    </row>
    <row r="561" spans="1:10">
      <c r="A561" t="s">
        <v>171</v>
      </c>
      <c r="B561">
        <v>21</v>
      </c>
      <c r="C561">
        <v>26</v>
      </c>
      <c r="D561">
        <v>1464</v>
      </c>
      <c r="E561">
        <v>11137559</v>
      </c>
      <c r="F561">
        <v>1052742</v>
      </c>
      <c r="G561">
        <v>3944849</v>
      </c>
      <c r="H561">
        <v>133750</v>
      </c>
      <c r="I561">
        <v>63225</v>
      </c>
      <c r="J561">
        <v>11750</v>
      </c>
    </row>
    <row r="562" spans="1:10">
      <c r="A562" t="s">
        <v>171</v>
      </c>
      <c r="B562">
        <v>21</v>
      </c>
      <c r="C562">
        <v>27</v>
      </c>
      <c r="D562">
        <v>15313</v>
      </c>
      <c r="E562">
        <v>12957205</v>
      </c>
      <c r="F562">
        <v>12715108</v>
      </c>
      <c r="G562">
        <v>11939881</v>
      </c>
      <c r="H562">
        <v>86220</v>
      </c>
      <c r="I562">
        <v>6774162</v>
      </c>
      <c r="J562">
        <v>13600</v>
      </c>
    </row>
    <row r="563" spans="1:10">
      <c r="A563" t="s">
        <v>171</v>
      </c>
      <c r="B563">
        <v>21</v>
      </c>
      <c r="C563">
        <v>29</v>
      </c>
      <c r="I563">
        <v>60000</v>
      </c>
    </row>
    <row r="564" spans="1:10">
      <c r="A564" t="s">
        <v>171</v>
      </c>
      <c r="B564">
        <v>21</v>
      </c>
      <c r="C564">
        <v>31</v>
      </c>
      <c r="E564">
        <v>282292</v>
      </c>
      <c r="F564">
        <v>59036</v>
      </c>
      <c r="G564">
        <v>72032</v>
      </c>
      <c r="H564">
        <v>8000</v>
      </c>
      <c r="I564">
        <v>32050</v>
      </c>
      <c r="J564">
        <v>4100</v>
      </c>
    </row>
    <row r="565" spans="1:10">
      <c r="A565" t="s">
        <v>171</v>
      </c>
      <c r="B565">
        <v>21</v>
      </c>
      <c r="C565">
        <v>32</v>
      </c>
      <c r="H565">
        <v>11900</v>
      </c>
    </row>
    <row r="566" spans="1:10">
      <c r="A566" t="s">
        <v>171</v>
      </c>
      <c r="B566">
        <v>21</v>
      </c>
      <c r="C566">
        <v>33</v>
      </c>
      <c r="H566">
        <v>35000</v>
      </c>
      <c r="I566">
        <v>45500</v>
      </c>
    </row>
    <row r="567" spans="1:10">
      <c r="A567" t="s">
        <v>171</v>
      </c>
      <c r="B567">
        <v>21</v>
      </c>
      <c r="C567">
        <v>34</v>
      </c>
      <c r="E567">
        <v>681000</v>
      </c>
      <c r="G567">
        <v>112380</v>
      </c>
    </row>
    <row r="568" spans="1:10">
      <c r="A568" t="s">
        <v>171</v>
      </c>
      <c r="B568">
        <v>24</v>
      </c>
      <c r="C568">
        <v>21</v>
      </c>
      <c r="E568">
        <v>58029</v>
      </c>
      <c r="G568">
        <v>17348</v>
      </c>
    </row>
    <row r="569" spans="1:10">
      <c r="A569" t="s">
        <v>171</v>
      </c>
      <c r="B569">
        <v>24</v>
      </c>
      <c r="C569">
        <v>27</v>
      </c>
      <c r="E569">
        <v>3704590</v>
      </c>
      <c r="F569">
        <v>2000</v>
      </c>
      <c r="G569">
        <v>1198876</v>
      </c>
    </row>
    <row r="570" spans="1:10">
      <c r="A570" t="s">
        <v>171</v>
      </c>
      <c r="B570">
        <v>24</v>
      </c>
      <c r="C570">
        <v>31</v>
      </c>
      <c r="E570">
        <v>112039</v>
      </c>
      <c r="G570">
        <v>18517</v>
      </c>
    </row>
    <row r="571" spans="1:10">
      <c r="A571" t="s">
        <v>157</v>
      </c>
      <c r="B571">
        <v>21</v>
      </c>
      <c r="C571">
        <v>21</v>
      </c>
      <c r="E571">
        <v>399669</v>
      </c>
      <c r="F571">
        <v>99693</v>
      </c>
      <c r="G571">
        <v>137003</v>
      </c>
      <c r="H571">
        <v>1216</v>
      </c>
      <c r="I571">
        <v>3086</v>
      </c>
      <c r="J571">
        <v>3239</v>
      </c>
    </row>
    <row r="572" spans="1:10">
      <c r="A572" t="s">
        <v>157</v>
      </c>
      <c r="B572">
        <v>21</v>
      </c>
      <c r="C572">
        <v>26</v>
      </c>
      <c r="E572">
        <v>1207961</v>
      </c>
      <c r="F572">
        <v>6726</v>
      </c>
      <c r="G572">
        <v>371563</v>
      </c>
      <c r="H572">
        <v>4556</v>
      </c>
      <c r="I572">
        <v>1235104</v>
      </c>
      <c r="J572">
        <v>2367</v>
      </c>
    </row>
    <row r="573" spans="1:10">
      <c r="A573" t="s">
        <v>157</v>
      </c>
      <c r="B573">
        <v>21</v>
      </c>
      <c r="C573">
        <v>27</v>
      </c>
      <c r="D573">
        <v>621</v>
      </c>
      <c r="E573">
        <v>2973880</v>
      </c>
      <c r="F573">
        <v>2419998</v>
      </c>
      <c r="G573">
        <v>2486625</v>
      </c>
      <c r="H573">
        <v>12810</v>
      </c>
      <c r="I573">
        <v>1623976</v>
      </c>
      <c r="J573">
        <v>752</v>
      </c>
    </row>
    <row r="574" spans="1:10">
      <c r="A574" t="s">
        <v>157</v>
      </c>
      <c r="B574">
        <v>21</v>
      </c>
      <c r="C574">
        <v>31</v>
      </c>
      <c r="D574">
        <v>69</v>
      </c>
      <c r="E574">
        <v>67146</v>
      </c>
      <c r="G574">
        <v>10917</v>
      </c>
      <c r="H574">
        <v>147</v>
      </c>
      <c r="I574">
        <v>10161</v>
      </c>
      <c r="J574">
        <v>11039</v>
      </c>
    </row>
    <row r="575" spans="1:10">
      <c r="A575" t="s">
        <v>157</v>
      </c>
      <c r="B575">
        <v>21</v>
      </c>
      <c r="C575">
        <v>32</v>
      </c>
      <c r="H575">
        <v>600</v>
      </c>
      <c r="I575">
        <v>4125</v>
      </c>
    </row>
    <row r="576" spans="1:10">
      <c r="A576" t="s">
        <v>157</v>
      </c>
      <c r="B576">
        <v>21</v>
      </c>
      <c r="C576">
        <v>33</v>
      </c>
      <c r="H576">
        <v>26286</v>
      </c>
      <c r="I576">
        <v>16618</v>
      </c>
    </row>
    <row r="577" spans="1:10">
      <c r="A577" t="s">
        <v>157</v>
      </c>
      <c r="B577">
        <v>21</v>
      </c>
      <c r="C577">
        <v>34</v>
      </c>
      <c r="E577">
        <v>107744</v>
      </c>
      <c r="G577">
        <v>17477</v>
      </c>
    </row>
    <row r="578" spans="1:10">
      <c r="A578" t="s">
        <v>157</v>
      </c>
      <c r="B578">
        <v>24</v>
      </c>
      <c r="C578">
        <v>26</v>
      </c>
      <c r="E578">
        <v>424835</v>
      </c>
      <c r="G578">
        <v>131556</v>
      </c>
      <c r="H578">
        <v>1500</v>
      </c>
    </row>
    <row r="579" spans="1:10">
      <c r="A579" t="s">
        <v>157</v>
      </c>
      <c r="B579">
        <v>24</v>
      </c>
      <c r="C579">
        <v>27</v>
      </c>
      <c r="E579">
        <v>399979</v>
      </c>
      <c r="F579">
        <v>17863</v>
      </c>
      <c r="G579">
        <v>141674</v>
      </c>
      <c r="H579">
        <v>4500</v>
      </c>
    </row>
    <row r="580" spans="1:10">
      <c r="A580" t="s">
        <v>157</v>
      </c>
      <c r="B580">
        <v>24</v>
      </c>
      <c r="C580">
        <v>31</v>
      </c>
      <c r="E580">
        <v>37891</v>
      </c>
      <c r="G580">
        <v>6291</v>
      </c>
    </row>
    <row r="581" spans="1:10">
      <c r="A581" t="s">
        <v>303</v>
      </c>
      <c r="B581">
        <v>21</v>
      </c>
      <c r="C581">
        <v>21</v>
      </c>
      <c r="E581">
        <v>382029</v>
      </c>
      <c r="F581">
        <v>147759</v>
      </c>
      <c r="G581">
        <v>143946</v>
      </c>
      <c r="H581">
        <v>2500</v>
      </c>
      <c r="I581">
        <v>46900</v>
      </c>
      <c r="J581">
        <v>1661</v>
      </c>
    </row>
    <row r="582" spans="1:10">
      <c r="A582" t="s">
        <v>303</v>
      </c>
      <c r="B582">
        <v>21</v>
      </c>
      <c r="C582">
        <v>24</v>
      </c>
      <c r="E582">
        <v>33869</v>
      </c>
      <c r="G582">
        <v>10235</v>
      </c>
      <c r="I582">
        <v>400</v>
      </c>
    </row>
    <row r="583" spans="1:10">
      <c r="A583" t="s">
        <v>303</v>
      </c>
      <c r="B583">
        <v>21</v>
      </c>
      <c r="C583">
        <v>25</v>
      </c>
      <c r="F583">
        <v>14620</v>
      </c>
      <c r="G583">
        <v>21984</v>
      </c>
    </row>
    <row r="584" spans="1:10">
      <c r="A584" t="s">
        <v>303</v>
      </c>
      <c r="B584">
        <v>21</v>
      </c>
      <c r="C584">
        <v>26</v>
      </c>
      <c r="E584">
        <v>1474876</v>
      </c>
      <c r="F584">
        <v>122548</v>
      </c>
      <c r="G584">
        <v>517057</v>
      </c>
      <c r="H584">
        <v>8200</v>
      </c>
      <c r="I584">
        <v>212500</v>
      </c>
      <c r="J584">
        <v>1000</v>
      </c>
    </row>
    <row r="585" spans="1:10">
      <c r="A585" t="s">
        <v>303</v>
      </c>
      <c r="B585">
        <v>21</v>
      </c>
      <c r="C585">
        <v>27</v>
      </c>
      <c r="E585">
        <v>2150281</v>
      </c>
      <c r="F585">
        <v>1873588</v>
      </c>
      <c r="G585">
        <v>1644320</v>
      </c>
      <c r="H585">
        <v>4200</v>
      </c>
      <c r="I585">
        <v>1286400</v>
      </c>
      <c r="J585">
        <v>10000</v>
      </c>
    </row>
    <row r="586" spans="1:10">
      <c r="A586" t="s">
        <v>303</v>
      </c>
      <c r="B586">
        <v>21</v>
      </c>
      <c r="C586">
        <v>31</v>
      </c>
      <c r="E586">
        <v>265121</v>
      </c>
      <c r="F586">
        <v>6400</v>
      </c>
      <c r="G586">
        <v>74094</v>
      </c>
      <c r="H586">
        <v>2500</v>
      </c>
      <c r="I586">
        <v>12000</v>
      </c>
      <c r="J586">
        <v>500</v>
      </c>
    </row>
    <row r="587" spans="1:10">
      <c r="A587" t="s">
        <v>303</v>
      </c>
      <c r="B587">
        <v>21</v>
      </c>
      <c r="C587">
        <v>33</v>
      </c>
      <c r="H587">
        <v>7500</v>
      </c>
      <c r="I587">
        <v>6000</v>
      </c>
    </row>
    <row r="588" spans="1:10">
      <c r="A588" t="s">
        <v>303</v>
      </c>
      <c r="B588">
        <v>21</v>
      </c>
      <c r="C588">
        <v>34</v>
      </c>
      <c r="E588">
        <v>59161</v>
      </c>
      <c r="G588">
        <v>9682</v>
      </c>
    </row>
    <row r="589" spans="1:10">
      <c r="A589" t="s">
        <v>303</v>
      </c>
      <c r="B589">
        <v>24</v>
      </c>
      <c r="C589">
        <v>24</v>
      </c>
      <c r="E589">
        <v>102023</v>
      </c>
      <c r="G589">
        <v>32383</v>
      </c>
    </row>
    <row r="590" spans="1:10">
      <c r="A590" t="s">
        <v>303</v>
      </c>
      <c r="B590">
        <v>24</v>
      </c>
      <c r="C590">
        <v>26</v>
      </c>
      <c r="E590">
        <v>454245</v>
      </c>
      <c r="G590">
        <v>136607</v>
      </c>
    </row>
    <row r="591" spans="1:10">
      <c r="A591" t="s">
        <v>303</v>
      </c>
      <c r="B591">
        <v>24</v>
      </c>
      <c r="C591">
        <v>27</v>
      </c>
      <c r="F591">
        <v>84037</v>
      </c>
      <c r="G591">
        <v>47281</v>
      </c>
    </row>
    <row r="592" spans="1:10">
      <c r="A592" t="s">
        <v>303</v>
      </c>
      <c r="B592">
        <v>24</v>
      </c>
      <c r="C592">
        <v>31</v>
      </c>
      <c r="E592">
        <v>3443</v>
      </c>
      <c r="G592">
        <v>563</v>
      </c>
    </row>
    <row r="593" spans="1:10">
      <c r="A593" t="s">
        <v>209</v>
      </c>
      <c r="B593">
        <v>21</v>
      </c>
      <c r="C593">
        <v>21</v>
      </c>
      <c r="E593">
        <v>585994</v>
      </c>
      <c r="F593">
        <v>195719</v>
      </c>
      <c r="G593">
        <v>199560</v>
      </c>
    </row>
    <row r="594" spans="1:10">
      <c r="A594" t="s">
        <v>209</v>
      </c>
      <c r="B594">
        <v>21</v>
      </c>
      <c r="C594">
        <v>24</v>
      </c>
      <c r="E594">
        <v>260575</v>
      </c>
      <c r="G594">
        <v>74931</v>
      </c>
      <c r="J594">
        <v>800</v>
      </c>
    </row>
    <row r="595" spans="1:10">
      <c r="A595" t="s">
        <v>209</v>
      </c>
      <c r="B595">
        <v>21</v>
      </c>
      <c r="C595">
        <v>26</v>
      </c>
      <c r="E595">
        <v>10896936</v>
      </c>
      <c r="F595">
        <v>1410666</v>
      </c>
      <c r="G595">
        <v>3776514</v>
      </c>
      <c r="H595">
        <v>85500</v>
      </c>
      <c r="J595">
        <v>19250</v>
      </c>
    </row>
    <row r="596" spans="1:10">
      <c r="A596" t="s">
        <v>209</v>
      </c>
      <c r="B596">
        <v>21</v>
      </c>
      <c r="C596">
        <v>27</v>
      </c>
      <c r="E596">
        <v>20043360</v>
      </c>
      <c r="F596">
        <v>16137041</v>
      </c>
      <c r="G596">
        <v>14796073</v>
      </c>
      <c r="H596">
        <v>84000</v>
      </c>
      <c r="I596">
        <v>131000</v>
      </c>
      <c r="J596">
        <v>19250</v>
      </c>
    </row>
    <row r="597" spans="1:10">
      <c r="A597" t="s">
        <v>209</v>
      </c>
      <c r="B597">
        <v>21</v>
      </c>
      <c r="C597">
        <v>28</v>
      </c>
      <c r="H597">
        <v>15000</v>
      </c>
    </row>
    <row r="598" spans="1:10">
      <c r="A598" t="s">
        <v>209</v>
      </c>
      <c r="B598">
        <v>21</v>
      </c>
      <c r="C598">
        <v>31</v>
      </c>
      <c r="E598">
        <v>44650</v>
      </c>
      <c r="G598">
        <v>450</v>
      </c>
    </row>
    <row r="599" spans="1:10">
      <c r="A599" t="s">
        <v>209</v>
      </c>
      <c r="B599">
        <v>21</v>
      </c>
      <c r="C599">
        <v>32</v>
      </c>
      <c r="H599">
        <v>38000</v>
      </c>
      <c r="I599">
        <v>50000</v>
      </c>
    </row>
    <row r="600" spans="1:10">
      <c r="A600" t="s">
        <v>209</v>
      </c>
      <c r="B600">
        <v>21</v>
      </c>
      <c r="C600">
        <v>33</v>
      </c>
      <c r="H600">
        <v>60000</v>
      </c>
    </row>
    <row r="601" spans="1:10">
      <c r="A601" t="s">
        <v>209</v>
      </c>
      <c r="B601">
        <v>21</v>
      </c>
      <c r="C601">
        <v>34</v>
      </c>
      <c r="E601">
        <v>307126</v>
      </c>
    </row>
    <row r="602" spans="1:10">
      <c r="A602" t="s">
        <v>209</v>
      </c>
      <c r="B602">
        <v>24</v>
      </c>
      <c r="C602">
        <v>21</v>
      </c>
      <c r="F602">
        <v>120098</v>
      </c>
      <c r="G602">
        <v>48563</v>
      </c>
    </row>
    <row r="603" spans="1:10">
      <c r="A603" t="s">
        <v>209</v>
      </c>
      <c r="B603">
        <v>24</v>
      </c>
      <c r="C603">
        <v>27</v>
      </c>
      <c r="E603">
        <v>2088607</v>
      </c>
      <c r="F603">
        <v>1276310</v>
      </c>
      <c r="G603">
        <v>1377679</v>
      </c>
    </row>
    <row r="604" spans="1:10">
      <c r="A604" t="s">
        <v>585</v>
      </c>
      <c r="B604">
        <v>21</v>
      </c>
      <c r="C604">
        <v>21</v>
      </c>
      <c r="E604">
        <v>130835</v>
      </c>
      <c r="F604">
        <v>52348</v>
      </c>
      <c r="G604">
        <v>54664</v>
      </c>
      <c r="H604">
        <v>1000</v>
      </c>
      <c r="I604">
        <v>9250</v>
      </c>
    </row>
    <row r="605" spans="1:10">
      <c r="A605" t="s">
        <v>585</v>
      </c>
      <c r="B605">
        <v>21</v>
      </c>
      <c r="C605">
        <v>26</v>
      </c>
      <c r="E605">
        <v>97622</v>
      </c>
      <c r="G605">
        <v>32601</v>
      </c>
      <c r="H605">
        <v>9000</v>
      </c>
      <c r="I605">
        <v>182000</v>
      </c>
    </row>
    <row r="606" spans="1:10">
      <c r="A606" t="s">
        <v>585</v>
      </c>
      <c r="B606">
        <v>21</v>
      </c>
      <c r="C606">
        <v>27</v>
      </c>
      <c r="E606">
        <v>789757</v>
      </c>
      <c r="F606">
        <v>816491</v>
      </c>
      <c r="G606">
        <v>728375</v>
      </c>
      <c r="I606">
        <v>500000</v>
      </c>
    </row>
    <row r="607" spans="1:10">
      <c r="A607" t="s">
        <v>585</v>
      </c>
      <c r="B607">
        <v>21</v>
      </c>
      <c r="C607">
        <v>31</v>
      </c>
      <c r="I607">
        <v>2100</v>
      </c>
    </row>
    <row r="608" spans="1:10">
      <c r="A608" t="s">
        <v>585</v>
      </c>
      <c r="B608">
        <v>24</v>
      </c>
      <c r="C608">
        <v>21</v>
      </c>
      <c r="E608">
        <v>17445</v>
      </c>
      <c r="G608">
        <v>4339</v>
      </c>
    </row>
    <row r="609" spans="1:10">
      <c r="A609" t="s">
        <v>585</v>
      </c>
      <c r="B609">
        <v>24</v>
      </c>
      <c r="C609">
        <v>26</v>
      </c>
      <c r="I609">
        <v>220000</v>
      </c>
    </row>
    <row r="610" spans="1:10">
      <c r="A610" t="s">
        <v>585</v>
      </c>
      <c r="B610">
        <v>24</v>
      </c>
      <c r="C610">
        <v>27</v>
      </c>
      <c r="E610">
        <v>88701</v>
      </c>
      <c r="G610">
        <v>31694</v>
      </c>
    </row>
    <row r="611" spans="1:10">
      <c r="A611" t="s">
        <v>585</v>
      </c>
      <c r="B611">
        <v>24</v>
      </c>
      <c r="C611">
        <v>31</v>
      </c>
      <c r="I611">
        <v>1000</v>
      </c>
    </row>
    <row r="612" spans="1:10">
      <c r="A612" t="s">
        <v>451</v>
      </c>
      <c r="B612">
        <v>21</v>
      </c>
      <c r="C612">
        <v>21</v>
      </c>
      <c r="E612">
        <v>666267</v>
      </c>
      <c r="F612">
        <v>383407</v>
      </c>
      <c r="G612">
        <v>284645</v>
      </c>
      <c r="H612">
        <v>15300</v>
      </c>
    </row>
    <row r="613" spans="1:10">
      <c r="A613" t="s">
        <v>451</v>
      </c>
      <c r="B613">
        <v>21</v>
      </c>
      <c r="C613">
        <v>23</v>
      </c>
      <c r="E613">
        <v>154928</v>
      </c>
      <c r="F613">
        <v>232450</v>
      </c>
      <c r="G613">
        <v>144947</v>
      </c>
    </row>
    <row r="614" spans="1:10">
      <c r="A614" t="s">
        <v>451</v>
      </c>
      <c r="B614">
        <v>21</v>
      </c>
      <c r="C614">
        <v>24</v>
      </c>
      <c r="E614">
        <v>125886</v>
      </c>
      <c r="G614">
        <v>36776</v>
      </c>
    </row>
    <row r="615" spans="1:10">
      <c r="A615" t="s">
        <v>451</v>
      </c>
      <c r="B615">
        <v>21</v>
      </c>
      <c r="C615">
        <v>25</v>
      </c>
      <c r="F615">
        <v>874438</v>
      </c>
      <c r="G615">
        <v>379517</v>
      </c>
    </row>
    <row r="616" spans="1:10">
      <c r="A616" t="s">
        <v>451</v>
      </c>
      <c r="B616">
        <v>21</v>
      </c>
      <c r="C616">
        <v>26</v>
      </c>
      <c r="E616">
        <v>8634078</v>
      </c>
      <c r="F616">
        <v>617507</v>
      </c>
      <c r="G616">
        <v>3033021</v>
      </c>
      <c r="H616">
        <v>4430</v>
      </c>
      <c r="I616">
        <v>391112</v>
      </c>
      <c r="J616">
        <v>3400</v>
      </c>
    </row>
    <row r="617" spans="1:10">
      <c r="A617" t="s">
        <v>451</v>
      </c>
      <c r="B617">
        <v>21</v>
      </c>
      <c r="C617">
        <v>27</v>
      </c>
      <c r="E617">
        <v>12292547</v>
      </c>
      <c r="F617">
        <v>14469592</v>
      </c>
      <c r="G617">
        <v>11683844</v>
      </c>
      <c r="H617">
        <v>29178</v>
      </c>
      <c r="I617">
        <v>1698942</v>
      </c>
      <c r="J617">
        <v>3000</v>
      </c>
    </row>
    <row r="618" spans="1:10">
      <c r="A618" t="s">
        <v>451</v>
      </c>
      <c r="B618">
        <v>21</v>
      </c>
      <c r="C618">
        <v>31</v>
      </c>
      <c r="E618">
        <v>103513</v>
      </c>
      <c r="G618">
        <v>25109</v>
      </c>
      <c r="I618">
        <v>12319</v>
      </c>
    </row>
    <row r="619" spans="1:10">
      <c r="A619" t="s">
        <v>451</v>
      </c>
      <c r="B619">
        <v>21</v>
      </c>
      <c r="C619">
        <v>34</v>
      </c>
      <c r="E619">
        <v>1274</v>
      </c>
      <c r="G619">
        <v>217</v>
      </c>
    </row>
    <row r="620" spans="1:10">
      <c r="A620" t="s">
        <v>451</v>
      </c>
      <c r="B620">
        <v>24</v>
      </c>
      <c r="C620">
        <v>27</v>
      </c>
      <c r="E620">
        <v>2767171</v>
      </c>
      <c r="G620">
        <v>801481</v>
      </c>
      <c r="H620">
        <v>66859</v>
      </c>
    </row>
    <row r="621" spans="1:10">
      <c r="A621" t="s">
        <v>451</v>
      </c>
      <c r="B621">
        <v>24</v>
      </c>
      <c r="C621">
        <v>31</v>
      </c>
      <c r="E621">
        <v>115312</v>
      </c>
      <c r="G621">
        <v>19358</v>
      </c>
    </row>
    <row r="622" spans="1:10">
      <c r="A622" t="s">
        <v>497</v>
      </c>
      <c r="B622">
        <v>21</v>
      </c>
      <c r="C622">
        <v>26</v>
      </c>
      <c r="I622">
        <v>47692</v>
      </c>
      <c r="J622">
        <v>500</v>
      </c>
    </row>
    <row r="623" spans="1:10">
      <c r="A623" t="s">
        <v>497</v>
      </c>
      <c r="B623">
        <v>21</v>
      </c>
      <c r="C623">
        <v>27</v>
      </c>
      <c r="E623">
        <v>132500</v>
      </c>
      <c r="F623">
        <v>11775</v>
      </c>
      <c r="G623">
        <v>47190</v>
      </c>
      <c r="H623">
        <v>3300</v>
      </c>
      <c r="I623">
        <v>300</v>
      </c>
    </row>
    <row r="624" spans="1:10">
      <c r="A624" t="s">
        <v>497</v>
      </c>
      <c r="B624">
        <v>21</v>
      </c>
      <c r="C624">
        <v>34</v>
      </c>
      <c r="E624">
        <v>2098</v>
      </c>
      <c r="G624">
        <v>375</v>
      </c>
    </row>
    <row r="625" spans="1:10">
      <c r="A625" t="s">
        <v>497</v>
      </c>
      <c r="B625">
        <v>24</v>
      </c>
      <c r="C625">
        <v>27</v>
      </c>
      <c r="I625">
        <v>13000</v>
      </c>
    </row>
    <row r="626" spans="1:10">
      <c r="A626" t="s">
        <v>30</v>
      </c>
      <c r="B626">
        <v>21</v>
      </c>
      <c r="C626">
        <v>21</v>
      </c>
      <c r="E626">
        <v>1136247</v>
      </c>
      <c r="F626">
        <v>545063</v>
      </c>
      <c r="G626">
        <v>492461</v>
      </c>
      <c r="H626">
        <v>1000</v>
      </c>
    </row>
    <row r="627" spans="1:10">
      <c r="A627" t="s">
        <v>30</v>
      </c>
      <c r="B627">
        <v>21</v>
      </c>
      <c r="C627">
        <v>24</v>
      </c>
      <c r="E627">
        <v>992232</v>
      </c>
      <c r="G627">
        <v>317435</v>
      </c>
      <c r="H627">
        <v>500</v>
      </c>
      <c r="I627">
        <v>6000</v>
      </c>
    </row>
    <row r="628" spans="1:10">
      <c r="A628" t="s">
        <v>30</v>
      </c>
      <c r="B628">
        <v>21</v>
      </c>
      <c r="C628">
        <v>26</v>
      </c>
      <c r="E628">
        <v>10869566</v>
      </c>
      <c r="F628">
        <v>2411231</v>
      </c>
      <c r="G628">
        <v>4432554</v>
      </c>
      <c r="H628">
        <v>30300</v>
      </c>
      <c r="I628">
        <v>844872</v>
      </c>
      <c r="J628">
        <v>2700</v>
      </c>
    </row>
    <row r="629" spans="1:10">
      <c r="A629" t="s">
        <v>30</v>
      </c>
      <c r="B629">
        <v>21</v>
      </c>
      <c r="C629">
        <v>27</v>
      </c>
      <c r="E629">
        <v>14840978</v>
      </c>
      <c r="F629">
        <v>15681157</v>
      </c>
      <c r="G629">
        <v>12628819</v>
      </c>
      <c r="H629">
        <v>198939</v>
      </c>
      <c r="I629">
        <v>15657527</v>
      </c>
      <c r="J629">
        <v>696968</v>
      </c>
    </row>
    <row r="630" spans="1:10">
      <c r="A630" t="s">
        <v>30</v>
      </c>
      <c r="B630">
        <v>21</v>
      </c>
      <c r="C630">
        <v>31</v>
      </c>
      <c r="E630">
        <v>373318</v>
      </c>
      <c r="F630">
        <v>20500</v>
      </c>
      <c r="G630">
        <v>73044</v>
      </c>
      <c r="I630">
        <v>22100</v>
      </c>
    </row>
    <row r="631" spans="1:10">
      <c r="A631" t="s">
        <v>30</v>
      </c>
      <c r="B631">
        <v>21</v>
      </c>
      <c r="C631">
        <v>33</v>
      </c>
      <c r="F631">
        <v>27910</v>
      </c>
      <c r="G631">
        <v>6559</v>
      </c>
      <c r="H631">
        <v>19500</v>
      </c>
      <c r="I631">
        <v>3000</v>
      </c>
    </row>
    <row r="632" spans="1:10">
      <c r="A632" t="s">
        <v>30</v>
      </c>
      <c r="B632">
        <v>21</v>
      </c>
      <c r="C632">
        <v>34</v>
      </c>
      <c r="E632">
        <v>497757</v>
      </c>
      <c r="G632">
        <v>90968</v>
      </c>
    </row>
    <row r="633" spans="1:10">
      <c r="A633" t="s">
        <v>30</v>
      </c>
      <c r="B633">
        <v>24</v>
      </c>
      <c r="C633">
        <v>26</v>
      </c>
      <c r="E633">
        <v>107836</v>
      </c>
      <c r="G633">
        <v>33284</v>
      </c>
      <c r="I633">
        <v>422437</v>
      </c>
    </row>
    <row r="634" spans="1:10">
      <c r="A634" t="s">
        <v>30</v>
      </c>
      <c r="B634">
        <v>24</v>
      </c>
      <c r="C634">
        <v>27</v>
      </c>
      <c r="E634">
        <v>2917455</v>
      </c>
      <c r="G634">
        <v>828289</v>
      </c>
      <c r="H634">
        <v>20000</v>
      </c>
      <c r="I634">
        <v>185000</v>
      </c>
    </row>
    <row r="635" spans="1:10">
      <c r="A635" t="s">
        <v>30</v>
      </c>
      <c r="B635">
        <v>24</v>
      </c>
      <c r="C635">
        <v>31</v>
      </c>
      <c r="E635">
        <v>91097</v>
      </c>
      <c r="G635">
        <v>15667</v>
      </c>
    </row>
    <row r="636" spans="1:10">
      <c r="A636" t="s">
        <v>573</v>
      </c>
      <c r="B636">
        <v>21</v>
      </c>
      <c r="C636">
        <v>21</v>
      </c>
      <c r="E636">
        <v>146939</v>
      </c>
      <c r="F636">
        <v>70372</v>
      </c>
      <c r="G636">
        <v>61257</v>
      </c>
      <c r="H636">
        <v>500</v>
      </c>
      <c r="I636">
        <v>1000</v>
      </c>
      <c r="J636">
        <v>500</v>
      </c>
    </row>
    <row r="637" spans="1:10">
      <c r="A637" t="s">
        <v>573</v>
      </c>
      <c r="B637">
        <v>21</v>
      </c>
      <c r="C637">
        <v>22</v>
      </c>
      <c r="F637">
        <v>500</v>
      </c>
    </row>
    <row r="638" spans="1:10">
      <c r="A638" t="s">
        <v>573</v>
      </c>
      <c r="B638">
        <v>21</v>
      </c>
      <c r="C638">
        <v>26</v>
      </c>
      <c r="E638">
        <v>1586691</v>
      </c>
      <c r="G638">
        <v>453961</v>
      </c>
      <c r="H638">
        <v>12500</v>
      </c>
      <c r="I638">
        <v>450000</v>
      </c>
      <c r="J638">
        <v>150</v>
      </c>
    </row>
    <row r="639" spans="1:10">
      <c r="A639" t="s">
        <v>573</v>
      </c>
      <c r="B639">
        <v>21</v>
      </c>
      <c r="C639">
        <v>27</v>
      </c>
      <c r="D639">
        <v>6000</v>
      </c>
      <c r="E639">
        <v>1813356</v>
      </c>
      <c r="F639">
        <v>1664395</v>
      </c>
      <c r="G639">
        <v>1224985</v>
      </c>
      <c r="H639">
        <v>23712</v>
      </c>
      <c r="I639">
        <v>295000</v>
      </c>
      <c r="J639">
        <v>300</v>
      </c>
    </row>
    <row r="640" spans="1:10">
      <c r="A640" t="s">
        <v>573</v>
      </c>
      <c r="B640">
        <v>21</v>
      </c>
      <c r="C640">
        <v>29</v>
      </c>
      <c r="I640">
        <v>5000</v>
      </c>
    </row>
    <row r="641" spans="1:10">
      <c r="A641" t="s">
        <v>573</v>
      </c>
      <c r="B641">
        <v>21</v>
      </c>
      <c r="C641">
        <v>31</v>
      </c>
      <c r="E641">
        <v>334395</v>
      </c>
      <c r="G641">
        <v>53391</v>
      </c>
      <c r="I641">
        <v>1000</v>
      </c>
    </row>
    <row r="642" spans="1:10">
      <c r="A642" t="s">
        <v>573</v>
      </c>
      <c r="B642">
        <v>21</v>
      </c>
      <c r="C642">
        <v>34</v>
      </c>
      <c r="E642">
        <v>52832</v>
      </c>
      <c r="G642">
        <v>8304</v>
      </c>
    </row>
    <row r="643" spans="1:10">
      <c r="A643" t="s">
        <v>573</v>
      </c>
      <c r="B643">
        <v>24</v>
      </c>
      <c r="C643">
        <v>27</v>
      </c>
      <c r="E643">
        <v>13827</v>
      </c>
      <c r="G643">
        <v>3303</v>
      </c>
      <c r="I643">
        <v>627966</v>
      </c>
    </row>
    <row r="644" spans="1:10">
      <c r="A644" t="s">
        <v>573</v>
      </c>
      <c r="B644">
        <v>24</v>
      </c>
      <c r="C644">
        <v>31</v>
      </c>
      <c r="E644">
        <v>1983</v>
      </c>
      <c r="G644">
        <v>244</v>
      </c>
    </row>
    <row r="645" spans="1:10">
      <c r="A645" t="s">
        <v>463</v>
      </c>
      <c r="B645">
        <v>21</v>
      </c>
      <c r="C645">
        <v>21</v>
      </c>
      <c r="E645">
        <v>397724</v>
      </c>
      <c r="F645">
        <v>214837</v>
      </c>
      <c r="G645">
        <v>156464</v>
      </c>
      <c r="H645">
        <v>5500</v>
      </c>
      <c r="I645">
        <v>6500</v>
      </c>
      <c r="J645">
        <v>5000</v>
      </c>
    </row>
    <row r="646" spans="1:10">
      <c r="A646" t="s">
        <v>463</v>
      </c>
      <c r="B646">
        <v>21</v>
      </c>
      <c r="C646">
        <v>26</v>
      </c>
      <c r="E646">
        <v>1259441</v>
      </c>
      <c r="F646">
        <v>227890</v>
      </c>
      <c r="G646">
        <v>536543</v>
      </c>
      <c r="H646">
        <v>18100</v>
      </c>
      <c r="I646">
        <v>28000</v>
      </c>
      <c r="J646">
        <v>2000</v>
      </c>
    </row>
    <row r="647" spans="1:10">
      <c r="A647" t="s">
        <v>463</v>
      </c>
      <c r="B647">
        <v>21</v>
      </c>
      <c r="C647">
        <v>27</v>
      </c>
      <c r="E647">
        <v>1615606</v>
      </c>
      <c r="F647">
        <v>745183</v>
      </c>
      <c r="G647">
        <v>913695</v>
      </c>
      <c r="H647">
        <v>12500</v>
      </c>
      <c r="I647">
        <v>520118</v>
      </c>
      <c r="J647">
        <v>23949</v>
      </c>
    </row>
    <row r="648" spans="1:10">
      <c r="A648" t="s">
        <v>463</v>
      </c>
      <c r="B648">
        <v>21</v>
      </c>
      <c r="C648">
        <v>31</v>
      </c>
      <c r="E648">
        <v>259407</v>
      </c>
      <c r="F648">
        <v>10860</v>
      </c>
      <c r="G648">
        <v>42331</v>
      </c>
      <c r="I648">
        <v>13058</v>
      </c>
    </row>
    <row r="649" spans="1:10">
      <c r="A649" t="s">
        <v>463</v>
      </c>
      <c r="B649">
        <v>21</v>
      </c>
      <c r="C649">
        <v>34</v>
      </c>
      <c r="E649">
        <v>53923</v>
      </c>
      <c r="G649">
        <v>8625</v>
      </c>
    </row>
    <row r="650" spans="1:10">
      <c r="A650" t="s">
        <v>463</v>
      </c>
      <c r="B650">
        <v>24</v>
      </c>
      <c r="C650">
        <v>27</v>
      </c>
      <c r="F650">
        <v>457784</v>
      </c>
      <c r="G650">
        <v>290193</v>
      </c>
    </row>
    <row r="651" spans="1:10">
      <c r="A651" t="s">
        <v>22</v>
      </c>
      <c r="B651">
        <v>21</v>
      </c>
      <c r="C651">
        <v>21</v>
      </c>
      <c r="E651">
        <v>597644</v>
      </c>
      <c r="F651">
        <v>284559</v>
      </c>
      <c r="G651">
        <v>228075</v>
      </c>
    </row>
    <row r="652" spans="1:10">
      <c r="A652" t="s">
        <v>22</v>
      </c>
      <c r="B652">
        <v>21</v>
      </c>
      <c r="C652">
        <v>25</v>
      </c>
      <c r="F652">
        <v>718559</v>
      </c>
      <c r="G652">
        <v>451458</v>
      </c>
    </row>
    <row r="653" spans="1:10">
      <c r="A653" t="s">
        <v>22</v>
      </c>
      <c r="B653">
        <v>21</v>
      </c>
      <c r="C653">
        <v>26</v>
      </c>
      <c r="E653">
        <v>8664903</v>
      </c>
      <c r="F653">
        <v>1331596</v>
      </c>
      <c r="G653">
        <v>3279246</v>
      </c>
      <c r="H653">
        <v>35030</v>
      </c>
      <c r="I653">
        <v>807500</v>
      </c>
      <c r="J653">
        <v>8000</v>
      </c>
    </row>
    <row r="654" spans="1:10">
      <c r="A654" t="s">
        <v>22</v>
      </c>
      <c r="B654">
        <v>21</v>
      </c>
      <c r="C654">
        <v>27</v>
      </c>
      <c r="E654">
        <v>12015052</v>
      </c>
      <c r="F654">
        <v>8893738</v>
      </c>
      <c r="G654">
        <v>9115332</v>
      </c>
      <c r="H654">
        <v>41875</v>
      </c>
      <c r="I654">
        <v>705700</v>
      </c>
      <c r="J654">
        <v>8000</v>
      </c>
    </row>
    <row r="655" spans="1:10">
      <c r="A655" t="s">
        <v>22</v>
      </c>
      <c r="B655">
        <v>21</v>
      </c>
      <c r="C655">
        <v>29</v>
      </c>
      <c r="I655">
        <v>250000</v>
      </c>
    </row>
    <row r="656" spans="1:10">
      <c r="A656" t="s">
        <v>22</v>
      </c>
      <c r="B656">
        <v>21</v>
      </c>
      <c r="C656">
        <v>31</v>
      </c>
      <c r="E656">
        <v>2493180</v>
      </c>
      <c r="G656">
        <v>399018</v>
      </c>
      <c r="I656">
        <v>20600</v>
      </c>
      <c r="J656">
        <v>12000</v>
      </c>
    </row>
    <row r="657" spans="1:10">
      <c r="A657" t="s">
        <v>22</v>
      </c>
      <c r="B657">
        <v>21</v>
      </c>
      <c r="C657">
        <v>32</v>
      </c>
      <c r="H657">
        <v>10000</v>
      </c>
    </row>
    <row r="658" spans="1:10">
      <c r="A658" t="s">
        <v>22</v>
      </c>
      <c r="B658">
        <v>21</v>
      </c>
      <c r="C658">
        <v>33</v>
      </c>
      <c r="H658">
        <v>53250</v>
      </c>
      <c r="I658">
        <v>75000</v>
      </c>
    </row>
    <row r="659" spans="1:10">
      <c r="A659" t="s">
        <v>22</v>
      </c>
      <c r="B659">
        <v>24</v>
      </c>
      <c r="C659">
        <v>21</v>
      </c>
      <c r="E659">
        <v>661724</v>
      </c>
      <c r="G659">
        <v>152308</v>
      </c>
    </row>
    <row r="660" spans="1:10">
      <c r="A660" t="s">
        <v>22</v>
      </c>
      <c r="B660">
        <v>24</v>
      </c>
      <c r="C660">
        <v>26</v>
      </c>
      <c r="I660">
        <v>527902</v>
      </c>
    </row>
    <row r="661" spans="1:10">
      <c r="A661" t="s">
        <v>22</v>
      </c>
      <c r="B661">
        <v>24</v>
      </c>
      <c r="C661">
        <v>27</v>
      </c>
      <c r="E661">
        <v>626018</v>
      </c>
      <c r="G661">
        <v>193799</v>
      </c>
      <c r="H661">
        <v>110101</v>
      </c>
    </row>
    <row r="662" spans="1:10">
      <c r="A662" t="s">
        <v>22</v>
      </c>
      <c r="B662">
        <v>24</v>
      </c>
      <c r="C662">
        <v>29</v>
      </c>
      <c r="I662">
        <v>1281828</v>
      </c>
    </row>
    <row r="663" spans="1:10">
      <c r="A663" t="s">
        <v>22</v>
      </c>
      <c r="B663">
        <v>24</v>
      </c>
      <c r="C663">
        <v>31</v>
      </c>
      <c r="E663">
        <v>78559</v>
      </c>
      <c r="G663">
        <v>12526</v>
      </c>
      <c r="H663">
        <v>17272</v>
      </c>
    </row>
    <row r="664" spans="1:10">
      <c r="A664" t="s">
        <v>22</v>
      </c>
      <c r="B664">
        <v>29</v>
      </c>
      <c r="C664">
        <v>27</v>
      </c>
      <c r="E664">
        <v>13975</v>
      </c>
      <c r="G664">
        <v>7832</v>
      </c>
    </row>
    <row r="665" spans="1:10">
      <c r="A665" t="s">
        <v>22</v>
      </c>
      <c r="B665">
        <v>29</v>
      </c>
      <c r="C665">
        <v>31</v>
      </c>
      <c r="E665">
        <v>1826</v>
      </c>
      <c r="G665">
        <v>294</v>
      </c>
    </row>
    <row r="666" spans="1:10">
      <c r="A666" t="s">
        <v>553</v>
      </c>
      <c r="B666">
        <v>21</v>
      </c>
      <c r="C666">
        <v>21</v>
      </c>
      <c r="E666">
        <v>760549</v>
      </c>
      <c r="F666">
        <v>188245</v>
      </c>
      <c r="G666">
        <v>269964</v>
      </c>
      <c r="H666">
        <v>72000</v>
      </c>
      <c r="I666">
        <v>29950</v>
      </c>
      <c r="J666">
        <v>8400</v>
      </c>
    </row>
    <row r="667" spans="1:10">
      <c r="A667" t="s">
        <v>553</v>
      </c>
      <c r="B667">
        <v>21</v>
      </c>
      <c r="C667">
        <v>26</v>
      </c>
      <c r="E667">
        <v>3779780</v>
      </c>
      <c r="F667">
        <v>164207</v>
      </c>
      <c r="G667">
        <v>1183232</v>
      </c>
      <c r="H667">
        <v>17750</v>
      </c>
      <c r="I667">
        <v>705400</v>
      </c>
    </row>
    <row r="668" spans="1:10">
      <c r="A668" t="s">
        <v>553</v>
      </c>
      <c r="B668">
        <v>21</v>
      </c>
      <c r="C668">
        <v>27</v>
      </c>
      <c r="D668">
        <v>2870</v>
      </c>
      <c r="E668">
        <v>6537528</v>
      </c>
      <c r="F668">
        <v>7177864</v>
      </c>
      <c r="G668">
        <v>6489947</v>
      </c>
      <c r="H668">
        <v>81826</v>
      </c>
      <c r="I668">
        <v>3474000</v>
      </c>
      <c r="J668">
        <v>1000</v>
      </c>
    </row>
    <row r="669" spans="1:10">
      <c r="A669" t="s">
        <v>553</v>
      </c>
      <c r="B669">
        <v>21</v>
      </c>
      <c r="C669">
        <v>28</v>
      </c>
      <c r="I669">
        <v>2500</v>
      </c>
      <c r="J669">
        <v>1850</v>
      </c>
    </row>
    <row r="670" spans="1:10">
      <c r="A670" t="s">
        <v>553</v>
      </c>
      <c r="B670">
        <v>21</v>
      </c>
      <c r="C670">
        <v>33</v>
      </c>
      <c r="E670">
        <v>30000</v>
      </c>
      <c r="G670">
        <v>3924</v>
      </c>
      <c r="H670">
        <v>50500</v>
      </c>
      <c r="I670">
        <v>15000</v>
      </c>
    </row>
    <row r="671" spans="1:10">
      <c r="A671" t="s">
        <v>553</v>
      </c>
      <c r="B671">
        <v>24</v>
      </c>
      <c r="C671">
        <v>21</v>
      </c>
      <c r="I671">
        <v>16500</v>
      </c>
    </row>
    <row r="672" spans="1:10">
      <c r="A672" t="s">
        <v>553</v>
      </c>
      <c r="B672">
        <v>24</v>
      </c>
      <c r="C672">
        <v>26</v>
      </c>
      <c r="E672">
        <v>115133</v>
      </c>
      <c r="G672">
        <v>32401</v>
      </c>
      <c r="I672">
        <v>80000</v>
      </c>
    </row>
    <row r="673" spans="1:11">
      <c r="A673" t="s">
        <v>553</v>
      </c>
      <c r="B673">
        <v>24</v>
      </c>
      <c r="C673">
        <v>27</v>
      </c>
      <c r="E673">
        <v>315932</v>
      </c>
      <c r="F673">
        <v>173920</v>
      </c>
      <c r="G673">
        <v>208272</v>
      </c>
      <c r="I673">
        <v>1530020</v>
      </c>
    </row>
    <row r="674" spans="1:11">
      <c r="A674" t="s">
        <v>501</v>
      </c>
      <c r="B674">
        <v>21</v>
      </c>
      <c r="C674">
        <v>21</v>
      </c>
      <c r="E674">
        <v>188979</v>
      </c>
      <c r="F674">
        <v>55372</v>
      </c>
      <c r="G674">
        <v>65466</v>
      </c>
    </row>
    <row r="675" spans="1:11">
      <c r="A675" t="s">
        <v>501</v>
      </c>
      <c r="B675">
        <v>21</v>
      </c>
      <c r="C675">
        <v>23</v>
      </c>
      <c r="E675">
        <v>48151</v>
      </c>
      <c r="F675">
        <v>48883</v>
      </c>
      <c r="G675">
        <v>35692</v>
      </c>
    </row>
    <row r="676" spans="1:11">
      <c r="A676" t="s">
        <v>501</v>
      </c>
      <c r="B676">
        <v>21</v>
      </c>
      <c r="C676">
        <v>26</v>
      </c>
      <c r="E676">
        <v>2920745</v>
      </c>
      <c r="F676">
        <v>79078</v>
      </c>
      <c r="G676">
        <v>948107</v>
      </c>
      <c r="I676">
        <v>800000</v>
      </c>
    </row>
    <row r="677" spans="1:11">
      <c r="A677" t="s">
        <v>501</v>
      </c>
      <c r="B677">
        <v>21</v>
      </c>
      <c r="C677">
        <v>27</v>
      </c>
      <c r="E677">
        <v>5263984</v>
      </c>
      <c r="F677">
        <v>2444025</v>
      </c>
      <c r="G677">
        <v>3056554</v>
      </c>
      <c r="I677">
        <v>2429238</v>
      </c>
    </row>
    <row r="678" spans="1:11">
      <c r="A678" t="s">
        <v>501</v>
      </c>
      <c r="B678">
        <v>21</v>
      </c>
      <c r="C678">
        <v>29</v>
      </c>
      <c r="I678">
        <v>789000</v>
      </c>
    </row>
    <row r="679" spans="1:11">
      <c r="A679" t="s">
        <v>501</v>
      </c>
      <c r="B679">
        <v>21</v>
      </c>
      <c r="C679">
        <v>31</v>
      </c>
      <c r="E679">
        <v>90000</v>
      </c>
      <c r="F679">
        <v>25000</v>
      </c>
      <c r="G679">
        <v>19089</v>
      </c>
    </row>
    <row r="680" spans="1:11">
      <c r="A680" t="s">
        <v>501</v>
      </c>
      <c r="B680">
        <v>21</v>
      </c>
      <c r="C680">
        <v>34</v>
      </c>
      <c r="E680">
        <v>115309</v>
      </c>
      <c r="G680">
        <v>18442</v>
      </c>
    </row>
    <row r="681" spans="1:11">
      <c r="A681" t="s">
        <v>501</v>
      </c>
      <c r="B681">
        <v>24</v>
      </c>
      <c r="C681">
        <v>27</v>
      </c>
      <c r="E681">
        <v>15247</v>
      </c>
      <c r="F681">
        <v>30496</v>
      </c>
      <c r="G681">
        <v>22769</v>
      </c>
      <c r="I681">
        <v>820180</v>
      </c>
    </row>
    <row r="682" spans="1:11">
      <c r="A682" t="s">
        <v>501</v>
      </c>
      <c r="B682">
        <v>24</v>
      </c>
      <c r="C682">
        <v>29</v>
      </c>
      <c r="I682">
        <v>206000</v>
      </c>
    </row>
    <row r="683" spans="1:11">
      <c r="A683" t="s">
        <v>501</v>
      </c>
      <c r="B683">
        <v>24</v>
      </c>
      <c r="C683">
        <v>31</v>
      </c>
      <c r="E683">
        <v>354758</v>
      </c>
      <c r="F683">
        <v>10000</v>
      </c>
      <c r="G683">
        <v>105655</v>
      </c>
    </row>
    <row r="684" spans="1:11">
      <c r="A684" t="s">
        <v>229</v>
      </c>
      <c r="B684">
        <v>21</v>
      </c>
      <c r="C684">
        <v>21</v>
      </c>
      <c r="E684">
        <v>1182422</v>
      </c>
      <c r="F684">
        <v>306957</v>
      </c>
      <c r="G684">
        <v>375924</v>
      </c>
      <c r="H684">
        <v>21502</v>
      </c>
      <c r="I684">
        <v>153004</v>
      </c>
      <c r="J684">
        <v>20000</v>
      </c>
      <c r="K684">
        <v>8500</v>
      </c>
    </row>
    <row r="685" spans="1:11">
      <c r="A685" t="s">
        <v>229</v>
      </c>
      <c r="B685">
        <v>21</v>
      </c>
      <c r="C685">
        <v>23</v>
      </c>
      <c r="E685">
        <v>214120</v>
      </c>
      <c r="G685">
        <v>48272</v>
      </c>
    </row>
    <row r="686" spans="1:11">
      <c r="A686" t="s">
        <v>229</v>
      </c>
      <c r="B686">
        <v>21</v>
      </c>
      <c r="C686">
        <v>26</v>
      </c>
      <c r="E686">
        <v>5525269</v>
      </c>
      <c r="F686">
        <v>428370</v>
      </c>
      <c r="G686">
        <v>1775524</v>
      </c>
      <c r="H686">
        <v>122162</v>
      </c>
      <c r="I686">
        <v>1900202</v>
      </c>
      <c r="J686">
        <v>10000</v>
      </c>
      <c r="K686">
        <v>35838</v>
      </c>
    </row>
    <row r="687" spans="1:11">
      <c r="A687" t="s">
        <v>229</v>
      </c>
      <c r="B687">
        <v>21</v>
      </c>
      <c r="C687">
        <v>27</v>
      </c>
      <c r="E687">
        <v>12440430</v>
      </c>
      <c r="F687">
        <v>10861254</v>
      </c>
      <c r="G687">
        <v>9651863</v>
      </c>
      <c r="H687">
        <v>49322</v>
      </c>
      <c r="I687">
        <v>4758360</v>
      </c>
      <c r="J687">
        <v>10000</v>
      </c>
      <c r="K687">
        <v>12498</v>
      </c>
    </row>
    <row r="688" spans="1:11">
      <c r="A688" t="s">
        <v>229</v>
      </c>
      <c r="B688">
        <v>21</v>
      </c>
      <c r="C688">
        <v>29</v>
      </c>
      <c r="I688">
        <v>150000</v>
      </c>
    </row>
    <row r="689" spans="1:10">
      <c r="A689" t="s">
        <v>229</v>
      </c>
      <c r="B689">
        <v>21</v>
      </c>
      <c r="C689">
        <v>33</v>
      </c>
      <c r="H689">
        <v>202280</v>
      </c>
    </row>
    <row r="690" spans="1:10">
      <c r="A690" t="s">
        <v>229</v>
      </c>
      <c r="B690">
        <v>24</v>
      </c>
      <c r="C690">
        <v>26</v>
      </c>
      <c r="E690">
        <v>4172700</v>
      </c>
      <c r="G690">
        <v>1252328</v>
      </c>
    </row>
    <row r="691" spans="1:10">
      <c r="A691" t="s">
        <v>229</v>
      </c>
      <c r="B691">
        <v>24</v>
      </c>
      <c r="C691">
        <v>27</v>
      </c>
      <c r="E691">
        <v>1282333</v>
      </c>
      <c r="G691">
        <v>368096</v>
      </c>
      <c r="I691">
        <v>500004</v>
      </c>
    </row>
    <row r="692" spans="1:10">
      <c r="A692" t="s">
        <v>229</v>
      </c>
      <c r="B692">
        <v>24</v>
      </c>
      <c r="C692">
        <v>29</v>
      </c>
      <c r="I692">
        <v>2</v>
      </c>
    </row>
    <row r="693" spans="1:10">
      <c r="A693" t="s">
        <v>229</v>
      </c>
      <c r="B693">
        <v>24</v>
      </c>
      <c r="C693">
        <v>31</v>
      </c>
      <c r="I693">
        <v>2</v>
      </c>
    </row>
    <row r="694" spans="1:10">
      <c r="A694" t="s">
        <v>493</v>
      </c>
      <c r="B694">
        <v>21</v>
      </c>
      <c r="C694">
        <v>21</v>
      </c>
      <c r="E694">
        <v>518231</v>
      </c>
      <c r="F694">
        <v>282980</v>
      </c>
      <c r="G694">
        <v>225562</v>
      </c>
    </row>
    <row r="695" spans="1:10">
      <c r="A695" t="s">
        <v>493</v>
      </c>
      <c r="B695">
        <v>21</v>
      </c>
      <c r="C695">
        <v>25</v>
      </c>
      <c r="F695">
        <v>308440</v>
      </c>
      <c r="G695">
        <v>203823</v>
      </c>
    </row>
    <row r="696" spans="1:10">
      <c r="A696" t="s">
        <v>493</v>
      </c>
      <c r="B696">
        <v>21</v>
      </c>
      <c r="C696">
        <v>26</v>
      </c>
      <c r="E696">
        <v>4418596</v>
      </c>
      <c r="F696">
        <v>188650</v>
      </c>
      <c r="G696">
        <v>1341588</v>
      </c>
      <c r="H696">
        <v>70000</v>
      </c>
      <c r="I696">
        <v>375000</v>
      </c>
    </row>
    <row r="697" spans="1:10">
      <c r="A697" t="s">
        <v>493</v>
      </c>
      <c r="B697">
        <v>21</v>
      </c>
      <c r="C697">
        <v>27</v>
      </c>
      <c r="D697">
        <v>80000</v>
      </c>
      <c r="E697">
        <v>7431905</v>
      </c>
      <c r="F697">
        <v>7162151</v>
      </c>
      <c r="G697">
        <v>6108121</v>
      </c>
      <c r="H697">
        <v>39999</v>
      </c>
      <c r="I697">
        <v>3139279</v>
      </c>
      <c r="J697">
        <v>3000</v>
      </c>
    </row>
    <row r="698" spans="1:10">
      <c r="A698" t="s">
        <v>493</v>
      </c>
      <c r="B698">
        <v>21</v>
      </c>
      <c r="C698">
        <v>29</v>
      </c>
      <c r="I698">
        <v>662000</v>
      </c>
    </row>
    <row r="699" spans="1:10">
      <c r="A699" t="s">
        <v>493</v>
      </c>
      <c r="B699">
        <v>21</v>
      </c>
      <c r="C699">
        <v>31</v>
      </c>
      <c r="E699">
        <v>156475</v>
      </c>
      <c r="F699">
        <v>5000</v>
      </c>
      <c r="G699">
        <v>43635</v>
      </c>
      <c r="H699">
        <v>10000</v>
      </c>
      <c r="J699">
        <v>500</v>
      </c>
    </row>
    <row r="700" spans="1:10">
      <c r="A700" t="s">
        <v>493</v>
      </c>
      <c r="B700">
        <v>21</v>
      </c>
      <c r="C700">
        <v>34</v>
      </c>
      <c r="E700">
        <v>159774</v>
      </c>
      <c r="G700">
        <v>26041</v>
      </c>
    </row>
    <row r="701" spans="1:10">
      <c r="A701" t="s">
        <v>493</v>
      </c>
      <c r="B701">
        <v>24</v>
      </c>
      <c r="C701">
        <v>26</v>
      </c>
      <c r="E701">
        <v>1488235</v>
      </c>
      <c r="G701">
        <v>419990</v>
      </c>
    </row>
    <row r="702" spans="1:10">
      <c r="A702" t="s">
        <v>493</v>
      </c>
      <c r="B702">
        <v>24</v>
      </c>
      <c r="C702">
        <v>27</v>
      </c>
      <c r="E702">
        <v>60857</v>
      </c>
      <c r="G702">
        <v>16089</v>
      </c>
    </row>
    <row r="703" spans="1:10">
      <c r="A703" t="s">
        <v>493</v>
      </c>
      <c r="B703">
        <v>24</v>
      </c>
      <c r="C703">
        <v>31</v>
      </c>
      <c r="E703">
        <v>405271</v>
      </c>
      <c r="G703">
        <v>110774</v>
      </c>
    </row>
    <row r="704" spans="1:10">
      <c r="A704" t="s">
        <v>493</v>
      </c>
      <c r="B704">
        <v>26</v>
      </c>
      <c r="C704">
        <v>27</v>
      </c>
      <c r="E704">
        <v>28327</v>
      </c>
      <c r="G704">
        <v>7711</v>
      </c>
      <c r="H704">
        <v>1</v>
      </c>
      <c r="I704">
        <v>113721</v>
      </c>
    </row>
    <row r="705" spans="1:10">
      <c r="A705" t="s">
        <v>493</v>
      </c>
      <c r="B705">
        <v>26</v>
      </c>
      <c r="C705">
        <v>34</v>
      </c>
      <c r="E705">
        <v>209</v>
      </c>
      <c r="G705">
        <v>34</v>
      </c>
    </row>
    <row r="706" spans="1:10">
      <c r="A706" t="s">
        <v>263</v>
      </c>
      <c r="B706">
        <v>21</v>
      </c>
      <c r="C706">
        <v>21</v>
      </c>
      <c r="E706">
        <v>1337667</v>
      </c>
      <c r="F706">
        <v>1042117</v>
      </c>
      <c r="G706">
        <v>661414</v>
      </c>
      <c r="H706">
        <v>9500</v>
      </c>
      <c r="I706">
        <v>9928</v>
      </c>
      <c r="J706">
        <v>3200</v>
      </c>
    </row>
    <row r="707" spans="1:10">
      <c r="A707" t="s">
        <v>263</v>
      </c>
      <c r="B707">
        <v>21</v>
      </c>
      <c r="C707">
        <v>23</v>
      </c>
      <c r="F707">
        <v>49806</v>
      </c>
      <c r="G707">
        <v>23248</v>
      </c>
    </row>
    <row r="708" spans="1:10">
      <c r="A708" t="s">
        <v>263</v>
      </c>
      <c r="B708">
        <v>21</v>
      </c>
      <c r="C708">
        <v>24</v>
      </c>
      <c r="H708">
        <v>91475</v>
      </c>
    </row>
    <row r="709" spans="1:10">
      <c r="A709" t="s">
        <v>263</v>
      </c>
      <c r="B709">
        <v>21</v>
      </c>
      <c r="C709">
        <v>26</v>
      </c>
      <c r="E709">
        <v>9613820</v>
      </c>
      <c r="F709">
        <v>618210</v>
      </c>
      <c r="G709">
        <v>3118638</v>
      </c>
      <c r="H709">
        <v>32230</v>
      </c>
      <c r="I709">
        <v>175000</v>
      </c>
      <c r="J709">
        <v>9800</v>
      </c>
    </row>
    <row r="710" spans="1:10">
      <c r="A710" t="s">
        <v>263</v>
      </c>
      <c r="B710">
        <v>21</v>
      </c>
      <c r="C710">
        <v>27</v>
      </c>
      <c r="D710">
        <v>226932</v>
      </c>
      <c r="E710">
        <v>16973003</v>
      </c>
      <c r="F710">
        <v>16837678</v>
      </c>
      <c r="G710">
        <v>15169066</v>
      </c>
      <c r="H710">
        <v>59051</v>
      </c>
      <c r="I710">
        <v>14068691</v>
      </c>
      <c r="J710">
        <v>16079</v>
      </c>
    </row>
    <row r="711" spans="1:10">
      <c r="A711" t="s">
        <v>263</v>
      </c>
      <c r="B711">
        <v>21</v>
      </c>
      <c r="C711">
        <v>29</v>
      </c>
      <c r="I711">
        <v>55109</v>
      </c>
    </row>
    <row r="712" spans="1:10">
      <c r="A712" t="s">
        <v>263</v>
      </c>
      <c r="B712">
        <v>21</v>
      </c>
      <c r="C712">
        <v>31</v>
      </c>
      <c r="D712">
        <v>4400</v>
      </c>
      <c r="E712">
        <v>1656524</v>
      </c>
      <c r="F712">
        <v>74984</v>
      </c>
      <c r="G712">
        <v>426029</v>
      </c>
      <c r="I712">
        <v>500</v>
      </c>
    </row>
    <row r="713" spans="1:10">
      <c r="A713" t="s">
        <v>263</v>
      </c>
      <c r="B713">
        <v>21</v>
      </c>
      <c r="C713">
        <v>33</v>
      </c>
      <c r="H713">
        <v>85263</v>
      </c>
    </row>
    <row r="714" spans="1:10">
      <c r="A714" t="s">
        <v>263</v>
      </c>
      <c r="B714">
        <v>24</v>
      </c>
      <c r="C714">
        <v>21</v>
      </c>
      <c r="F714">
        <v>87268</v>
      </c>
      <c r="G714">
        <v>29897</v>
      </c>
    </row>
    <row r="715" spans="1:10">
      <c r="A715" t="s">
        <v>263</v>
      </c>
      <c r="B715">
        <v>24</v>
      </c>
      <c r="C715">
        <v>26</v>
      </c>
      <c r="F715">
        <v>371369</v>
      </c>
      <c r="G715">
        <v>155692</v>
      </c>
    </row>
    <row r="716" spans="1:10">
      <c r="A716" t="s">
        <v>263</v>
      </c>
      <c r="B716">
        <v>24</v>
      </c>
      <c r="C716">
        <v>27</v>
      </c>
      <c r="E716">
        <v>3775444</v>
      </c>
      <c r="F716">
        <v>3284</v>
      </c>
      <c r="G716">
        <v>1170954</v>
      </c>
      <c r="H716">
        <v>14545</v>
      </c>
      <c r="I716">
        <v>1838042</v>
      </c>
    </row>
    <row r="717" spans="1:10">
      <c r="A717" t="s">
        <v>241</v>
      </c>
      <c r="B717">
        <v>21</v>
      </c>
      <c r="C717">
        <v>21</v>
      </c>
      <c r="D717">
        <v>450</v>
      </c>
      <c r="E717">
        <v>733436</v>
      </c>
      <c r="F717">
        <v>942309</v>
      </c>
      <c r="G717">
        <v>379446</v>
      </c>
      <c r="H717">
        <v>13500</v>
      </c>
      <c r="I717">
        <v>9300</v>
      </c>
      <c r="J717">
        <v>34500</v>
      </c>
    </row>
    <row r="718" spans="1:10">
      <c r="A718" t="s">
        <v>241</v>
      </c>
      <c r="B718">
        <v>21</v>
      </c>
      <c r="C718">
        <v>23</v>
      </c>
      <c r="E718">
        <v>211526</v>
      </c>
      <c r="F718">
        <v>75400</v>
      </c>
      <c r="G718">
        <v>74135</v>
      </c>
    </row>
    <row r="719" spans="1:10">
      <c r="A719" t="s">
        <v>241</v>
      </c>
      <c r="B719">
        <v>21</v>
      </c>
      <c r="C719">
        <v>24</v>
      </c>
      <c r="E719">
        <v>369233</v>
      </c>
      <c r="G719">
        <v>121224</v>
      </c>
    </row>
    <row r="720" spans="1:10">
      <c r="A720" t="s">
        <v>241</v>
      </c>
      <c r="B720">
        <v>21</v>
      </c>
      <c r="C720">
        <v>26</v>
      </c>
      <c r="E720">
        <v>12904390</v>
      </c>
      <c r="F720">
        <v>355227</v>
      </c>
      <c r="G720">
        <v>3874325</v>
      </c>
      <c r="H720">
        <v>74000</v>
      </c>
      <c r="I720">
        <v>1184575</v>
      </c>
      <c r="J720">
        <v>8000</v>
      </c>
    </row>
    <row r="721" spans="1:10">
      <c r="A721" t="s">
        <v>241</v>
      </c>
      <c r="B721">
        <v>21</v>
      </c>
      <c r="C721">
        <v>27</v>
      </c>
      <c r="D721">
        <v>178010</v>
      </c>
      <c r="E721">
        <v>23817156</v>
      </c>
      <c r="F721">
        <v>17327201</v>
      </c>
      <c r="G721">
        <v>17032692</v>
      </c>
      <c r="H721">
        <v>189900</v>
      </c>
      <c r="I721">
        <v>12782670</v>
      </c>
      <c r="J721">
        <v>51000</v>
      </c>
    </row>
    <row r="722" spans="1:10">
      <c r="A722" t="s">
        <v>241</v>
      </c>
      <c r="B722">
        <v>21</v>
      </c>
      <c r="C722">
        <v>28</v>
      </c>
      <c r="E722">
        <v>7261</v>
      </c>
      <c r="G722">
        <v>1173</v>
      </c>
    </row>
    <row r="723" spans="1:10">
      <c r="A723" t="s">
        <v>241</v>
      </c>
      <c r="B723">
        <v>21</v>
      </c>
      <c r="C723">
        <v>29</v>
      </c>
      <c r="I723">
        <v>2270000</v>
      </c>
    </row>
    <row r="724" spans="1:10">
      <c r="A724" t="s">
        <v>241</v>
      </c>
      <c r="B724">
        <v>21</v>
      </c>
      <c r="C724">
        <v>31</v>
      </c>
      <c r="E724">
        <v>5400</v>
      </c>
      <c r="F724">
        <v>4000</v>
      </c>
      <c r="I724">
        <v>2900</v>
      </c>
    </row>
    <row r="725" spans="1:10">
      <c r="A725" t="s">
        <v>241</v>
      </c>
      <c r="B725">
        <v>21</v>
      </c>
      <c r="C725">
        <v>33</v>
      </c>
      <c r="H725">
        <v>455000</v>
      </c>
      <c r="I725">
        <v>114100</v>
      </c>
    </row>
    <row r="726" spans="1:10">
      <c r="A726" t="s">
        <v>241</v>
      </c>
      <c r="B726">
        <v>24</v>
      </c>
      <c r="C726">
        <v>26</v>
      </c>
      <c r="E726">
        <v>5848211</v>
      </c>
      <c r="G726">
        <v>1710810</v>
      </c>
    </row>
    <row r="727" spans="1:10">
      <c r="A727" t="s">
        <v>241</v>
      </c>
      <c r="B727">
        <v>24</v>
      </c>
      <c r="C727">
        <v>27</v>
      </c>
      <c r="H727">
        <v>150000</v>
      </c>
      <c r="I727">
        <v>30000</v>
      </c>
    </row>
    <row r="728" spans="1:10">
      <c r="A728" t="s">
        <v>241</v>
      </c>
      <c r="B728">
        <v>24</v>
      </c>
      <c r="C728">
        <v>33</v>
      </c>
      <c r="H728">
        <v>19250</v>
      </c>
    </row>
    <row r="729" spans="1:10">
      <c r="A729" t="s">
        <v>359</v>
      </c>
      <c r="B729">
        <v>21</v>
      </c>
      <c r="C729">
        <v>21</v>
      </c>
      <c r="D729">
        <v>3000</v>
      </c>
      <c r="E729">
        <v>1849748</v>
      </c>
      <c r="F729">
        <v>672400</v>
      </c>
      <c r="G729">
        <v>660949</v>
      </c>
      <c r="H729">
        <v>7750</v>
      </c>
      <c r="I729">
        <v>275097</v>
      </c>
      <c r="J729">
        <v>57000</v>
      </c>
    </row>
    <row r="730" spans="1:10">
      <c r="A730" t="s">
        <v>359</v>
      </c>
      <c r="B730">
        <v>21</v>
      </c>
      <c r="C730">
        <v>23</v>
      </c>
      <c r="E730">
        <v>10230</v>
      </c>
      <c r="G730">
        <v>1638</v>
      </c>
    </row>
    <row r="731" spans="1:10">
      <c r="A731" t="s">
        <v>359</v>
      </c>
      <c r="B731">
        <v>21</v>
      </c>
      <c r="C731">
        <v>24</v>
      </c>
      <c r="I731">
        <v>10000</v>
      </c>
    </row>
    <row r="732" spans="1:10">
      <c r="A732" t="s">
        <v>359</v>
      </c>
      <c r="B732">
        <v>21</v>
      </c>
      <c r="C732">
        <v>26</v>
      </c>
      <c r="E732">
        <v>11570672</v>
      </c>
      <c r="F732">
        <v>1804581</v>
      </c>
      <c r="G732">
        <v>4118305</v>
      </c>
      <c r="H732">
        <v>77294</v>
      </c>
      <c r="I732">
        <v>643801</v>
      </c>
      <c r="J732">
        <v>10000</v>
      </c>
    </row>
    <row r="733" spans="1:10">
      <c r="A733" t="s">
        <v>359</v>
      </c>
      <c r="B733">
        <v>21</v>
      </c>
      <c r="C733">
        <v>27</v>
      </c>
      <c r="D733">
        <v>145000</v>
      </c>
      <c r="E733">
        <v>16956757</v>
      </c>
      <c r="F733">
        <v>23160074</v>
      </c>
      <c r="G733">
        <v>15668431</v>
      </c>
      <c r="H733">
        <v>66617</v>
      </c>
      <c r="I733">
        <v>5953000</v>
      </c>
      <c r="J733">
        <v>7000</v>
      </c>
    </row>
    <row r="734" spans="1:10">
      <c r="A734" t="s">
        <v>359</v>
      </c>
      <c r="B734">
        <v>21</v>
      </c>
      <c r="C734">
        <v>29</v>
      </c>
      <c r="I734">
        <v>240000</v>
      </c>
    </row>
    <row r="735" spans="1:10">
      <c r="A735" t="s">
        <v>359</v>
      </c>
      <c r="B735">
        <v>21</v>
      </c>
      <c r="C735">
        <v>31</v>
      </c>
      <c r="E735">
        <v>124070</v>
      </c>
      <c r="F735">
        <v>42648</v>
      </c>
      <c r="G735">
        <v>25829</v>
      </c>
      <c r="H735">
        <v>8000</v>
      </c>
      <c r="I735">
        <v>13479</v>
      </c>
    </row>
    <row r="736" spans="1:10">
      <c r="A736" t="s">
        <v>359</v>
      </c>
      <c r="B736">
        <v>21</v>
      </c>
      <c r="C736">
        <v>33</v>
      </c>
      <c r="H736">
        <v>18150</v>
      </c>
      <c r="I736">
        <v>62024</v>
      </c>
    </row>
    <row r="737" spans="1:9">
      <c r="A737" t="s">
        <v>359</v>
      </c>
      <c r="B737">
        <v>21</v>
      </c>
      <c r="C737">
        <v>34</v>
      </c>
      <c r="E737">
        <v>422845</v>
      </c>
      <c r="G737">
        <v>67503</v>
      </c>
    </row>
    <row r="738" spans="1:9">
      <c r="A738" t="s">
        <v>359</v>
      </c>
      <c r="B738">
        <v>24</v>
      </c>
      <c r="C738">
        <v>26</v>
      </c>
      <c r="E738">
        <v>890672</v>
      </c>
      <c r="G738">
        <v>252502</v>
      </c>
    </row>
    <row r="739" spans="1:9">
      <c r="A739" t="s">
        <v>359</v>
      </c>
      <c r="B739">
        <v>24</v>
      </c>
      <c r="C739">
        <v>27</v>
      </c>
      <c r="E739">
        <v>1608663</v>
      </c>
      <c r="F739">
        <v>968958</v>
      </c>
      <c r="G739">
        <v>942863</v>
      </c>
      <c r="H739">
        <v>69275</v>
      </c>
      <c r="I739">
        <v>800000</v>
      </c>
    </row>
    <row r="740" spans="1:9">
      <c r="A740" t="s">
        <v>359</v>
      </c>
      <c r="B740">
        <v>24</v>
      </c>
      <c r="C740">
        <v>29</v>
      </c>
      <c r="I740">
        <v>200000</v>
      </c>
    </row>
    <row r="741" spans="1:9">
      <c r="A741" t="s">
        <v>359</v>
      </c>
      <c r="B741">
        <v>24</v>
      </c>
      <c r="C741">
        <v>31</v>
      </c>
      <c r="E741">
        <v>38565</v>
      </c>
      <c r="G741">
        <v>6065</v>
      </c>
    </row>
    <row r="742" spans="1:9">
      <c r="A742" t="s">
        <v>539</v>
      </c>
      <c r="B742">
        <v>21</v>
      </c>
      <c r="C742">
        <v>27</v>
      </c>
      <c r="E742">
        <v>159382</v>
      </c>
      <c r="F742">
        <v>54548</v>
      </c>
      <c r="G742">
        <v>81450</v>
      </c>
      <c r="I742">
        <v>422601</v>
      </c>
    </row>
    <row r="743" spans="1:9">
      <c r="A743" t="s">
        <v>539</v>
      </c>
      <c r="B743">
        <v>24</v>
      </c>
      <c r="C743">
        <v>27</v>
      </c>
      <c r="E743">
        <v>28126</v>
      </c>
      <c r="G743">
        <v>9869</v>
      </c>
    </row>
    <row r="744" spans="1:9">
      <c r="A744" t="s">
        <v>535</v>
      </c>
      <c r="B744">
        <v>21</v>
      </c>
      <c r="C744">
        <v>27</v>
      </c>
      <c r="E744">
        <v>251251</v>
      </c>
      <c r="F744">
        <v>55766</v>
      </c>
      <c r="G744">
        <v>85481</v>
      </c>
      <c r="I744">
        <v>987524</v>
      </c>
    </row>
    <row r="745" spans="1:9">
      <c r="A745" t="s">
        <v>535</v>
      </c>
      <c r="B745">
        <v>24</v>
      </c>
      <c r="C745">
        <v>27</v>
      </c>
      <c r="E745">
        <v>135289</v>
      </c>
      <c r="G745">
        <v>36758</v>
      </c>
    </row>
    <row r="746" spans="1:9">
      <c r="A746" t="s">
        <v>443</v>
      </c>
      <c r="B746">
        <v>21</v>
      </c>
      <c r="C746">
        <v>21</v>
      </c>
      <c r="E746">
        <v>67373</v>
      </c>
      <c r="G746">
        <v>24928</v>
      </c>
    </row>
    <row r="747" spans="1:9">
      <c r="A747" t="s">
        <v>443</v>
      </c>
      <c r="B747">
        <v>21</v>
      </c>
      <c r="C747">
        <v>26</v>
      </c>
      <c r="I747">
        <v>194000</v>
      </c>
    </row>
    <row r="748" spans="1:9">
      <c r="A748" t="s">
        <v>443</v>
      </c>
      <c r="B748">
        <v>21</v>
      </c>
      <c r="C748">
        <v>27</v>
      </c>
      <c r="E748">
        <v>120378</v>
      </c>
      <c r="G748">
        <v>42006</v>
      </c>
    </row>
    <row r="749" spans="1:9">
      <c r="A749" t="s">
        <v>445</v>
      </c>
      <c r="B749">
        <v>21</v>
      </c>
      <c r="C749">
        <v>26</v>
      </c>
      <c r="I749">
        <v>338997</v>
      </c>
    </row>
    <row r="750" spans="1:9">
      <c r="A750" t="s">
        <v>445</v>
      </c>
      <c r="B750">
        <v>21</v>
      </c>
      <c r="C750">
        <v>27</v>
      </c>
      <c r="E750">
        <v>82776</v>
      </c>
      <c r="F750">
        <v>206932</v>
      </c>
      <c r="G750">
        <v>138639</v>
      </c>
      <c r="H750">
        <v>2275</v>
      </c>
      <c r="I750">
        <v>25500</v>
      </c>
    </row>
    <row r="751" spans="1:9">
      <c r="A751" t="s">
        <v>445</v>
      </c>
      <c r="B751">
        <v>24</v>
      </c>
      <c r="C751">
        <v>27</v>
      </c>
      <c r="E751">
        <v>82776</v>
      </c>
      <c r="G751">
        <v>32506</v>
      </c>
    </row>
    <row r="752" spans="1:9">
      <c r="A752" t="s">
        <v>219</v>
      </c>
      <c r="B752">
        <v>21</v>
      </c>
      <c r="C752">
        <v>26</v>
      </c>
      <c r="I752">
        <v>760222</v>
      </c>
    </row>
    <row r="753" spans="1:10">
      <c r="A753" t="s">
        <v>219</v>
      </c>
      <c r="B753">
        <v>21</v>
      </c>
      <c r="C753">
        <v>27</v>
      </c>
      <c r="E753">
        <v>277515</v>
      </c>
      <c r="F753">
        <v>248306</v>
      </c>
      <c r="G753">
        <v>157747</v>
      </c>
      <c r="H753">
        <v>10614</v>
      </c>
    </row>
    <row r="754" spans="1:10">
      <c r="A754" t="s">
        <v>219</v>
      </c>
      <c r="B754">
        <v>24</v>
      </c>
      <c r="C754">
        <v>27</v>
      </c>
      <c r="F754">
        <v>70304</v>
      </c>
      <c r="G754">
        <v>21091</v>
      </c>
    </row>
    <row r="755" spans="1:10">
      <c r="A755" t="s">
        <v>221</v>
      </c>
      <c r="B755">
        <v>21</v>
      </c>
      <c r="C755">
        <v>26</v>
      </c>
      <c r="I755">
        <v>441913</v>
      </c>
    </row>
    <row r="756" spans="1:10">
      <c r="A756" t="s">
        <v>221</v>
      </c>
      <c r="B756">
        <v>21</v>
      </c>
      <c r="C756">
        <v>27</v>
      </c>
      <c r="E756">
        <v>175694</v>
      </c>
      <c r="F756">
        <v>142236</v>
      </c>
      <c r="G756">
        <v>95379</v>
      </c>
    </row>
    <row r="757" spans="1:10">
      <c r="A757" t="s">
        <v>221</v>
      </c>
      <c r="B757">
        <v>24</v>
      </c>
      <c r="C757">
        <v>26</v>
      </c>
      <c r="I757">
        <v>61386</v>
      </c>
    </row>
    <row r="758" spans="1:10">
      <c r="A758" t="s">
        <v>623</v>
      </c>
      <c r="B758">
        <v>21</v>
      </c>
      <c r="C758">
        <v>26</v>
      </c>
      <c r="I758">
        <v>366631</v>
      </c>
    </row>
    <row r="759" spans="1:10">
      <c r="A759" t="s">
        <v>623</v>
      </c>
      <c r="B759">
        <v>21</v>
      </c>
      <c r="C759">
        <v>27</v>
      </c>
      <c r="F759">
        <v>76182</v>
      </c>
      <c r="G759">
        <v>24493</v>
      </c>
    </row>
    <row r="760" spans="1:10">
      <c r="A760" t="s">
        <v>623</v>
      </c>
      <c r="B760">
        <v>24</v>
      </c>
      <c r="C760">
        <v>27</v>
      </c>
      <c r="F760">
        <v>23817</v>
      </c>
      <c r="G760">
        <v>7657</v>
      </c>
    </row>
    <row r="761" spans="1:10">
      <c r="A761" t="s">
        <v>829</v>
      </c>
      <c r="B761">
        <v>21</v>
      </c>
      <c r="C761">
        <v>26</v>
      </c>
      <c r="I761">
        <v>382500</v>
      </c>
    </row>
    <row r="762" spans="1:10">
      <c r="A762" t="s">
        <v>829</v>
      </c>
      <c r="B762">
        <v>21</v>
      </c>
      <c r="C762">
        <v>27</v>
      </c>
      <c r="E762">
        <v>169284</v>
      </c>
      <c r="F762">
        <v>100133</v>
      </c>
      <c r="G762">
        <v>80825</v>
      </c>
    </row>
    <row r="763" spans="1:10">
      <c r="A763" t="s">
        <v>829</v>
      </c>
      <c r="B763">
        <v>24</v>
      </c>
      <c r="C763">
        <v>26</v>
      </c>
      <c r="I763">
        <v>32962</v>
      </c>
    </row>
    <row r="764" spans="1:10">
      <c r="A764" t="s">
        <v>829</v>
      </c>
      <c r="B764">
        <v>24</v>
      </c>
      <c r="C764">
        <v>27</v>
      </c>
      <c r="H764">
        <v>6469</v>
      </c>
    </row>
    <row r="765" spans="1:10">
      <c r="A765" t="s">
        <v>45</v>
      </c>
      <c r="B765">
        <v>21</v>
      </c>
      <c r="C765">
        <v>21</v>
      </c>
      <c r="E765">
        <v>366416</v>
      </c>
      <c r="F765">
        <v>191022</v>
      </c>
      <c r="G765">
        <v>165320</v>
      </c>
      <c r="H765">
        <v>1500</v>
      </c>
      <c r="I765">
        <v>30200</v>
      </c>
      <c r="J765">
        <v>750</v>
      </c>
    </row>
    <row r="766" spans="1:10">
      <c r="A766" t="s">
        <v>45</v>
      </c>
      <c r="B766">
        <v>21</v>
      </c>
      <c r="C766">
        <v>25</v>
      </c>
      <c r="F766">
        <v>153031</v>
      </c>
      <c r="G766">
        <v>91073</v>
      </c>
    </row>
    <row r="767" spans="1:10">
      <c r="A767" t="s">
        <v>45</v>
      </c>
      <c r="B767">
        <v>21</v>
      </c>
      <c r="C767">
        <v>26</v>
      </c>
      <c r="E767">
        <v>2235251</v>
      </c>
      <c r="F767">
        <v>177766</v>
      </c>
      <c r="G767">
        <v>765928</v>
      </c>
      <c r="H767">
        <v>20000</v>
      </c>
      <c r="I767">
        <v>1371830</v>
      </c>
    </row>
    <row r="768" spans="1:10">
      <c r="A768" t="s">
        <v>45</v>
      </c>
      <c r="B768">
        <v>21</v>
      </c>
      <c r="C768">
        <v>27</v>
      </c>
      <c r="E768">
        <v>3984658</v>
      </c>
      <c r="F768">
        <v>3233125</v>
      </c>
      <c r="G768">
        <v>3169573</v>
      </c>
      <c r="H768">
        <v>60000</v>
      </c>
      <c r="I768">
        <v>2346000</v>
      </c>
    </row>
    <row r="769" spans="1:10">
      <c r="A769" t="s">
        <v>45</v>
      </c>
      <c r="B769">
        <v>21</v>
      </c>
      <c r="C769">
        <v>31</v>
      </c>
      <c r="E769">
        <v>102299</v>
      </c>
      <c r="G769">
        <v>16417</v>
      </c>
    </row>
    <row r="770" spans="1:10">
      <c r="A770" t="s">
        <v>45</v>
      </c>
      <c r="B770">
        <v>21</v>
      </c>
      <c r="C770">
        <v>34</v>
      </c>
      <c r="E770">
        <v>97524</v>
      </c>
      <c r="G770">
        <v>15645</v>
      </c>
    </row>
    <row r="771" spans="1:10">
      <c r="A771" t="s">
        <v>45</v>
      </c>
      <c r="B771">
        <v>24</v>
      </c>
      <c r="C771">
        <v>27</v>
      </c>
      <c r="E771">
        <v>1004796</v>
      </c>
      <c r="G771">
        <v>314975</v>
      </c>
    </row>
    <row r="772" spans="1:10">
      <c r="A772" t="s">
        <v>45</v>
      </c>
      <c r="B772">
        <v>24</v>
      </c>
      <c r="C772">
        <v>31</v>
      </c>
      <c r="E772">
        <v>32860</v>
      </c>
      <c r="G772">
        <v>5283</v>
      </c>
    </row>
    <row r="773" spans="1:10">
      <c r="A773" t="s">
        <v>25</v>
      </c>
      <c r="B773">
        <v>21</v>
      </c>
      <c r="C773">
        <v>21</v>
      </c>
      <c r="E773">
        <v>368862</v>
      </c>
      <c r="F773">
        <v>45126</v>
      </c>
      <c r="G773">
        <v>104338</v>
      </c>
      <c r="H773">
        <v>2960</v>
      </c>
      <c r="J773">
        <v>250</v>
      </c>
    </row>
    <row r="774" spans="1:10">
      <c r="A774" t="s">
        <v>25</v>
      </c>
      <c r="B774">
        <v>21</v>
      </c>
      <c r="C774">
        <v>25</v>
      </c>
      <c r="F774">
        <v>38853</v>
      </c>
      <c r="G774">
        <v>6123</v>
      </c>
    </row>
    <row r="775" spans="1:10">
      <c r="A775" t="s">
        <v>25</v>
      </c>
      <c r="B775">
        <v>21</v>
      </c>
      <c r="C775">
        <v>26</v>
      </c>
      <c r="E775">
        <v>1283328</v>
      </c>
      <c r="F775">
        <v>201</v>
      </c>
      <c r="G775">
        <v>414432</v>
      </c>
      <c r="H775">
        <v>1250</v>
      </c>
      <c r="I775">
        <v>1250</v>
      </c>
    </row>
    <row r="776" spans="1:10">
      <c r="A776" t="s">
        <v>25</v>
      </c>
      <c r="B776">
        <v>21</v>
      </c>
      <c r="C776">
        <v>27</v>
      </c>
      <c r="E776">
        <v>2036017</v>
      </c>
      <c r="F776">
        <v>2283667</v>
      </c>
      <c r="G776">
        <v>1951807</v>
      </c>
      <c r="H776">
        <v>8450</v>
      </c>
      <c r="I776">
        <v>2562846</v>
      </c>
      <c r="J776">
        <v>10000</v>
      </c>
    </row>
    <row r="777" spans="1:10">
      <c r="A777" t="s">
        <v>25</v>
      </c>
      <c r="B777">
        <v>21</v>
      </c>
      <c r="C777">
        <v>28</v>
      </c>
      <c r="F777">
        <v>1496</v>
      </c>
      <c r="G777">
        <v>209</v>
      </c>
    </row>
    <row r="778" spans="1:10">
      <c r="A778" t="s">
        <v>25</v>
      </c>
      <c r="B778">
        <v>21</v>
      </c>
      <c r="C778">
        <v>31</v>
      </c>
      <c r="E778">
        <v>151384</v>
      </c>
      <c r="F778">
        <v>11993</v>
      </c>
      <c r="G778">
        <v>41472</v>
      </c>
      <c r="I778">
        <v>3967</v>
      </c>
    </row>
    <row r="779" spans="1:10">
      <c r="A779" t="s">
        <v>25</v>
      </c>
      <c r="B779">
        <v>21</v>
      </c>
      <c r="C779">
        <v>33</v>
      </c>
      <c r="H779">
        <v>6000</v>
      </c>
      <c r="I779">
        <v>7500</v>
      </c>
    </row>
    <row r="780" spans="1:10">
      <c r="A780" t="s">
        <v>25</v>
      </c>
      <c r="B780">
        <v>21</v>
      </c>
      <c r="C780">
        <v>34</v>
      </c>
      <c r="E780">
        <v>55291</v>
      </c>
      <c r="G780">
        <v>8988</v>
      </c>
    </row>
    <row r="781" spans="1:10">
      <c r="A781" t="s">
        <v>25</v>
      </c>
      <c r="B781">
        <v>24</v>
      </c>
      <c r="C781">
        <v>26</v>
      </c>
      <c r="E781">
        <v>214761</v>
      </c>
      <c r="G781">
        <v>59228</v>
      </c>
    </row>
    <row r="782" spans="1:10">
      <c r="A782" t="s">
        <v>25</v>
      </c>
      <c r="B782">
        <v>24</v>
      </c>
      <c r="C782">
        <v>27</v>
      </c>
      <c r="I782">
        <v>710000</v>
      </c>
    </row>
    <row r="783" spans="1:10">
      <c r="A783" t="s">
        <v>25</v>
      </c>
      <c r="B783">
        <v>24</v>
      </c>
      <c r="C783">
        <v>31</v>
      </c>
      <c r="E783">
        <v>1637</v>
      </c>
      <c r="G783">
        <v>264</v>
      </c>
    </row>
    <row r="784" spans="1:10">
      <c r="A784" t="s">
        <v>349</v>
      </c>
      <c r="B784">
        <v>21</v>
      </c>
      <c r="C784">
        <v>21</v>
      </c>
      <c r="E784">
        <v>391668</v>
      </c>
      <c r="F784">
        <v>211266</v>
      </c>
      <c r="G784">
        <v>167719</v>
      </c>
      <c r="I784">
        <v>30000</v>
      </c>
    </row>
    <row r="785" spans="1:10">
      <c r="A785" t="s">
        <v>349</v>
      </c>
      <c r="B785">
        <v>21</v>
      </c>
      <c r="C785">
        <v>25</v>
      </c>
      <c r="F785">
        <v>608971</v>
      </c>
      <c r="G785">
        <v>303621</v>
      </c>
    </row>
    <row r="786" spans="1:10">
      <c r="A786" t="s">
        <v>349</v>
      </c>
      <c r="B786">
        <v>21</v>
      </c>
      <c r="C786">
        <v>26</v>
      </c>
      <c r="E786">
        <v>3027284</v>
      </c>
      <c r="F786">
        <v>56721</v>
      </c>
      <c r="G786">
        <v>962670</v>
      </c>
      <c r="H786">
        <v>11000</v>
      </c>
      <c r="I786">
        <v>375000</v>
      </c>
    </row>
    <row r="787" spans="1:10">
      <c r="A787" t="s">
        <v>349</v>
      </c>
      <c r="B787">
        <v>21</v>
      </c>
      <c r="C787">
        <v>27</v>
      </c>
      <c r="E787">
        <v>3912724</v>
      </c>
      <c r="F787">
        <v>3799386</v>
      </c>
      <c r="G787">
        <v>3327414</v>
      </c>
      <c r="H787">
        <v>41000</v>
      </c>
      <c r="I787">
        <v>550000</v>
      </c>
    </row>
    <row r="788" spans="1:10">
      <c r="A788" t="s">
        <v>349</v>
      </c>
      <c r="B788">
        <v>21</v>
      </c>
      <c r="C788">
        <v>29</v>
      </c>
      <c r="I788">
        <v>60000</v>
      </c>
    </row>
    <row r="789" spans="1:10">
      <c r="A789" t="s">
        <v>349</v>
      </c>
      <c r="B789">
        <v>21</v>
      </c>
      <c r="C789">
        <v>31</v>
      </c>
      <c r="E789">
        <v>397063</v>
      </c>
      <c r="G789">
        <v>85345</v>
      </c>
      <c r="I789">
        <v>25000</v>
      </c>
    </row>
    <row r="790" spans="1:10">
      <c r="A790" t="s">
        <v>349</v>
      </c>
      <c r="B790">
        <v>21</v>
      </c>
      <c r="C790">
        <v>33</v>
      </c>
      <c r="H790">
        <v>20000</v>
      </c>
    </row>
    <row r="791" spans="1:10">
      <c r="A791" t="s">
        <v>349</v>
      </c>
      <c r="B791">
        <v>21</v>
      </c>
      <c r="C791">
        <v>34</v>
      </c>
      <c r="E791">
        <v>103884</v>
      </c>
      <c r="G791">
        <v>16964</v>
      </c>
    </row>
    <row r="792" spans="1:10">
      <c r="A792" t="s">
        <v>349</v>
      </c>
      <c r="B792">
        <v>24</v>
      </c>
      <c r="C792">
        <v>27</v>
      </c>
      <c r="F792">
        <v>1084425</v>
      </c>
      <c r="G792">
        <v>642388</v>
      </c>
    </row>
    <row r="793" spans="1:10">
      <c r="A793" t="s">
        <v>349</v>
      </c>
      <c r="B793">
        <v>29</v>
      </c>
      <c r="C793">
        <v>27</v>
      </c>
      <c r="F793">
        <v>245697</v>
      </c>
      <c r="G793">
        <v>147009</v>
      </c>
    </row>
    <row r="794" spans="1:10">
      <c r="A794" t="s">
        <v>73</v>
      </c>
      <c r="B794">
        <v>21</v>
      </c>
      <c r="C794">
        <v>21</v>
      </c>
      <c r="D794">
        <v>60</v>
      </c>
      <c r="E794">
        <v>1063679</v>
      </c>
      <c r="F794">
        <v>246568</v>
      </c>
      <c r="G794">
        <v>359970</v>
      </c>
      <c r="H794">
        <v>13150</v>
      </c>
      <c r="I794">
        <v>6559</v>
      </c>
      <c r="J794">
        <v>4500</v>
      </c>
    </row>
    <row r="795" spans="1:10">
      <c r="A795" t="s">
        <v>73</v>
      </c>
      <c r="B795">
        <v>21</v>
      </c>
      <c r="C795">
        <v>26</v>
      </c>
      <c r="E795">
        <v>3785846</v>
      </c>
      <c r="F795">
        <v>281928</v>
      </c>
      <c r="G795">
        <v>1236685</v>
      </c>
      <c r="H795">
        <v>23713</v>
      </c>
      <c r="J795">
        <v>5551</v>
      </c>
    </row>
    <row r="796" spans="1:10">
      <c r="A796" t="s">
        <v>73</v>
      </c>
      <c r="B796">
        <v>21</v>
      </c>
      <c r="C796">
        <v>27</v>
      </c>
      <c r="D796">
        <v>60843</v>
      </c>
      <c r="E796">
        <v>10209959</v>
      </c>
      <c r="F796">
        <v>7110268</v>
      </c>
      <c r="G796">
        <v>7192391</v>
      </c>
      <c r="H796">
        <v>100990</v>
      </c>
      <c r="I796">
        <v>946000</v>
      </c>
      <c r="J796">
        <v>17171</v>
      </c>
    </row>
    <row r="797" spans="1:10">
      <c r="A797" t="s">
        <v>73</v>
      </c>
      <c r="B797">
        <v>21</v>
      </c>
      <c r="C797">
        <v>31</v>
      </c>
      <c r="E797">
        <v>109547</v>
      </c>
      <c r="G797">
        <v>33385</v>
      </c>
      <c r="I797">
        <v>16143</v>
      </c>
    </row>
    <row r="798" spans="1:10">
      <c r="A798" t="s">
        <v>73</v>
      </c>
      <c r="B798">
        <v>21</v>
      </c>
      <c r="C798">
        <v>34</v>
      </c>
      <c r="E798">
        <v>46494</v>
      </c>
      <c r="G798">
        <v>7343</v>
      </c>
    </row>
    <row r="799" spans="1:10">
      <c r="A799" t="s">
        <v>73</v>
      </c>
      <c r="B799">
        <v>24</v>
      </c>
      <c r="C799">
        <v>27</v>
      </c>
      <c r="F799">
        <v>1794281</v>
      </c>
      <c r="G799">
        <v>1073145</v>
      </c>
    </row>
    <row r="800" spans="1:10">
      <c r="A800" t="s">
        <v>73</v>
      </c>
      <c r="B800">
        <v>29</v>
      </c>
      <c r="C800">
        <v>27</v>
      </c>
      <c r="E800">
        <v>477173</v>
      </c>
      <c r="G800">
        <v>155425</v>
      </c>
    </row>
    <row r="801" spans="1:10">
      <c r="A801" t="s">
        <v>73</v>
      </c>
      <c r="B801">
        <v>29</v>
      </c>
      <c r="C801">
        <v>31</v>
      </c>
      <c r="E801">
        <v>1700</v>
      </c>
      <c r="G801">
        <v>268</v>
      </c>
    </row>
    <row r="802" spans="1:10">
      <c r="A802" t="s">
        <v>507</v>
      </c>
      <c r="B802">
        <v>21</v>
      </c>
      <c r="C802">
        <v>21</v>
      </c>
      <c r="E802">
        <v>639167</v>
      </c>
      <c r="F802">
        <v>413401</v>
      </c>
      <c r="G802">
        <v>332161</v>
      </c>
      <c r="H802">
        <v>9500</v>
      </c>
      <c r="I802">
        <v>18500</v>
      </c>
      <c r="J802">
        <v>3700</v>
      </c>
    </row>
    <row r="803" spans="1:10">
      <c r="A803" t="s">
        <v>507</v>
      </c>
      <c r="B803">
        <v>21</v>
      </c>
      <c r="C803">
        <v>26</v>
      </c>
      <c r="E803">
        <v>102865</v>
      </c>
      <c r="F803">
        <v>524910</v>
      </c>
      <c r="G803">
        <v>222644</v>
      </c>
      <c r="H803">
        <v>68500</v>
      </c>
      <c r="I803">
        <v>3518000</v>
      </c>
      <c r="J803">
        <v>5000</v>
      </c>
    </row>
    <row r="804" spans="1:10">
      <c r="A804" t="s">
        <v>507</v>
      </c>
      <c r="B804">
        <v>21</v>
      </c>
      <c r="C804">
        <v>27</v>
      </c>
      <c r="D804">
        <v>11000</v>
      </c>
      <c r="E804">
        <v>9016330</v>
      </c>
      <c r="F804">
        <v>8347850</v>
      </c>
      <c r="G804">
        <v>7263847</v>
      </c>
      <c r="H804">
        <v>49500</v>
      </c>
      <c r="I804">
        <v>1900200</v>
      </c>
    </row>
    <row r="805" spans="1:10">
      <c r="A805" t="s">
        <v>507</v>
      </c>
      <c r="B805">
        <v>21</v>
      </c>
      <c r="C805">
        <v>29</v>
      </c>
      <c r="I805">
        <v>155000</v>
      </c>
    </row>
    <row r="806" spans="1:10">
      <c r="A806" t="s">
        <v>507</v>
      </c>
      <c r="B806">
        <v>21</v>
      </c>
      <c r="C806">
        <v>31</v>
      </c>
      <c r="E806">
        <v>243925</v>
      </c>
      <c r="G806">
        <v>69996</v>
      </c>
      <c r="I806">
        <v>150000</v>
      </c>
      <c r="J806">
        <v>540</v>
      </c>
    </row>
    <row r="807" spans="1:10">
      <c r="A807" t="s">
        <v>507</v>
      </c>
      <c r="B807">
        <v>21</v>
      </c>
      <c r="C807">
        <v>32</v>
      </c>
      <c r="H807">
        <v>15000</v>
      </c>
      <c r="I807">
        <v>10000</v>
      </c>
    </row>
    <row r="808" spans="1:10">
      <c r="A808" t="s">
        <v>507</v>
      </c>
      <c r="B808">
        <v>21</v>
      </c>
      <c r="C808">
        <v>34</v>
      </c>
      <c r="E808">
        <v>136347</v>
      </c>
      <c r="G808">
        <v>43188</v>
      </c>
    </row>
    <row r="809" spans="1:10">
      <c r="A809" t="s">
        <v>507</v>
      </c>
      <c r="B809">
        <v>24</v>
      </c>
      <c r="C809">
        <v>26</v>
      </c>
      <c r="E809">
        <v>3155720</v>
      </c>
      <c r="G809">
        <v>960007</v>
      </c>
    </row>
    <row r="810" spans="1:10">
      <c r="A810" t="s">
        <v>69</v>
      </c>
      <c r="B810">
        <v>21</v>
      </c>
      <c r="C810">
        <v>21</v>
      </c>
      <c r="E810">
        <v>22310</v>
      </c>
      <c r="G810">
        <v>53275</v>
      </c>
    </row>
    <row r="811" spans="1:10">
      <c r="A811" t="s">
        <v>69</v>
      </c>
      <c r="B811">
        <v>21</v>
      </c>
      <c r="C811">
        <v>26</v>
      </c>
      <c r="H811">
        <v>73000</v>
      </c>
      <c r="I811">
        <v>226630</v>
      </c>
    </row>
    <row r="812" spans="1:10">
      <c r="A812" t="s">
        <v>69</v>
      </c>
      <c r="B812">
        <v>21</v>
      </c>
      <c r="C812">
        <v>27</v>
      </c>
      <c r="E812">
        <v>493414</v>
      </c>
      <c r="F812">
        <v>473774</v>
      </c>
      <c r="G812">
        <v>385610</v>
      </c>
      <c r="H812">
        <v>33538</v>
      </c>
      <c r="I812">
        <v>40000</v>
      </c>
    </row>
    <row r="813" spans="1:10">
      <c r="A813" t="s">
        <v>69</v>
      </c>
      <c r="B813">
        <v>21</v>
      </c>
      <c r="C813">
        <v>34</v>
      </c>
      <c r="E813">
        <v>7378</v>
      </c>
      <c r="G813">
        <v>2718</v>
      </c>
    </row>
    <row r="814" spans="1:10">
      <c r="A814" t="s">
        <v>69</v>
      </c>
      <c r="B814">
        <v>24</v>
      </c>
      <c r="C814">
        <v>26</v>
      </c>
      <c r="I814">
        <v>84800</v>
      </c>
    </row>
    <row r="815" spans="1:10">
      <c r="A815" t="s">
        <v>123</v>
      </c>
      <c r="B815">
        <v>21</v>
      </c>
      <c r="C815">
        <v>24</v>
      </c>
      <c r="I815">
        <v>7500</v>
      </c>
    </row>
    <row r="816" spans="1:10">
      <c r="A816" t="s">
        <v>123</v>
      </c>
      <c r="B816">
        <v>21</v>
      </c>
      <c r="C816">
        <v>26</v>
      </c>
      <c r="I816">
        <v>15000</v>
      </c>
    </row>
    <row r="817" spans="1:11">
      <c r="A817" t="s">
        <v>123</v>
      </c>
      <c r="B817">
        <v>21</v>
      </c>
      <c r="C817">
        <v>27</v>
      </c>
      <c r="F817">
        <v>86605</v>
      </c>
      <c r="G817">
        <v>42170</v>
      </c>
      <c r="H817">
        <v>1000</v>
      </c>
    </row>
    <row r="818" spans="1:11">
      <c r="A818" t="s">
        <v>123</v>
      </c>
      <c r="B818">
        <v>21</v>
      </c>
      <c r="C818">
        <v>32</v>
      </c>
      <c r="H818">
        <v>1500</v>
      </c>
      <c r="I818">
        <v>1500</v>
      </c>
    </row>
    <row r="819" spans="1:11">
      <c r="A819" t="s">
        <v>123</v>
      </c>
      <c r="B819">
        <v>21</v>
      </c>
      <c r="C819">
        <v>33</v>
      </c>
      <c r="H819">
        <v>1500</v>
      </c>
    </row>
    <row r="820" spans="1:11">
      <c r="A820" t="s">
        <v>143</v>
      </c>
      <c r="B820">
        <v>21</v>
      </c>
      <c r="C820">
        <v>26</v>
      </c>
      <c r="I820">
        <v>25000</v>
      </c>
    </row>
    <row r="821" spans="1:11">
      <c r="A821" t="s">
        <v>143</v>
      </c>
      <c r="B821">
        <v>21</v>
      </c>
      <c r="C821">
        <v>27</v>
      </c>
      <c r="E821">
        <v>74065</v>
      </c>
      <c r="F821">
        <v>69676</v>
      </c>
      <c r="G821">
        <v>65677</v>
      </c>
      <c r="H821">
        <v>3100</v>
      </c>
      <c r="I821">
        <v>20500</v>
      </c>
    </row>
    <row r="822" spans="1:11">
      <c r="A822" t="s">
        <v>143</v>
      </c>
      <c r="B822">
        <v>21</v>
      </c>
      <c r="C822">
        <v>31</v>
      </c>
      <c r="I822">
        <v>12000</v>
      </c>
    </row>
    <row r="823" spans="1:11">
      <c r="A823" t="s">
        <v>143</v>
      </c>
      <c r="B823">
        <v>21</v>
      </c>
      <c r="C823">
        <v>33</v>
      </c>
      <c r="H823">
        <v>899</v>
      </c>
    </row>
    <row r="824" spans="1:11">
      <c r="A824" t="s">
        <v>143</v>
      </c>
      <c r="B824">
        <v>24</v>
      </c>
      <c r="C824">
        <v>26</v>
      </c>
      <c r="I824">
        <v>440</v>
      </c>
    </row>
    <row r="825" spans="1:11">
      <c r="A825" t="s">
        <v>143</v>
      </c>
      <c r="B825">
        <v>24</v>
      </c>
      <c r="C825">
        <v>27</v>
      </c>
      <c r="I825">
        <v>18500</v>
      </c>
    </row>
    <row r="826" spans="1:11">
      <c r="A826" t="s">
        <v>559</v>
      </c>
      <c r="B826">
        <v>21</v>
      </c>
      <c r="C826">
        <v>23</v>
      </c>
      <c r="E826">
        <v>53252</v>
      </c>
      <c r="G826">
        <v>9691</v>
      </c>
    </row>
    <row r="827" spans="1:11">
      <c r="A827" t="s">
        <v>559</v>
      </c>
      <c r="B827">
        <v>21</v>
      </c>
      <c r="C827">
        <v>26</v>
      </c>
      <c r="G827">
        <v>24290</v>
      </c>
      <c r="H827">
        <v>500</v>
      </c>
      <c r="I827">
        <v>80000</v>
      </c>
    </row>
    <row r="828" spans="1:11">
      <c r="A828" t="s">
        <v>559</v>
      </c>
      <c r="B828">
        <v>21</v>
      </c>
      <c r="C828">
        <v>27</v>
      </c>
      <c r="E828">
        <v>112456</v>
      </c>
      <c r="F828">
        <v>39307</v>
      </c>
      <c r="G828">
        <v>49442</v>
      </c>
      <c r="H828">
        <v>3950</v>
      </c>
      <c r="I828">
        <v>31300</v>
      </c>
      <c r="J828">
        <v>4500</v>
      </c>
      <c r="K828">
        <v>5000</v>
      </c>
    </row>
    <row r="829" spans="1:11">
      <c r="A829" t="s">
        <v>559</v>
      </c>
      <c r="B829">
        <v>24</v>
      </c>
      <c r="C829">
        <v>27</v>
      </c>
      <c r="F829">
        <v>4597</v>
      </c>
      <c r="G829">
        <v>4076</v>
      </c>
    </row>
    <row r="830" spans="1:11">
      <c r="A830" t="s">
        <v>149</v>
      </c>
      <c r="B830">
        <v>21</v>
      </c>
      <c r="C830">
        <v>21</v>
      </c>
      <c r="E830">
        <v>174531</v>
      </c>
      <c r="F830">
        <v>71785</v>
      </c>
      <c r="G830">
        <v>87973</v>
      </c>
      <c r="H830">
        <v>150</v>
      </c>
      <c r="I830">
        <v>2700</v>
      </c>
    </row>
    <row r="831" spans="1:11">
      <c r="A831" t="s">
        <v>149</v>
      </c>
      <c r="B831">
        <v>21</v>
      </c>
      <c r="C831">
        <v>25</v>
      </c>
      <c r="H831">
        <v>3000</v>
      </c>
    </row>
    <row r="832" spans="1:11">
      <c r="A832" t="s">
        <v>149</v>
      </c>
      <c r="B832">
        <v>21</v>
      </c>
      <c r="C832">
        <v>26</v>
      </c>
      <c r="E832">
        <v>582822</v>
      </c>
      <c r="G832">
        <v>203434</v>
      </c>
      <c r="H832">
        <v>3500</v>
      </c>
      <c r="I832">
        <v>979752</v>
      </c>
    </row>
    <row r="833" spans="1:10">
      <c r="A833" t="s">
        <v>149</v>
      </c>
      <c r="B833">
        <v>21</v>
      </c>
      <c r="C833">
        <v>27</v>
      </c>
      <c r="D833">
        <v>15200</v>
      </c>
      <c r="E833">
        <v>1828394</v>
      </c>
      <c r="F833">
        <v>1298176</v>
      </c>
      <c r="G833">
        <v>1433573</v>
      </c>
      <c r="H833">
        <v>13500</v>
      </c>
      <c r="I833">
        <v>108510</v>
      </c>
      <c r="J833">
        <v>500</v>
      </c>
    </row>
    <row r="834" spans="1:10">
      <c r="A834" t="s">
        <v>149</v>
      </c>
      <c r="B834">
        <v>21</v>
      </c>
      <c r="C834">
        <v>32</v>
      </c>
      <c r="H834">
        <v>1500</v>
      </c>
    </row>
    <row r="835" spans="1:10">
      <c r="A835" t="s">
        <v>149</v>
      </c>
      <c r="B835">
        <v>21</v>
      </c>
      <c r="C835">
        <v>33</v>
      </c>
      <c r="H835">
        <v>11800</v>
      </c>
    </row>
    <row r="836" spans="1:10">
      <c r="A836" t="s">
        <v>149</v>
      </c>
      <c r="B836">
        <v>21</v>
      </c>
      <c r="C836">
        <v>34</v>
      </c>
      <c r="E836">
        <v>38266</v>
      </c>
      <c r="G836">
        <v>5913</v>
      </c>
    </row>
    <row r="837" spans="1:10">
      <c r="A837" t="s">
        <v>149</v>
      </c>
      <c r="B837">
        <v>24</v>
      </c>
      <c r="C837">
        <v>27</v>
      </c>
      <c r="E837">
        <v>139093</v>
      </c>
      <c r="F837">
        <v>276486</v>
      </c>
      <c r="G837">
        <v>282060</v>
      </c>
      <c r="H837">
        <v>12571</v>
      </c>
    </row>
    <row r="838" spans="1:10">
      <c r="A838" t="s">
        <v>247</v>
      </c>
      <c r="B838">
        <v>21</v>
      </c>
      <c r="C838">
        <v>21</v>
      </c>
      <c r="E838">
        <v>37180</v>
      </c>
      <c r="F838">
        <v>20180</v>
      </c>
      <c r="G838">
        <v>17563</v>
      </c>
    </row>
    <row r="839" spans="1:10">
      <c r="A839" t="s">
        <v>247</v>
      </c>
      <c r="B839">
        <v>21</v>
      </c>
      <c r="C839">
        <v>25</v>
      </c>
      <c r="F839">
        <v>14541</v>
      </c>
      <c r="G839">
        <v>9128</v>
      </c>
    </row>
    <row r="840" spans="1:10">
      <c r="A840" t="s">
        <v>247</v>
      </c>
      <c r="B840">
        <v>21</v>
      </c>
      <c r="C840">
        <v>26</v>
      </c>
      <c r="F840">
        <v>40478</v>
      </c>
      <c r="G840">
        <v>22727</v>
      </c>
      <c r="I840">
        <v>287000</v>
      </c>
    </row>
    <row r="841" spans="1:10">
      <c r="A841" t="s">
        <v>247</v>
      </c>
      <c r="B841">
        <v>21</v>
      </c>
      <c r="C841">
        <v>27</v>
      </c>
      <c r="E841">
        <v>274343</v>
      </c>
      <c r="F841">
        <v>97958</v>
      </c>
      <c r="G841">
        <v>151924</v>
      </c>
      <c r="H841">
        <v>5500</v>
      </c>
      <c r="I841">
        <v>30000</v>
      </c>
    </row>
    <row r="842" spans="1:10">
      <c r="A842" t="s">
        <v>247</v>
      </c>
      <c r="B842">
        <v>21</v>
      </c>
      <c r="C842">
        <v>31</v>
      </c>
      <c r="I842">
        <v>5000</v>
      </c>
    </row>
    <row r="843" spans="1:10">
      <c r="A843" t="s">
        <v>247</v>
      </c>
      <c r="B843">
        <v>21</v>
      </c>
      <c r="C843">
        <v>33</v>
      </c>
      <c r="H843">
        <v>500</v>
      </c>
    </row>
    <row r="844" spans="1:10">
      <c r="A844" t="s">
        <v>247</v>
      </c>
      <c r="B844">
        <v>24</v>
      </c>
      <c r="C844">
        <v>27</v>
      </c>
      <c r="F844">
        <v>53708</v>
      </c>
      <c r="G844">
        <v>41119</v>
      </c>
      <c r="H844">
        <v>17000</v>
      </c>
    </row>
    <row r="845" spans="1:10">
      <c r="A845" t="s">
        <v>89</v>
      </c>
      <c r="B845">
        <v>21</v>
      </c>
      <c r="C845">
        <v>21</v>
      </c>
      <c r="E845">
        <v>103643</v>
      </c>
      <c r="F845">
        <v>31958</v>
      </c>
      <c r="G845">
        <v>37723</v>
      </c>
    </row>
    <row r="846" spans="1:10">
      <c r="A846" t="s">
        <v>89</v>
      </c>
      <c r="B846">
        <v>21</v>
      </c>
      <c r="C846">
        <v>23</v>
      </c>
      <c r="I846">
        <v>2000</v>
      </c>
    </row>
    <row r="847" spans="1:10">
      <c r="A847" t="s">
        <v>89</v>
      </c>
      <c r="B847">
        <v>21</v>
      </c>
      <c r="C847">
        <v>26</v>
      </c>
      <c r="E847">
        <v>59578</v>
      </c>
      <c r="F847">
        <v>89652</v>
      </c>
      <c r="G847">
        <v>67278</v>
      </c>
      <c r="I847">
        <v>300000</v>
      </c>
    </row>
    <row r="848" spans="1:10">
      <c r="A848" t="s">
        <v>89</v>
      </c>
      <c r="B848">
        <v>21</v>
      </c>
      <c r="C848">
        <v>27</v>
      </c>
      <c r="E848">
        <v>540562</v>
      </c>
      <c r="F848">
        <v>390600</v>
      </c>
      <c r="G848">
        <v>438201</v>
      </c>
      <c r="H848">
        <v>147562</v>
      </c>
      <c r="I848">
        <v>11500</v>
      </c>
    </row>
    <row r="849" spans="1:10">
      <c r="A849" t="s">
        <v>89</v>
      </c>
      <c r="B849">
        <v>21</v>
      </c>
      <c r="C849">
        <v>31</v>
      </c>
      <c r="E849">
        <v>2000</v>
      </c>
      <c r="G849">
        <v>313</v>
      </c>
      <c r="I849">
        <v>25000</v>
      </c>
      <c r="J849">
        <v>1000</v>
      </c>
    </row>
    <row r="850" spans="1:10">
      <c r="A850" t="s">
        <v>89</v>
      </c>
      <c r="B850">
        <v>21</v>
      </c>
      <c r="C850">
        <v>33</v>
      </c>
      <c r="H850">
        <v>24000</v>
      </c>
      <c r="I850">
        <v>13500</v>
      </c>
    </row>
    <row r="851" spans="1:10">
      <c r="A851" t="s">
        <v>89</v>
      </c>
      <c r="B851">
        <v>24</v>
      </c>
      <c r="C851">
        <v>27</v>
      </c>
      <c r="E851">
        <v>53422</v>
      </c>
      <c r="F851">
        <v>128711</v>
      </c>
      <c r="G851">
        <v>101839</v>
      </c>
    </row>
    <row r="852" spans="1:10">
      <c r="A852" t="s">
        <v>635</v>
      </c>
      <c r="B852">
        <v>21</v>
      </c>
      <c r="C852">
        <v>29</v>
      </c>
      <c r="I852">
        <v>261388</v>
      </c>
    </row>
    <row r="853" spans="1:10">
      <c r="A853" t="s">
        <v>38</v>
      </c>
      <c r="B853">
        <v>21</v>
      </c>
      <c r="C853">
        <v>27</v>
      </c>
      <c r="I853">
        <v>225000</v>
      </c>
    </row>
    <row r="854" spans="1:10">
      <c r="A854" t="s">
        <v>71</v>
      </c>
      <c r="B854">
        <v>21</v>
      </c>
      <c r="C854">
        <v>27</v>
      </c>
      <c r="I854">
        <v>152624</v>
      </c>
    </row>
    <row r="855" spans="1:10">
      <c r="A855" t="s">
        <v>571</v>
      </c>
      <c r="B855">
        <v>21</v>
      </c>
      <c r="C855">
        <v>27</v>
      </c>
      <c r="I855">
        <v>260000</v>
      </c>
    </row>
    <row r="856" spans="1:10">
      <c r="A856" t="s">
        <v>185</v>
      </c>
      <c r="B856">
        <v>21</v>
      </c>
      <c r="C856">
        <v>29</v>
      </c>
      <c r="I856">
        <v>138615</v>
      </c>
    </row>
    <row r="857" spans="1:10">
      <c r="A857" t="s">
        <v>249</v>
      </c>
      <c r="B857">
        <v>21</v>
      </c>
      <c r="C857">
        <v>29</v>
      </c>
      <c r="I857">
        <v>120579</v>
      </c>
    </row>
    <row r="858" spans="1:10">
      <c r="A858" t="s">
        <v>467</v>
      </c>
      <c r="B858">
        <v>21</v>
      </c>
      <c r="C858">
        <v>29</v>
      </c>
      <c r="I858">
        <v>40848</v>
      </c>
    </row>
    <row r="859" spans="1:10">
      <c r="A859" t="s">
        <v>187</v>
      </c>
      <c r="B859">
        <v>21</v>
      </c>
      <c r="C859">
        <v>27</v>
      </c>
      <c r="I859">
        <v>6503648</v>
      </c>
    </row>
    <row r="860" spans="1:10">
      <c r="A860" t="s">
        <v>621</v>
      </c>
      <c r="B860">
        <v>21</v>
      </c>
      <c r="C860">
        <v>29</v>
      </c>
      <c r="I860">
        <v>2472540</v>
      </c>
    </row>
    <row r="861" spans="1:10">
      <c r="A861" t="s">
        <v>281</v>
      </c>
      <c r="B861">
        <v>21</v>
      </c>
      <c r="C861">
        <v>29</v>
      </c>
      <c r="I861">
        <v>375494</v>
      </c>
    </row>
    <row r="862" spans="1:10">
      <c r="A862" t="s">
        <v>333</v>
      </c>
      <c r="B862">
        <v>21</v>
      </c>
      <c r="C862">
        <v>21</v>
      </c>
      <c r="E862">
        <v>6025</v>
      </c>
      <c r="G862">
        <v>1048</v>
      </c>
    </row>
    <row r="863" spans="1:10">
      <c r="A863" t="s">
        <v>333</v>
      </c>
      <c r="B863">
        <v>21</v>
      </c>
      <c r="C863">
        <v>25</v>
      </c>
      <c r="F863">
        <v>30232</v>
      </c>
      <c r="G863">
        <v>20286</v>
      </c>
    </row>
    <row r="864" spans="1:10">
      <c r="A864" t="s">
        <v>333</v>
      </c>
      <c r="B864">
        <v>21</v>
      </c>
      <c r="C864">
        <v>26</v>
      </c>
      <c r="F864">
        <v>223500</v>
      </c>
      <c r="G864">
        <v>91854</v>
      </c>
      <c r="I864">
        <v>1300000</v>
      </c>
    </row>
    <row r="865" spans="1:10">
      <c r="A865" t="s">
        <v>333</v>
      </c>
      <c r="B865">
        <v>21</v>
      </c>
      <c r="C865">
        <v>27</v>
      </c>
      <c r="E865">
        <v>292663</v>
      </c>
      <c r="F865">
        <v>283008</v>
      </c>
      <c r="G865">
        <v>285193</v>
      </c>
      <c r="H865">
        <v>3000</v>
      </c>
      <c r="I865">
        <v>315000</v>
      </c>
    </row>
    <row r="866" spans="1:10">
      <c r="A866" t="s">
        <v>333</v>
      </c>
      <c r="B866">
        <v>21</v>
      </c>
      <c r="C866">
        <v>29</v>
      </c>
      <c r="I866">
        <v>520000</v>
      </c>
    </row>
    <row r="867" spans="1:10">
      <c r="A867" t="s">
        <v>333</v>
      </c>
      <c r="B867">
        <v>21</v>
      </c>
      <c r="C867">
        <v>31</v>
      </c>
      <c r="I867">
        <v>1000</v>
      </c>
    </row>
    <row r="868" spans="1:10">
      <c r="A868" t="s">
        <v>333</v>
      </c>
      <c r="B868">
        <v>21</v>
      </c>
      <c r="C868">
        <v>34</v>
      </c>
      <c r="E868">
        <v>4591</v>
      </c>
      <c r="G868">
        <v>805</v>
      </c>
    </row>
    <row r="869" spans="1:10">
      <c r="A869" t="s">
        <v>333</v>
      </c>
      <c r="B869">
        <v>24</v>
      </c>
      <c r="C869">
        <v>26</v>
      </c>
      <c r="I869">
        <v>155477</v>
      </c>
    </row>
    <row r="870" spans="1:10">
      <c r="A870" t="s">
        <v>333</v>
      </c>
      <c r="B870">
        <v>24</v>
      </c>
      <c r="C870">
        <v>27</v>
      </c>
      <c r="F870">
        <v>9379</v>
      </c>
      <c r="G870">
        <v>7193</v>
      </c>
    </row>
    <row r="871" spans="1:10">
      <c r="A871" t="s">
        <v>163</v>
      </c>
      <c r="B871">
        <v>21</v>
      </c>
      <c r="C871">
        <v>27</v>
      </c>
      <c r="E871">
        <v>32112</v>
      </c>
      <c r="F871">
        <v>32525</v>
      </c>
      <c r="G871">
        <v>33758</v>
      </c>
      <c r="H871">
        <v>1300</v>
      </c>
      <c r="I871">
        <v>100</v>
      </c>
    </row>
    <row r="872" spans="1:10">
      <c r="A872" t="s">
        <v>163</v>
      </c>
      <c r="B872">
        <v>21</v>
      </c>
      <c r="C872">
        <v>29</v>
      </c>
      <c r="I872">
        <v>58650</v>
      </c>
    </row>
    <row r="873" spans="1:10">
      <c r="A873" t="s">
        <v>163</v>
      </c>
      <c r="B873">
        <v>21</v>
      </c>
      <c r="C873">
        <v>31</v>
      </c>
      <c r="J873">
        <v>100</v>
      </c>
    </row>
    <row r="874" spans="1:10">
      <c r="A874" t="s">
        <v>163</v>
      </c>
      <c r="B874">
        <v>24</v>
      </c>
      <c r="C874">
        <v>26</v>
      </c>
      <c r="I874">
        <v>11339</v>
      </c>
    </row>
    <row r="875" spans="1:10">
      <c r="A875" t="s">
        <v>319</v>
      </c>
      <c r="B875">
        <v>21</v>
      </c>
      <c r="C875">
        <v>27</v>
      </c>
      <c r="E875">
        <v>331996</v>
      </c>
      <c r="F875">
        <v>333964</v>
      </c>
      <c r="G875">
        <v>338043</v>
      </c>
      <c r="I875">
        <v>621997</v>
      </c>
    </row>
    <row r="876" spans="1:10">
      <c r="A876" t="s">
        <v>319</v>
      </c>
      <c r="B876">
        <v>24</v>
      </c>
      <c r="C876">
        <v>26</v>
      </c>
      <c r="I876">
        <v>150575</v>
      </c>
    </row>
    <row r="877" spans="1:10">
      <c r="A877" t="s">
        <v>315</v>
      </c>
      <c r="B877">
        <v>21</v>
      </c>
      <c r="C877">
        <v>26</v>
      </c>
      <c r="I877">
        <v>500</v>
      </c>
    </row>
    <row r="878" spans="1:10">
      <c r="A878" t="s">
        <v>315</v>
      </c>
      <c r="B878">
        <v>21</v>
      </c>
      <c r="C878">
        <v>27</v>
      </c>
      <c r="E878">
        <v>200349</v>
      </c>
      <c r="F878">
        <v>349553</v>
      </c>
      <c r="G878">
        <v>338757</v>
      </c>
      <c r="H878">
        <v>7000</v>
      </c>
      <c r="I878">
        <v>400000</v>
      </c>
      <c r="J878">
        <v>800</v>
      </c>
    </row>
    <row r="879" spans="1:10">
      <c r="A879" t="s">
        <v>315</v>
      </c>
      <c r="B879">
        <v>21</v>
      </c>
      <c r="C879">
        <v>31</v>
      </c>
      <c r="E879">
        <v>1404</v>
      </c>
      <c r="G879">
        <v>565</v>
      </c>
      <c r="I879">
        <v>1000</v>
      </c>
      <c r="J879">
        <v>500</v>
      </c>
    </row>
    <row r="880" spans="1:10">
      <c r="A880" t="s">
        <v>315</v>
      </c>
      <c r="B880">
        <v>21</v>
      </c>
      <c r="C880">
        <v>34</v>
      </c>
      <c r="E880">
        <v>2807</v>
      </c>
      <c r="G880">
        <v>1129</v>
      </c>
    </row>
    <row r="881" spans="1:10">
      <c r="A881" t="s">
        <v>315</v>
      </c>
      <c r="B881">
        <v>24</v>
      </c>
      <c r="C881">
        <v>26</v>
      </c>
      <c r="I881">
        <v>120329</v>
      </c>
    </row>
    <row r="882" spans="1:10">
      <c r="A882" t="s">
        <v>315</v>
      </c>
      <c r="B882">
        <v>24</v>
      </c>
      <c r="C882">
        <v>27</v>
      </c>
      <c r="F882">
        <v>4437</v>
      </c>
      <c r="G882">
        <v>3214</v>
      </c>
    </row>
    <row r="883" spans="1:10">
      <c r="A883" t="s">
        <v>9</v>
      </c>
      <c r="B883">
        <v>21</v>
      </c>
      <c r="C883">
        <v>26</v>
      </c>
      <c r="F883">
        <v>321610</v>
      </c>
      <c r="G883">
        <v>114241</v>
      </c>
      <c r="I883">
        <v>769869</v>
      </c>
    </row>
    <row r="884" spans="1:10">
      <c r="A884" t="s">
        <v>9</v>
      </c>
      <c r="B884">
        <v>21</v>
      </c>
      <c r="C884">
        <v>27</v>
      </c>
      <c r="E884">
        <v>197047</v>
      </c>
      <c r="F884">
        <v>161750</v>
      </c>
      <c r="G884">
        <v>180412</v>
      </c>
      <c r="H884">
        <v>205000</v>
      </c>
      <c r="I884">
        <v>884004</v>
      </c>
      <c r="J884">
        <v>13530</v>
      </c>
    </row>
    <row r="885" spans="1:10">
      <c r="A885" t="s">
        <v>9</v>
      </c>
      <c r="B885">
        <v>21</v>
      </c>
      <c r="C885">
        <v>32</v>
      </c>
      <c r="H885">
        <v>25133</v>
      </c>
    </row>
    <row r="886" spans="1:10">
      <c r="A886" t="s">
        <v>9</v>
      </c>
      <c r="B886">
        <v>24</v>
      </c>
      <c r="C886">
        <v>27</v>
      </c>
      <c r="I886">
        <v>121214</v>
      </c>
    </row>
    <row r="887" spans="1:10">
      <c r="A887" t="s">
        <v>631</v>
      </c>
      <c r="B887">
        <v>21</v>
      </c>
      <c r="C887">
        <v>21</v>
      </c>
      <c r="E887">
        <v>15000</v>
      </c>
      <c r="G887">
        <v>6251</v>
      </c>
    </row>
    <row r="888" spans="1:10">
      <c r="A888" t="s">
        <v>631</v>
      </c>
      <c r="B888">
        <v>21</v>
      </c>
      <c r="C888">
        <v>25</v>
      </c>
      <c r="F888">
        <v>15831</v>
      </c>
      <c r="G888">
        <v>19522</v>
      </c>
    </row>
    <row r="889" spans="1:10">
      <c r="A889" t="s">
        <v>631</v>
      </c>
      <c r="B889">
        <v>21</v>
      </c>
      <c r="C889">
        <v>27</v>
      </c>
      <c r="E889">
        <v>263149</v>
      </c>
      <c r="F889">
        <v>425814</v>
      </c>
      <c r="G889">
        <v>424158</v>
      </c>
      <c r="H889">
        <v>50600</v>
      </c>
      <c r="I889">
        <v>540000</v>
      </c>
    </row>
    <row r="890" spans="1:10">
      <c r="A890" t="s">
        <v>631</v>
      </c>
      <c r="B890">
        <v>21</v>
      </c>
      <c r="C890">
        <v>29</v>
      </c>
      <c r="I890">
        <v>330000</v>
      </c>
    </row>
    <row r="891" spans="1:10">
      <c r="A891" t="s">
        <v>631</v>
      </c>
      <c r="B891">
        <v>24</v>
      </c>
      <c r="C891">
        <v>29</v>
      </c>
      <c r="I891">
        <v>200721</v>
      </c>
    </row>
    <row r="892" spans="1:10">
      <c r="A892" t="s">
        <v>43</v>
      </c>
      <c r="B892">
        <v>21</v>
      </c>
      <c r="C892">
        <v>25</v>
      </c>
      <c r="F892">
        <v>10342</v>
      </c>
      <c r="G892">
        <v>942</v>
      </c>
    </row>
    <row r="893" spans="1:10">
      <c r="A893" t="s">
        <v>43</v>
      </c>
      <c r="B893">
        <v>21</v>
      </c>
      <c r="C893">
        <v>27</v>
      </c>
      <c r="E893">
        <v>41592</v>
      </c>
      <c r="F893">
        <v>65960</v>
      </c>
      <c r="G893">
        <v>59973</v>
      </c>
      <c r="H893">
        <v>1999</v>
      </c>
      <c r="I893">
        <v>270000</v>
      </c>
    </row>
    <row r="894" spans="1:10">
      <c r="A894" t="s">
        <v>43</v>
      </c>
      <c r="B894">
        <v>21</v>
      </c>
      <c r="C894">
        <v>29</v>
      </c>
      <c r="I894">
        <v>420000</v>
      </c>
    </row>
    <row r="895" spans="1:10">
      <c r="A895" t="s">
        <v>43</v>
      </c>
      <c r="B895">
        <v>24</v>
      </c>
      <c r="C895">
        <v>26</v>
      </c>
      <c r="I895">
        <v>30000</v>
      </c>
    </row>
    <row r="896" spans="1:10">
      <c r="A896" t="s">
        <v>43</v>
      </c>
      <c r="B896">
        <v>24</v>
      </c>
      <c r="C896">
        <v>27</v>
      </c>
      <c r="I896">
        <v>10000</v>
      </c>
    </row>
    <row r="897" spans="1:9">
      <c r="A897" t="s">
        <v>561</v>
      </c>
      <c r="B897">
        <v>21</v>
      </c>
      <c r="C897">
        <v>21</v>
      </c>
      <c r="E897">
        <v>14248</v>
      </c>
      <c r="G897">
        <v>3869</v>
      </c>
    </row>
    <row r="898" spans="1:9">
      <c r="A898" t="s">
        <v>561</v>
      </c>
      <c r="B898">
        <v>21</v>
      </c>
      <c r="C898">
        <v>23</v>
      </c>
      <c r="E898">
        <v>11964</v>
      </c>
      <c r="G898">
        <v>3579</v>
      </c>
    </row>
    <row r="899" spans="1:9">
      <c r="A899" t="s">
        <v>561</v>
      </c>
      <c r="B899">
        <v>21</v>
      </c>
      <c r="C899">
        <v>25</v>
      </c>
      <c r="F899">
        <v>39752</v>
      </c>
      <c r="G899">
        <v>18939</v>
      </c>
    </row>
    <row r="900" spans="1:9">
      <c r="A900" t="s">
        <v>561</v>
      </c>
      <c r="B900">
        <v>21</v>
      </c>
      <c r="C900">
        <v>26</v>
      </c>
      <c r="I900">
        <v>600000</v>
      </c>
    </row>
    <row r="901" spans="1:9">
      <c r="A901" t="s">
        <v>561</v>
      </c>
      <c r="B901">
        <v>21</v>
      </c>
      <c r="C901">
        <v>27</v>
      </c>
      <c r="E901">
        <v>565659</v>
      </c>
      <c r="F901">
        <v>502088</v>
      </c>
      <c r="G901">
        <v>496445</v>
      </c>
      <c r="H901">
        <v>7750</v>
      </c>
      <c r="I901">
        <v>213700</v>
      </c>
    </row>
    <row r="902" spans="1:9">
      <c r="A902" t="s">
        <v>561</v>
      </c>
      <c r="B902">
        <v>21</v>
      </c>
      <c r="C902">
        <v>33</v>
      </c>
      <c r="H902">
        <v>1500</v>
      </c>
    </row>
    <row r="903" spans="1:9">
      <c r="A903" t="s">
        <v>561</v>
      </c>
      <c r="B903">
        <v>24</v>
      </c>
      <c r="C903">
        <v>26</v>
      </c>
      <c r="I903">
        <v>192600</v>
      </c>
    </row>
    <row r="904" spans="1:9">
      <c r="A904" t="s">
        <v>379</v>
      </c>
      <c r="B904">
        <v>21</v>
      </c>
      <c r="C904">
        <v>21</v>
      </c>
      <c r="E904">
        <v>31973</v>
      </c>
      <c r="G904">
        <v>8194</v>
      </c>
    </row>
    <row r="905" spans="1:9">
      <c r="A905" t="s">
        <v>379</v>
      </c>
      <c r="B905">
        <v>21</v>
      </c>
      <c r="C905">
        <v>26</v>
      </c>
      <c r="I905">
        <v>30000</v>
      </c>
    </row>
    <row r="906" spans="1:9">
      <c r="A906" t="s">
        <v>379</v>
      </c>
      <c r="B906">
        <v>21</v>
      </c>
      <c r="C906">
        <v>27</v>
      </c>
      <c r="E906">
        <v>408255</v>
      </c>
      <c r="F906">
        <v>443617</v>
      </c>
      <c r="G906">
        <v>478115</v>
      </c>
      <c r="H906">
        <v>4750</v>
      </c>
      <c r="I906">
        <v>917000</v>
      </c>
    </row>
    <row r="907" spans="1:9">
      <c r="A907" t="s">
        <v>379</v>
      </c>
      <c r="B907">
        <v>21</v>
      </c>
      <c r="C907">
        <v>33</v>
      </c>
      <c r="H907">
        <v>15000</v>
      </c>
    </row>
    <row r="908" spans="1:9">
      <c r="A908" t="s">
        <v>379</v>
      </c>
      <c r="B908">
        <v>21</v>
      </c>
      <c r="C908">
        <v>34</v>
      </c>
      <c r="E908">
        <v>6791</v>
      </c>
      <c r="G908">
        <v>2581</v>
      </c>
    </row>
    <row r="909" spans="1:9">
      <c r="A909" t="s">
        <v>379</v>
      </c>
      <c r="B909">
        <v>24</v>
      </c>
      <c r="C909">
        <v>27</v>
      </c>
      <c r="F909">
        <v>4733</v>
      </c>
      <c r="G909">
        <v>3926</v>
      </c>
      <c r="I909">
        <v>201169</v>
      </c>
    </row>
    <row r="910" spans="1:9">
      <c r="A910" t="s">
        <v>407</v>
      </c>
      <c r="B910">
        <v>21</v>
      </c>
      <c r="C910">
        <v>27</v>
      </c>
      <c r="E910">
        <v>158423</v>
      </c>
      <c r="F910">
        <v>287195</v>
      </c>
      <c r="G910">
        <v>215159</v>
      </c>
      <c r="H910">
        <v>6500</v>
      </c>
      <c r="I910">
        <v>210600</v>
      </c>
    </row>
    <row r="911" spans="1:9">
      <c r="A911" t="s">
        <v>407</v>
      </c>
      <c r="B911">
        <v>21</v>
      </c>
      <c r="C911">
        <v>29</v>
      </c>
      <c r="I911">
        <v>165000</v>
      </c>
    </row>
    <row r="912" spans="1:9">
      <c r="A912" t="s">
        <v>407</v>
      </c>
      <c r="B912">
        <v>21</v>
      </c>
      <c r="C912">
        <v>32</v>
      </c>
      <c r="H912">
        <v>4000</v>
      </c>
    </row>
    <row r="913" spans="1:10">
      <c r="A913" t="s">
        <v>407</v>
      </c>
      <c r="B913">
        <v>21</v>
      </c>
      <c r="C913">
        <v>33</v>
      </c>
      <c r="H913">
        <v>2500</v>
      </c>
    </row>
    <row r="914" spans="1:10">
      <c r="A914" t="s">
        <v>407</v>
      </c>
      <c r="B914">
        <v>24</v>
      </c>
      <c r="C914">
        <v>26</v>
      </c>
      <c r="I914">
        <v>68107</v>
      </c>
    </row>
    <row r="915" spans="1:10">
      <c r="A915" t="s">
        <v>79</v>
      </c>
      <c r="B915">
        <v>21</v>
      </c>
      <c r="C915">
        <v>21</v>
      </c>
      <c r="E915">
        <v>235054</v>
      </c>
      <c r="F915">
        <v>73726</v>
      </c>
      <c r="G915">
        <v>101893</v>
      </c>
      <c r="H915">
        <v>2400</v>
      </c>
      <c r="I915">
        <v>21125</v>
      </c>
      <c r="J915">
        <v>1200</v>
      </c>
    </row>
    <row r="916" spans="1:10">
      <c r="A916" t="s">
        <v>79</v>
      </c>
      <c r="B916">
        <v>21</v>
      </c>
      <c r="C916">
        <v>25</v>
      </c>
      <c r="F916">
        <v>62289</v>
      </c>
      <c r="G916">
        <v>46390</v>
      </c>
    </row>
    <row r="917" spans="1:10">
      <c r="A917" t="s">
        <v>79</v>
      </c>
      <c r="B917">
        <v>21</v>
      </c>
      <c r="C917">
        <v>26</v>
      </c>
      <c r="E917">
        <v>497651</v>
      </c>
      <c r="F917">
        <v>88761</v>
      </c>
      <c r="G917">
        <v>205692</v>
      </c>
      <c r="H917">
        <v>11505</v>
      </c>
      <c r="I917">
        <v>959000</v>
      </c>
      <c r="J917">
        <v>400</v>
      </c>
    </row>
    <row r="918" spans="1:10">
      <c r="A918" t="s">
        <v>79</v>
      </c>
      <c r="B918">
        <v>21</v>
      </c>
      <c r="C918">
        <v>27</v>
      </c>
      <c r="D918">
        <v>13000</v>
      </c>
      <c r="E918">
        <v>2154875</v>
      </c>
      <c r="F918">
        <v>1250740</v>
      </c>
      <c r="G918">
        <v>1530335</v>
      </c>
      <c r="H918">
        <v>3300</v>
      </c>
      <c r="I918">
        <v>170950</v>
      </c>
      <c r="J918">
        <v>1800</v>
      </c>
    </row>
    <row r="919" spans="1:10">
      <c r="A919" t="s">
        <v>79</v>
      </c>
      <c r="B919">
        <v>21</v>
      </c>
      <c r="C919">
        <v>31</v>
      </c>
      <c r="E919">
        <v>48486</v>
      </c>
      <c r="F919">
        <v>1000</v>
      </c>
      <c r="G919">
        <v>8182</v>
      </c>
      <c r="I919">
        <v>1000</v>
      </c>
    </row>
    <row r="920" spans="1:10">
      <c r="A920" t="s">
        <v>79</v>
      </c>
      <c r="B920">
        <v>21</v>
      </c>
      <c r="C920">
        <v>34</v>
      </c>
      <c r="E920">
        <v>42355</v>
      </c>
      <c r="G920">
        <v>6980</v>
      </c>
    </row>
    <row r="921" spans="1:10">
      <c r="A921" t="s">
        <v>79</v>
      </c>
      <c r="B921">
        <v>24</v>
      </c>
      <c r="C921">
        <v>26</v>
      </c>
      <c r="F921">
        <v>59554</v>
      </c>
      <c r="G921">
        <v>25361</v>
      </c>
    </row>
    <row r="922" spans="1:10">
      <c r="A922" t="s">
        <v>79</v>
      </c>
      <c r="B922">
        <v>24</v>
      </c>
      <c r="C922">
        <v>27</v>
      </c>
      <c r="F922">
        <v>353949</v>
      </c>
      <c r="G922">
        <v>264483</v>
      </c>
    </row>
    <row r="923" spans="1:10">
      <c r="A923" t="s">
        <v>617</v>
      </c>
      <c r="B923">
        <v>21</v>
      </c>
      <c r="C923">
        <v>26</v>
      </c>
      <c r="I923">
        <v>192000</v>
      </c>
    </row>
    <row r="924" spans="1:10">
      <c r="A924" t="s">
        <v>617</v>
      </c>
      <c r="B924">
        <v>21</v>
      </c>
      <c r="C924">
        <v>27</v>
      </c>
      <c r="E924">
        <v>161446</v>
      </c>
      <c r="F924">
        <v>264291</v>
      </c>
      <c r="G924">
        <v>231414</v>
      </c>
      <c r="H924">
        <v>1600</v>
      </c>
      <c r="I924">
        <v>120000</v>
      </c>
    </row>
    <row r="925" spans="1:10">
      <c r="A925" t="s">
        <v>617</v>
      </c>
      <c r="B925">
        <v>21</v>
      </c>
      <c r="C925">
        <v>31</v>
      </c>
      <c r="I925">
        <v>500</v>
      </c>
      <c r="J925">
        <v>299</v>
      </c>
    </row>
    <row r="926" spans="1:10">
      <c r="A926" t="s">
        <v>617</v>
      </c>
      <c r="B926">
        <v>24</v>
      </c>
      <c r="C926">
        <v>26</v>
      </c>
      <c r="I926">
        <v>130335</v>
      </c>
    </row>
    <row r="927" spans="1:10">
      <c r="A927" t="s">
        <v>617</v>
      </c>
      <c r="B927">
        <v>24</v>
      </c>
      <c r="C927">
        <v>27</v>
      </c>
      <c r="H927">
        <v>8311</v>
      </c>
    </row>
    <row r="928" spans="1:10">
      <c r="A928" t="s">
        <v>77</v>
      </c>
      <c r="B928">
        <v>21</v>
      </c>
      <c r="C928">
        <v>21</v>
      </c>
      <c r="E928">
        <v>196287</v>
      </c>
      <c r="F928">
        <v>89170</v>
      </c>
      <c r="G928">
        <v>81427</v>
      </c>
      <c r="H928">
        <v>750</v>
      </c>
      <c r="I928">
        <v>250</v>
      </c>
      <c r="J928">
        <v>500</v>
      </c>
    </row>
    <row r="929" spans="1:10">
      <c r="A929" t="s">
        <v>77</v>
      </c>
      <c r="B929">
        <v>21</v>
      </c>
      <c r="C929">
        <v>25</v>
      </c>
      <c r="F929">
        <v>164613</v>
      </c>
      <c r="G929">
        <v>142182</v>
      </c>
    </row>
    <row r="930" spans="1:10">
      <c r="A930" t="s">
        <v>77</v>
      </c>
      <c r="B930">
        <v>21</v>
      </c>
      <c r="C930">
        <v>26</v>
      </c>
      <c r="E930">
        <v>728453</v>
      </c>
      <c r="F930">
        <v>62796</v>
      </c>
      <c r="G930">
        <v>252954</v>
      </c>
      <c r="H930">
        <v>750</v>
      </c>
      <c r="I930">
        <v>927165</v>
      </c>
      <c r="J930">
        <v>300</v>
      </c>
    </row>
    <row r="931" spans="1:10">
      <c r="A931" t="s">
        <v>77</v>
      </c>
      <c r="B931">
        <v>21</v>
      </c>
      <c r="C931">
        <v>27</v>
      </c>
      <c r="E931">
        <v>2333417</v>
      </c>
      <c r="F931">
        <v>1146020</v>
      </c>
      <c r="G931">
        <v>1437670</v>
      </c>
      <c r="H931">
        <v>237896</v>
      </c>
      <c r="I931">
        <v>539921</v>
      </c>
    </row>
    <row r="932" spans="1:10">
      <c r="A932" t="s">
        <v>77</v>
      </c>
      <c r="B932">
        <v>21</v>
      </c>
      <c r="C932">
        <v>29</v>
      </c>
      <c r="I932">
        <v>1032170</v>
      </c>
    </row>
    <row r="933" spans="1:10">
      <c r="A933" t="s">
        <v>77</v>
      </c>
      <c r="B933">
        <v>21</v>
      </c>
      <c r="C933">
        <v>31</v>
      </c>
      <c r="E933">
        <v>77984</v>
      </c>
      <c r="G933">
        <v>12632</v>
      </c>
      <c r="I933">
        <v>1500</v>
      </c>
      <c r="J933">
        <v>750</v>
      </c>
    </row>
    <row r="934" spans="1:10">
      <c r="A934" t="s">
        <v>77</v>
      </c>
      <c r="B934">
        <v>21</v>
      </c>
      <c r="C934">
        <v>32</v>
      </c>
      <c r="H934">
        <v>13742</v>
      </c>
    </row>
    <row r="935" spans="1:10">
      <c r="A935" t="s">
        <v>77</v>
      </c>
      <c r="B935">
        <v>21</v>
      </c>
      <c r="C935">
        <v>34</v>
      </c>
      <c r="E935">
        <v>47179</v>
      </c>
      <c r="G935">
        <v>7644</v>
      </c>
    </row>
    <row r="936" spans="1:10">
      <c r="A936" t="s">
        <v>77</v>
      </c>
      <c r="B936">
        <v>24</v>
      </c>
      <c r="C936">
        <v>26</v>
      </c>
      <c r="I936">
        <v>200000</v>
      </c>
    </row>
    <row r="937" spans="1:10">
      <c r="A937" t="s">
        <v>77</v>
      </c>
      <c r="B937">
        <v>24</v>
      </c>
      <c r="C937">
        <v>27</v>
      </c>
      <c r="F937">
        <v>398237</v>
      </c>
      <c r="G937">
        <v>253572</v>
      </c>
      <c r="I937">
        <v>61341</v>
      </c>
    </row>
    <row r="938" spans="1:10">
      <c r="A938" t="s">
        <v>517</v>
      </c>
      <c r="B938">
        <v>21</v>
      </c>
      <c r="C938">
        <v>21</v>
      </c>
      <c r="E938">
        <v>2500</v>
      </c>
      <c r="G938">
        <v>438</v>
      </c>
    </row>
    <row r="939" spans="1:10">
      <c r="A939" t="s">
        <v>517</v>
      </c>
      <c r="B939">
        <v>21</v>
      </c>
      <c r="C939">
        <v>26</v>
      </c>
      <c r="I939">
        <v>10000</v>
      </c>
    </row>
    <row r="940" spans="1:10">
      <c r="A940" t="s">
        <v>517</v>
      </c>
      <c r="B940">
        <v>21</v>
      </c>
      <c r="C940">
        <v>27</v>
      </c>
      <c r="E940">
        <v>161961</v>
      </c>
      <c r="F940">
        <v>16391</v>
      </c>
      <c r="G940">
        <v>70172</v>
      </c>
    </row>
    <row r="941" spans="1:10">
      <c r="A941" t="s">
        <v>517</v>
      </c>
      <c r="B941">
        <v>24</v>
      </c>
      <c r="C941">
        <v>26</v>
      </c>
      <c r="I941">
        <v>21209</v>
      </c>
    </row>
    <row r="942" spans="1:10">
      <c r="A942" t="s">
        <v>449</v>
      </c>
      <c r="B942">
        <v>21</v>
      </c>
      <c r="C942">
        <v>21</v>
      </c>
      <c r="E942">
        <v>87804</v>
      </c>
      <c r="F942">
        <v>15428</v>
      </c>
      <c r="G942">
        <v>30718</v>
      </c>
    </row>
    <row r="943" spans="1:10">
      <c r="A943" t="s">
        <v>449</v>
      </c>
      <c r="B943">
        <v>21</v>
      </c>
      <c r="C943">
        <v>26</v>
      </c>
      <c r="H943">
        <v>1500</v>
      </c>
      <c r="I943">
        <v>150000</v>
      </c>
    </row>
    <row r="944" spans="1:10">
      <c r="A944" t="s">
        <v>449</v>
      </c>
      <c r="B944">
        <v>21</v>
      </c>
      <c r="C944">
        <v>27</v>
      </c>
      <c r="E944">
        <v>205468</v>
      </c>
      <c r="F944">
        <v>248023</v>
      </c>
      <c r="G944">
        <v>197532</v>
      </c>
      <c r="H944">
        <v>35851</v>
      </c>
      <c r="I944">
        <v>1500</v>
      </c>
    </row>
    <row r="945" spans="1:10">
      <c r="A945" t="s">
        <v>449</v>
      </c>
      <c r="B945">
        <v>21</v>
      </c>
      <c r="C945">
        <v>31</v>
      </c>
      <c r="I945">
        <v>99176</v>
      </c>
      <c r="J945">
        <v>1000</v>
      </c>
    </row>
    <row r="946" spans="1:10">
      <c r="A946" t="s">
        <v>449</v>
      </c>
      <c r="B946">
        <v>21</v>
      </c>
      <c r="C946">
        <v>33</v>
      </c>
      <c r="H946">
        <v>48225</v>
      </c>
    </row>
    <row r="947" spans="1:10">
      <c r="A947" t="s">
        <v>449</v>
      </c>
      <c r="B947">
        <v>24</v>
      </c>
      <c r="C947">
        <v>26</v>
      </c>
      <c r="I947">
        <v>2000</v>
      </c>
    </row>
    <row r="948" spans="1:10">
      <c r="A948" t="s">
        <v>449</v>
      </c>
      <c r="B948">
        <v>24</v>
      </c>
      <c r="C948">
        <v>27</v>
      </c>
      <c r="E948">
        <v>75545</v>
      </c>
      <c r="F948">
        <v>38466</v>
      </c>
      <c r="G948">
        <v>58292</v>
      </c>
      <c r="H948">
        <v>3650</v>
      </c>
      <c r="I948">
        <v>1000</v>
      </c>
    </row>
    <row r="949" spans="1:10">
      <c r="A949" t="s">
        <v>11</v>
      </c>
      <c r="B949">
        <v>21</v>
      </c>
      <c r="C949">
        <v>21</v>
      </c>
      <c r="E949">
        <v>11562</v>
      </c>
      <c r="G949">
        <v>3401</v>
      </c>
    </row>
    <row r="950" spans="1:10">
      <c r="A950" t="s">
        <v>11</v>
      </c>
      <c r="B950">
        <v>21</v>
      </c>
      <c r="C950">
        <v>26</v>
      </c>
      <c r="I950">
        <v>10700</v>
      </c>
      <c r="J950">
        <v>500</v>
      </c>
    </row>
    <row r="951" spans="1:10">
      <c r="A951" t="s">
        <v>11</v>
      </c>
      <c r="B951">
        <v>21</v>
      </c>
      <c r="C951">
        <v>27</v>
      </c>
      <c r="E951">
        <v>62714</v>
      </c>
      <c r="F951">
        <v>17833</v>
      </c>
      <c r="G951">
        <v>40222</v>
      </c>
      <c r="H951">
        <v>10000</v>
      </c>
      <c r="I951">
        <v>2500</v>
      </c>
    </row>
    <row r="952" spans="1:10">
      <c r="A952" t="s">
        <v>11</v>
      </c>
      <c r="B952">
        <v>21</v>
      </c>
      <c r="C952">
        <v>29</v>
      </c>
      <c r="I952">
        <v>5000</v>
      </c>
    </row>
    <row r="953" spans="1:10">
      <c r="A953" t="s">
        <v>11</v>
      </c>
      <c r="B953">
        <v>21</v>
      </c>
      <c r="C953">
        <v>33</v>
      </c>
      <c r="H953">
        <v>6500</v>
      </c>
    </row>
    <row r="954" spans="1:10">
      <c r="A954" t="s">
        <v>11</v>
      </c>
      <c r="B954">
        <v>24</v>
      </c>
      <c r="C954">
        <v>26</v>
      </c>
      <c r="I954">
        <v>22000</v>
      </c>
    </row>
    <row r="955" spans="1:10">
      <c r="A955" t="s">
        <v>117</v>
      </c>
      <c r="B955">
        <v>21</v>
      </c>
      <c r="C955">
        <v>26</v>
      </c>
      <c r="H955">
        <v>500</v>
      </c>
      <c r="I955">
        <v>57000</v>
      </c>
    </row>
    <row r="956" spans="1:10">
      <c r="A956" t="s">
        <v>117</v>
      </c>
      <c r="B956">
        <v>21</v>
      </c>
      <c r="C956">
        <v>27</v>
      </c>
      <c r="E956">
        <v>111521</v>
      </c>
      <c r="F956">
        <v>96019</v>
      </c>
      <c r="G956">
        <v>97373</v>
      </c>
      <c r="H956">
        <v>3000</v>
      </c>
    </row>
    <row r="957" spans="1:10">
      <c r="A957" t="s">
        <v>117</v>
      </c>
      <c r="B957">
        <v>21</v>
      </c>
      <c r="C957">
        <v>33</v>
      </c>
      <c r="H957">
        <v>2000</v>
      </c>
    </row>
    <row r="958" spans="1:10">
      <c r="A958" t="s">
        <v>117</v>
      </c>
      <c r="B958">
        <v>24</v>
      </c>
      <c r="C958">
        <v>26</v>
      </c>
      <c r="I958">
        <v>18000</v>
      </c>
    </row>
    <row r="959" spans="1:10">
      <c r="A959" t="s">
        <v>371</v>
      </c>
      <c r="B959">
        <v>21</v>
      </c>
      <c r="C959">
        <v>21</v>
      </c>
      <c r="I959">
        <v>500</v>
      </c>
    </row>
    <row r="960" spans="1:10">
      <c r="A960" t="s">
        <v>371</v>
      </c>
      <c r="B960">
        <v>21</v>
      </c>
      <c r="C960">
        <v>23</v>
      </c>
      <c r="E960">
        <v>30294</v>
      </c>
      <c r="G960">
        <v>8790</v>
      </c>
    </row>
    <row r="961" spans="1:10">
      <c r="A961" t="s">
        <v>371</v>
      </c>
      <c r="B961">
        <v>21</v>
      </c>
      <c r="C961">
        <v>26</v>
      </c>
      <c r="H961">
        <v>43000</v>
      </c>
      <c r="I961">
        <v>143790</v>
      </c>
    </row>
    <row r="962" spans="1:10">
      <c r="A962" t="s">
        <v>371</v>
      </c>
      <c r="B962">
        <v>21</v>
      </c>
      <c r="C962">
        <v>27</v>
      </c>
      <c r="E962">
        <v>68399</v>
      </c>
      <c r="F962">
        <v>134983</v>
      </c>
      <c r="G962">
        <v>132744</v>
      </c>
      <c r="H962">
        <v>700</v>
      </c>
    </row>
    <row r="963" spans="1:10">
      <c r="A963" t="s">
        <v>371</v>
      </c>
      <c r="B963">
        <v>21</v>
      </c>
      <c r="C963">
        <v>31</v>
      </c>
      <c r="I963">
        <v>2000</v>
      </c>
    </row>
    <row r="964" spans="1:10">
      <c r="A964" t="s">
        <v>371</v>
      </c>
      <c r="B964">
        <v>21</v>
      </c>
      <c r="C964">
        <v>33</v>
      </c>
      <c r="H964">
        <v>2500</v>
      </c>
      <c r="J964">
        <v>1000</v>
      </c>
    </row>
    <row r="965" spans="1:10">
      <c r="A965" t="s">
        <v>371</v>
      </c>
      <c r="B965">
        <v>21</v>
      </c>
      <c r="C965">
        <v>34</v>
      </c>
      <c r="E965">
        <v>740</v>
      </c>
      <c r="G965">
        <v>293</v>
      </c>
    </row>
    <row r="966" spans="1:10">
      <c r="A966" t="s">
        <v>371</v>
      </c>
      <c r="B966">
        <v>24</v>
      </c>
      <c r="C966">
        <v>21</v>
      </c>
      <c r="E966">
        <v>43048</v>
      </c>
      <c r="G966">
        <v>11612</v>
      </c>
    </row>
    <row r="967" spans="1:10">
      <c r="A967" t="s">
        <v>625</v>
      </c>
      <c r="B967">
        <v>21</v>
      </c>
      <c r="C967">
        <v>26</v>
      </c>
      <c r="I967">
        <v>20000</v>
      </c>
    </row>
    <row r="968" spans="1:10">
      <c r="A968" t="s">
        <v>625</v>
      </c>
      <c r="B968">
        <v>21</v>
      </c>
      <c r="C968">
        <v>27</v>
      </c>
      <c r="E968">
        <v>215536</v>
      </c>
      <c r="F968">
        <v>133694</v>
      </c>
      <c r="G968">
        <v>174054</v>
      </c>
      <c r="H968">
        <v>5000</v>
      </c>
      <c r="I968">
        <v>9800</v>
      </c>
    </row>
    <row r="969" spans="1:10">
      <c r="A969" t="s">
        <v>625</v>
      </c>
      <c r="B969">
        <v>24</v>
      </c>
      <c r="C969">
        <v>26</v>
      </c>
      <c r="I969">
        <v>54000</v>
      </c>
    </row>
    <row r="970" spans="1:10">
      <c r="A970" t="s">
        <v>205</v>
      </c>
      <c r="B970">
        <v>21</v>
      </c>
      <c r="C970">
        <v>26</v>
      </c>
      <c r="I970">
        <v>134917</v>
      </c>
    </row>
    <row r="971" spans="1:10">
      <c r="A971" t="s">
        <v>205</v>
      </c>
      <c r="B971">
        <v>21</v>
      </c>
      <c r="C971">
        <v>27</v>
      </c>
      <c r="E971">
        <v>106228</v>
      </c>
      <c r="F971">
        <v>61341</v>
      </c>
      <c r="G971">
        <v>67720</v>
      </c>
      <c r="H971">
        <v>2000</v>
      </c>
    </row>
    <row r="972" spans="1:10">
      <c r="A972" t="s">
        <v>205</v>
      </c>
      <c r="B972">
        <v>24</v>
      </c>
      <c r="C972">
        <v>27</v>
      </c>
      <c r="F972">
        <v>16955</v>
      </c>
      <c r="G972">
        <v>9747</v>
      </c>
      <c r="H972">
        <v>2000</v>
      </c>
    </row>
    <row r="973" spans="1:10">
      <c r="A973" t="s">
        <v>127</v>
      </c>
      <c r="B973">
        <v>21</v>
      </c>
      <c r="C973">
        <v>21</v>
      </c>
      <c r="E973">
        <v>7209</v>
      </c>
      <c r="G973">
        <v>1203</v>
      </c>
    </row>
    <row r="974" spans="1:10">
      <c r="A974" t="s">
        <v>127</v>
      </c>
      <c r="B974">
        <v>21</v>
      </c>
      <c r="C974">
        <v>26</v>
      </c>
      <c r="E974">
        <v>39874</v>
      </c>
      <c r="G974">
        <v>14790</v>
      </c>
      <c r="H974">
        <v>3500</v>
      </c>
      <c r="I974">
        <v>80000</v>
      </c>
    </row>
    <row r="975" spans="1:10">
      <c r="A975" t="s">
        <v>127</v>
      </c>
      <c r="B975">
        <v>21</v>
      </c>
      <c r="C975">
        <v>27</v>
      </c>
      <c r="E975">
        <v>292226</v>
      </c>
      <c r="F975">
        <v>372755</v>
      </c>
      <c r="G975">
        <v>356395</v>
      </c>
      <c r="H975">
        <v>62500</v>
      </c>
      <c r="I975">
        <v>46000</v>
      </c>
    </row>
    <row r="976" spans="1:10">
      <c r="A976" t="s">
        <v>127</v>
      </c>
      <c r="B976">
        <v>21</v>
      </c>
      <c r="C976">
        <v>31</v>
      </c>
      <c r="I976">
        <v>5000</v>
      </c>
      <c r="J976">
        <v>5000</v>
      </c>
    </row>
    <row r="977" spans="1:10">
      <c r="A977" t="s">
        <v>127</v>
      </c>
      <c r="B977">
        <v>21</v>
      </c>
      <c r="C977">
        <v>32</v>
      </c>
      <c r="H977">
        <v>10000</v>
      </c>
    </row>
    <row r="978" spans="1:10">
      <c r="A978" t="s">
        <v>127</v>
      </c>
      <c r="B978">
        <v>21</v>
      </c>
      <c r="C978">
        <v>33</v>
      </c>
      <c r="H978">
        <v>12500</v>
      </c>
    </row>
    <row r="979" spans="1:10">
      <c r="A979" t="s">
        <v>127</v>
      </c>
      <c r="B979">
        <v>21</v>
      </c>
      <c r="C979">
        <v>34</v>
      </c>
      <c r="E979">
        <v>721</v>
      </c>
      <c r="G979">
        <v>283</v>
      </c>
    </row>
    <row r="980" spans="1:10">
      <c r="A980" t="s">
        <v>127</v>
      </c>
      <c r="B980">
        <v>24</v>
      </c>
      <c r="C980">
        <v>26</v>
      </c>
      <c r="E980">
        <v>39874</v>
      </c>
      <c r="G980">
        <v>14790</v>
      </c>
    </row>
    <row r="981" spans="1:10">
      <c r="A981" t="s">
        <v>127</v>
      </c>
      <c r="B981">
        <v>24</v>
      </c>
      <c r="C981">
        <v>27</v>
      </c>
      <c r="E981">
        <v>51717</v>
      </c>
      <c r="G981">
        <v>24902</v>
      </c>
    </row>
    <row r="982" spans="1:10">
      <c r="A982" t="s">
        <v>511</v>
      </c>
      <c r="B982">
        <v>21</v>
      </c>
      <c r="C982">
        <v>23</v>
      </c>
      <c r="E982">
        <v>14393</v>
      </c>
      <c r="F982">
        <v>6156</v>
      </c>
      <c r="G982">
        <v>6584</v>
      </c>
    </row>
    <row r="983" spans="1:10">
      <c r="A983" t="s">
        <v>511</v>
      </c>
      <c r="B983">
        <v>21</v>
      </c>
      <c r="C983">
        <v>27</v>
      </c>
      <c r="E983">
        <v>149794</v>
      </c>
      <c r="F983">
        <v>89512</v>
      </c>
      <c r="G983">
        <v>106265</v>
      </c>
      <c r="H983">
        <v>250</v>
      </c>
      <c r="I983">
        <v>500</v>
      </c>
      <c r="J983">
        <v>500</v>
      </c>
    </row>
    <row r="984" spans="1:10">
      <c r="A984" t="s">
        <v>511</v>
      </c>
      <c r="B984">
        <v>21</v>
      </c>
      <c r="C984">
        <v>29</v>
      </c>
      <c r="I984">
        <v>180000</v>
      </c>
    </row>
    <row r="985" spans="1:10">
      <c r="A985" t="s">
        <v>511</v>
      </c>
      <c r="B985">
        <v>21</v>
      </c>
      <c r="C985">
        <v>33</v>
      </c>
      <c r="H985">
        <v>1000</v>
      </c>
    </row>
    <row r="986" spans="1:10">
      <c r="A986" t="s">
        <v>511</v>
      </c>
      <c r="B986">
        <v>24</v>
      </c>
      <c r="C986">
        <v>29</v>
      </c>
      <c r="I986">
        <v>48000</v>
      </c>
    </row>
    <row r="987" spans="1:10">
      <c r="A987" t="s">
        <v>197</v>
      </c>
      <c r="B987">
        <v>21</v>
      </c>
      <c r="C987">
        <v>27</v>
      </c>
      <c r="E987">
        <v>170239</v>
      </c>
      <c r="F987">
        <v>142748</v>
      </c>
      <c r="G987">
        <v>140076</v>
      </c>
    </row>
    <row r="988" spans="1:10">
      <c r="A988" t="s">
        <v>197</v>
      </c>
      <c r="B988">
        <v>21</v>
      </c>
      <c r="C988">
        <v>29</v>
      </c>
      <c r="I988">
        <v>170000</v>
      </c>
    </row>
    <row r="989" spans="1:10">
      <c r="A989" t="s">
        <v>197</v>
      </c>
      <c r="B989">
        <v>21</v>
      </c>
      <c r="C989">
        <v>34</v>
      </c>
      <c r="E989">
        <v>3783</v>
      </c>
      <c r="G989">
        <v>587</v>
      </c>
    </row>
    <row r="990" spans="1:10">
      <c r="A990" t="s">
        <v>197</v>
      </c>
      <c r="B990">
        <v>24</v>
      </c>
      <c r="C990">
        <v>29</v>
      </c>
      <c r="I990">
        <v>50000</v>
      </c>
    </row>
    <row r="991" spans="1:10">
      <c r="A991" t="s">
        <v>491</v>
      </c>
      <c r="B991">
        <v>21</v>
      </c>
      <c r="C991">
        <v>21</v>
      </c>
      <c r="E991">
        <v>168807</v>
      </c>
      <c r="F991">
        <v>152981</v>
      </c>
      <c r="G991">
        <v>113447</v>
      </c>
      <c r="H991">
        <v>2400</v>
      </c>
      <c r="I991">
        <v>7900</v>
      </c>
      <c r="J991">
        <v>830</v>
      </c>
    </row>
    <row r="992" spans="1:10">
      <c r="A992" t="s">
        <v>491</v>
      </c>
      <c r="B992">
        <v>21</v>
      </c>
      <c r="C992">
        <v>26</v>
      </c>
      <c r="E992">
        <v>1187488</v>
      </c>
      <c r="F992">
        <v>108269</v>
      </c>
      <c r="G992">
        <v>377307</v>
      </c>
      <c r="H992">
        <v>3000</v>
      </c>
      <c r="I992">
        <v>442120</v>
      </c>
      <c r="J992">
        <v>500</v>
      </c>
    </row>
    <row r="993" spans="1:10">
      <c r="A993" t="s">
        <v>491</v>
      </c>
      <c r="B993">
        <v>21</v>
      </c>
      <c r="C993">
        <v>27</v>
      </c>
      <c r="D993">
        <v>21400</v>
      </c>
      <c r="E993">
        <v>3644002</v>
      </c>
      <c r="F993">
        <v>1745282</v>
      </c>
      <c r="G993">
        <v>2024205</v>
      </c>
      <c r="H993">
        <v>35000</v>
      </c>
      <c r="I993">
        <v>310998</v>
      </c>
      <c r="J993">
        <v>500</v>
      </c>
    </row>
    <row r="994" spans="1:10">
      <c r="A994" t="s">
        <v>491</v>
      </c>
      <c r="B994">
        <v>21</v>
      </c>
      <c r="C994">
        <v>31</v>
      </c>
      <c r="E994">
        <v>5000</v>
      </c>
      <c r="F994">
        <v>5000</v>
      </c>
      <c r="G994">
        <v>1673</v>
      </c>
      <c r="H994">
        <v>2448</v>
      </c>
    </row>
    <row r="995" spans="1:10">
      <c r="A995" t="s">
        <v>491</v>
      </c>
      <c r="B995">
        <v>21</v>
      </c>
      <c r="C995">
        <v>34</v>
      </c>
      <c r="E995">
        <v>187500</v>
      </c>
      <c r="G995">
        <v>23711</v>
      </c>
    </row>
    <row r="996" spans="1:10">
      <c r="A996" t="s">
        <v>491</v>
      </c>
      <c r="B996">
        <v>24</v>
      </c>
      <c r="C996">
        <v>26</v>
      </c>
      <c r="E996">
        <v>239818</v>
      </c>
      <c r="G996">
        <v>63791</v>
      </c>
    </row>
    <row r="997" spans="1:10">
      <c r="A997" t="s">
        <v>491</v>
      </c>
      <c r="B997">
        <v>24</v>
      </c>
      <c r="C997">
        <v>27</v>
      </c>
      <c r="E997">
        <v>298044</v>
      </c>
      <c r="F997">
        <v>189825</v>
      </c>
      <c r="G997">
        <v>172454</v>
      </c>
      <c r="H997">
        <v>1518</v>
      </c>
    </row>
    <row r="998" spans="1:10">
      <c r="A998" t="s">
        <v>291</v>
      </c>
      <c r="B998">
        <v>21</v>
      </c>
      <c r="C998">
        <v>23</v>
      </c>
      <c r="I998">
        <v>2500</v>
      </c>
      <c r="J998">
        <v>500</v>
      </c>
    </row>
    <row r="999" spans="1:10">
      <c r="A999" t="s">
        <v>291</v>
      </c>
      <c r="B999">
        <v>21</v>
      </c>
      <c r="C999">
        <v>26</v>
      </c>
      <c r="I999">
        <v>5200</v>
      </c>
    </row>
    <row r="1000" spans="1:10">
      <c r="A1000" t="s">
        <v>291</v>
      </c>
      <c r="B1000">
        <v>21</v>
      </c>
      <c r="C1000">
        <v>27</v>
      </c>
      <c r="E1000">
        <v>195442</v>
      </c>
      <c r="F1000">
        <v>130717</v>
      </c>
      <c r="G1000">
        <v>155736</v>
      </c>
      <c r="H1000">
        <v>1001</v>
      </c>
      <c r="I1000">
        <v>1389768</v>
      </c>
    </row>
    <row r="1001" spans="1:10">
      <c r="A1001" t="s">
        <v>291</v>
      </c>
      <c r="B1001">
        <v>21</v>
      </c>
      <c r="C1001">
        <v>29</v>
      </c>
      <c r="I1001">
        <v>85000</v>
      </c>
    </row>
    <row r="1002" spans="1:10">
      <c r="A1002" t="s">
        <v>291</v>
      </c>
      <c r="B1002">
        <v>21</v>
      </c>
      <c r="C1002">
        <v>31</v>
      </c>
      <c r="E1002">
        <v>1685</v>
      </c>
      <c r="G1002">
        <v>299</v>
      </c>
      <c r="I1002">
        <v>500</v>
      </c>
    </row>
    <row r="1003" spans="1:10">
      <c r="A1003" t="s">
        <v>291</v>
      </c>
      <c r="B1003">
        <v>21</v>
      </c>
      <c r="C1003">
        <v>32</v>
      </c>
      <c r="H1003">
        <v>200</v>
      </c>
    </row>
    <row r="1004" spans="1:10">
      <c r="A1004" t="s">
        <v>291</v>
      </c>
      <c r="B1004">
        <v>21</v>
      </c>
      <c r="C1004">
        <v>33</v>
      </c>
      <c r="H1004">
        <v>1500</v>
      </c>
    </row>
    <row r="1005" spans="1:10">
      <c r="A1005" t="s">
        <v>291</v>
      </c>
      <c r="B1005">
        <v>21</v>
      </c>
      <c r="C1005">
        <v>34</v>
      </c>
      <c r="E1005">
        <v>1264</v>
      </c>
      <c r="G1005">
        <v>224</v>
      </c>
    </row>
    <row r="1006" spans="1:10">
      <c r="A1006" t="s">
        <v>291</v>
      </c>
      <c r="B1006">
        <v>24</v>
      </c>
      <c r="C1006">
        <v>26</v>
      </c>
      <c r="I1006">
        <v>137039</v>
      </c>
    </row>
    <row r="1007" spans="1:10">
      <c r="A1007" t="s">
        <v>413</v>
      </c>
      <c r="B1007">
        <v>21</v>
      </c>
      <c r="C1007">
        <v>21</v>
      </c>
      <c r="E1007">
        <v>45860</v>
      </c>
      <c r="F1007">
        <v>48495</v>
      </c>
      <c r="G1007">
        <v>35979</v>
      </c>
      <c r="H1007">
        <v>1000</v>
      </c>
      <c r="I1007">
        <v>1600</v>
      </c>
    </row>
    <row r="1008" spans="1:10">
      <c r="A1008" t="s">
        <v>413</v>
      </c>
      <c r="B1008">
        <v>21</v>
      </c>
      <c r="C1008">
        <v>25</v>
      </c>
      <c r="F1008">
        <v>26822</v>
      </c>
      <c r="G1008">
        <v>20270</v>
      </c>
      <c r="H1008">
        <v>400</v>
      </c>
    </row>
    <row r="1009" spans="1:10">
      <c r="A1009" t="s">
        <v>413</v>
      </c>
      <c r="B1009">
        <v>21</v>
      </c>
      <c r="C1009">
        <v>26</v>
      </c>
      <c r="H1009">
        <v>2250</v>
      </c>
      <c r="I1009">
        <v>770000</v>
      </c>
    </row>
    <row r="1010" spans="1:10">
      <c r="A1010" t="s">
        <v>413</v>
      </c>
      <c r="B1010">
        <v>21</v>
      </c>
      <c r="C1010">
        <v>27</v>
      </c>
      <c r="E1010">
        <v>600903</v>
      </c>
      <c r="F1010">
        <v>381216</v>
      </c>
      <c r="G1010">
        <v>488938</v>
      </c>
      <c r="H1010">
        <v>4275</v>
      </c>
    </row>
    <row r="1011" spans="1:10">
      <c r="A1011" t="s">
        <v>413</v>
      </c>
      <c r="B1011">
        <v>21</v>
      </c>
      <c r="C1011">
        <v>31</v>
      </c>
      <c r="I1011">
        <v>2500</v>
      </c>
    </row>
    <row r="1012" spans="1:10">
      <c r="A1012" t="s">
        <v>413</v>
      </c>
      <c r="B1012">
        <v>21</v>
      </c>
      <c r="C1012">
        <v>33</v>
      </c>
      <c r="H1012">
        <v>3200</v>
      </c>
    </row>
    <row r="1013" spans="1:10">
      <c r="A1013" t="s">
        <v>413</v>
      </c>
      <c r="B1013">
        <v>24</v>
      </c>
      <c r="C1013">
        <v>27</v>
      </c>
      <c r="E1013">
        <v>24194</v>
      </c>
      <c r="F1013">
        <v>57183</v>
      </c>
      <c r="G1013">
        <v>47043</v>
      </c>
    </row>
    <row r="1014" spans="1:10">
      <c r="A1014" t="s">
        <v>351</v>
      </c>
      <c r="B1014">
        <v>21</v>
      </c>
      <c r="C1014">
        <v>21</v>
      </c>
      <c r="E1014">
        <v>107542</v>
      </c>
      <c r="F1014">
        <v>53948</v>
      </c>
      <c r="G1014">
        <v>51337</v>
      </c>
    </row>
    <row r="1015" spans="1:10">
      <c r="A1015" t="s">
        <v>351</v>
      </c>
      <c r="B1015">
        <v>21</v>
      </c>
      <c r="C1015">
        <v>23</v>
      </c>
      <c r="E1015">
        <v>176613</v>
      </c>
      <c r="F1015">
        <v>72980</v>
      </c>
      <c r="G1015">
        <v>81549</v>
      </c>
    </row>
    <row r="1016" spans="1:10">
      <c r="A1016" t="s">
        <v>351</v>
      </c>
      <c r="B1016">
        <v>21</v>
      </c>
      <c r="C1016">
        <v>26</v>
      </c>
      <c r="E1016">
        <v>108050</v>
      </c>
      <c r="G1016">
        <v>34720</v>
      </c>
      <c r="H1016">
        <v>1400</v>
      </c>
      <c r="I1016">
        <v>1001000</v>
      </c>
    </row>
    <row r="1017" spans="1:10">
      <c r="A1017" t="s">
        <v>351</v>
      </c>
      <c r="B1017">
        <v>21</v>
      </c>
      <c r="C1017">
        <v>27</v>
      </c>
      <c r="E1017">
        <v>1281232</v>
      </c>
      <c r="F1017">
        <v>801399</v>
      </c>
      <c r="G1017">
        <v>923221</v>
      </c>
      <c r="H1017">
        <v>14251</v>
      </c>
      <c r="I1017">
        <v>2200</v>
      </c>
    </row>
    <row r="1018" spans="1:10">
      <c r="A1018" t="s">
        <v>351</v>
      </c>
      <c r="B1018">
        <v>21</v>
      </c>
      <c r="C1018">
        <v>29</v>
      </c>
      <c r="I1018">
        <v>200000</v>
      </c>
    </row>
    <row r="1019" spans="1:10">
      <c r="A1019" t="s">
        <v>351</v>
      </c>
      <c r="B1019">
        <v>21</v>
      </c>
      <c r="C1019">
        <v>31</v>
      </c>
      <c r="I1019">
        <v>5000</v>
      </c>
      <c r="J1019">
        <v>1200</v>
      </c>
    </row>
    <row r="1020" spans="1:10">
      <c r="A1020" t="s">
        <v>351</v>
      </c>
      <c r="B1020">
        <v>21</v>
      </c>
      <c r="C1020">
        <v>34</v>
      </c>
      <c r="E1020">
        <v>24219</v>
      </c>
      <c r="G1020">
        <v>7031</v>
      </c>
    </row>
    <row r="1021" spans="1:10">
      <c r="A1021" t="s">
        <v>351</v>
      </c>
      <c r="B1021">
        <v>24</v>
      </c>
      <c r="C1021">
        <v>26</v>
      </c>
      <c r="E1021">
        <v>122343</v>
      </c>
      <c r="G1021">
        <v>34648</v>
      </c>
    </row>
    <row r="1022" spans="1:10">
      <c r="A1022" t="s">
        <v>351</v>
      </c>
      <c r="B1022">
        <v>24</v>
      </c>
      <c r="C1022">
        <v>27</v>
      </c>
      <c r="E1022">
        <v>202414</v>
      </c>
      <c r="G1022">
        <v>57314</v>
      </c>
    </row>
    <row r="1023" spans="1:10">
      <c r="A1023" t="s">
        <v>213</v>
      </c>
      <c r="B1023">
        <v>21</v>
      </c>
      <c r="C1023">
        <v>21</v>
      </c>
      <c r="H1023">
        <v>500</v>
      </c>
      <c r="I1023">
        <v>125000</v>
      </c>
    </row>
    <row r="1024" spans="1:10">
      <c r="A1024" t="s">
        <v>213</v>
      </c>
      <c r="B1024">
        <v>21</v>
      </c>
      <c r="C1024">
        <v>23</v>
      </c>
      <c r="F1024">
        <v>5413</v>
      </c>
      <c r="G1024">
        <v>2594</v>
      </c>
    </row>
    <row r="1025" spans="1:10">
      <c r="A1025" t="s">
        <v>213</v>
      </c>
      <c r="B1025">
        <v>21</v>
      </c>
      <c r="C1025">
        <v>26</v>
      </c>
      <c r="H1025">
        <v>500</v>
      </c>
    </row>
    <row r="1026" spans="1:10">
      <c r="A1026" t="s">
        <v>213</v>
      </c>
      <c r="B1026">
        <v>21</v>
      </c>
      <c r="C1026">
        <v>27</v>
      </c>
      <c r="E1026">
        <v>212283</v>
      </c>
      <c r="F1026">
        <v>246482</v>
      </c>
      <c r="G1026">
        <v>233168</v>
      </c>
      <c r="H1026">
        <v>6750</v>
      </c>
      <c r="I1026">
        <v>125320</v>
      </c>
    </row>
    <row r="1027" spans="1:10">
      <c r="A1027" t="s">
        <v>213</v>
      </c>
      <c r="B1027">
        <v>21</v>
      </c>
      <c r="C1027">
        <v>32</v>
      </c>
      <c r="H1027">
        <v>500</v>
      </c>
    </row>
    <row r="1028" spans="1:10">
      <c r="A1028" t="s">
        <v>213</v>
      </c>
      <c r="B1028">
        <v>24</v>
      </c>
      <c r="C1028">
        <v>21</v>
      </c>
      <c r="I1028">
        <v>75559</v>
      </c>
    </row>
    <row r="1029" spans="1:10">
      <c r="A1029" t="s">
        <v>213</v>
      </c>
      <c r="B1029">
        <v>24</v>
      </c>
      <c r="C1029">
        <v>27</v>
      </c>
      <c r="F1029">
        <v>3621</v>
      </c>
      <c r="G1029">
        <v>2270</v>
      </c>
    </row>
    <row r="1030" spans="1:10">
      <c r="A1030" t="s">
        <v>337</v>
      </c>
      <c r="B1030">
        <v>21</v>
      </c>
      <c r="C1030">
        <v>21</v>
      </c>
      <c r="E1030">
        <v>26569</v>
      </c>
      <c r="G1030">
        <v>6564</v>
      </c>
    </row>
    <row r="1031" spans="1:10">
      <c r="A1031" t="s">
        <v>337</v>
      </c>
      <c r="B1031">
        <v>21</v>
      </c>
      <c r="C1031">
        <v>26</v>
      </c>
      <c r="I1031">
        <v>299319</v>
      </c>
    </row>
    <row r="1032" spans="1:10">
      <c r="A1032" t="s">
        <v>337</v>
      </c>
      <c r="B1032">
        <v>21</v>
      </c>
      <c r="C1032">
        <v>27</v>
      </c>
      <c r="E1032">
        <v>60854</v>
      </c>
      <c r="F1032">
        <v>159908</v>
      </c>
      <c r="G1032">
        <v>130894</v>
      </c>
      <c r="H1032">
        <v>1500</v>
      </c>
      <c r="J1032">
        <v>1000</v>
      </c>
    </row>
    <row r="1033" spans="1:10">
      <c r="A1033" t="s">
        <v>337</v>
      </c>
      <c r="B1033">
        <v>21</v>
      </c>
      <c r="C1033">
        <v>31</v>
      </c>
      <c r="I1033">
        <v>2000</v>
      </c>
    </row>
    <row r="1034" spans="1:10">
      <c r="A1034" t="s">
        <v>337</v>
      </c>
      <c r="B1034">
        <v>21</v>
      </c>
      <c r="C1034">
        <v>32</v>
      </c>
      <c r="H1034">
        <v>2889</v>
      </c>
    </row>
    <row r="1035" spans="1:10">
      <c r="A1035" t="s">
        <v>337</v>
      </c>
      <c r="B1035">
        <v>21</v>
      </c>
      <c r="C1035">
        <v>33</v>
      </c>
      <c r="H1035">
        <v>12388</v>
      </c>
    </row>
    <row r="1036" spans="1:10">
      <c r="A1036" t="s">
        <v>337</v>
      </c>
      <c r="B1036">
        <v>21</v>
      </c>
      <c r="C1036">
        <v>34</v>
      </c>
      <c r="E1036">
        <v>778</v>
      </c>
      <c r="G1036">
        <v>157</v>
      </c>
    </row>
    <row r="1037" spans="1:10">
      <c r="A1037" t="s">
        <v>337</v>
      </c>
      <c r="B1037">
        <v>24</v>
      </c>
      <c r="C1037">
        <v>26</v>
      </c>
      <c r="I1037">
        <v>18140</v>
      </c>
    </row>
    <row r="1038" spans="1:10">
      <c r="A1038" t="s">
        <v>337</v>
      </c>
      <c r="B1038">
        <v>24</v>
      </c>
      <c r="C1038">
        <v>27</v>
      </c>
      <c r="F1038">
        <v>20940</v>
      </c>
      <c r="G1038">
        <v>14381</v>
      </c>
    </row>
    <row r="1039" spans="1:10">
      <c r="A1039" t="s">
        <v>337</v>
      </c>
      <c r="B1039">
        <v>24</v>
      </c>
      <c r="C1039">
        <v>31</v>
      </c>
      <c r="I1039">
        <v>4693</v>
      </c>
    </row>
    <row r="1040" spans="1:10">
      <c r="A1040" t="s">
        <v>337</v>
      </c>
      <c r="B1040">
        <v>29</v>
      </c>
      <c r="C1040">
        <v>26</v>
      </c>
      <c r="I1040">
        <v>13150</v>
      </c>
    </row>
    <row r="1041" spans="1:10">
      <c r="A1041" t="s">
        <v>337</v>
      </c>
      <c r="B1041">
        <v>29</v>
      </c>
      <c r="C1041">
        <v>29</v>
      </c>
      <c r="I1041">
        <v>6200</v>
      </c>
    </row>
    <row r="1042" spans="1:10">
      <c r="A1042" t="s">
        <v>377</v>
      </c>
      <c r="B1042">
        <v>21</v>
      </c>
      <c r="C1042">
        <v>21</v>
      </c>
      <c r="E1042">
        <v>141870</v>
      </c>
      <c r="F1042">
        <v>125267</v>
      </c>
      <c r="G1042">
        <v>96114</v>
      </c>
    </row>
    <row r="1043" spans="1:10">
      <c r="A1043" t="s">
        <v>377</v>
      </c>
      <c r="B1043">
        <v>21</v>
      </c>
      <c r="C1043">
        <v>24</v>
      </c>
      <c r="E1043">
        <v>109225</v>
      </c>
      <c r="G1043">
        <v>33481</v>
      </c>
    </row>
    <row r="1044" spans="1:10">
      <c r="A1044" t="s">
        <v>377</v>
      </c>
      <c r="B1044">
        <v>21</v>
      </c>
      <c r="C1044">
        <v>26</v>
      </c>
      <c r="E1044">
        <v>356631</v>
      </c>
      <c r="G1044">
        <v>121357</v>
      </c>
    </row>
    <row r="1045" spans="1:10">
      <c r="A1045" t="s">
        <v>377</v>
      </c>
      <c r="B1045">
        <v>21</v>
      </c>
      <c r="C1045">
        <v>27</v>
      </c>
      <c r="E1045">
        <v>3532561</v>
      </c>
      <c r="F1045">
        <v>1185986</v>
      </c>
      <c r="G1045">
        <v>1955929</v>
      </c>
      <c r="H1045">
        <v>918621</v>
      </c>
      <c r="I1045">
        <v>4646721</v>
      </c>
    </row>
    <row r="1046" spans="1:10">
      <c r="A1046" t="s">
        <v>377</v>
      </c>
      <c r="B1046">
        <v>21</v>
      </c>
      <c r="C1046">
        <v>31</v>
      </c>
      <c r="E1046">
        <v>32401</v>
      </c>
      <c r="G1046">
        <v>5232</v>
      </c>
    </row>
    <row r="1047" spans="1:10">
      <c r="A1047" t="s">
        <v>377</v>
      </c>
      <c r="B1047">
        <v>21</v>
      </c>
      <c r="C1047">
        <v>34</v>
      </c>
      <c r="E1047">
        <v>26062</v>
      </c>
      <c r="G1047">
        <v>4286</v>
      </c>
    </row>
    <row r="1048" spans="1:10">
      <c r="A1048" t="s">
        <v>377</v>
      </c>
      <c r="B1048">
        <v>24</v>
      </c>
      <c r="C1048">
        <v>27</v>
      </c>
      <c r="E1048">
        <v>693205</v>
      </c>
      <c r="F1048">
        <v>13468</v>
      </c>
      <c r="G1048">
        <v>265526</v>
      </c>
    </row>
    <row r="1049" spans="1:10">
      <c r="A1049" t="s">
        <v>373</v>
      </c>
      <c r="B1049">
        <v>21</v>
      </c>
      <c r="C1049">
        <v>21</v>
      </c>
      <c r="E1049">
        <v>112500</v>
      </c>
      <c r="F1049">
        <v>35626</v>
      </c>
      <c r="G1049">
        <v>54588</v>
      </c>
      <c r="H1049">
        <v>3000</v>
      </c>
    </row>
    <row r="1050" spans="1:10">
      <c r="A1050" t="s">
        <v>373</v>
      </c>
      <c r="B1050">
        <v>21</v>
      </c>
      <c r="C1050">
        <v>26</v>
      </c>
      <c r="E1050">
        <v>114788</v>
      </c>
      <c r="G1050">
        <v>35101</v>
      </c>
      <c r="H1050">
        <v>8000</v>
      </c>
      <c r="I1050">
        <v>500</v>
      </c>
    </row>
    <row r="1051" spans="1:10">
      <c r="A1051" t="s">
        <v>373</v>
      </c>
      <c r="B1051">
        <v>21</v>
      </c>
      <c r="C1051">
        <v>27</v>
      </c>
      <c r="E1051">
        <v>608056</v>
      </c>
      <c r="F1051">
        <v>504201</v>
      </c>
      <c r="G1051">
        <v>523268</v>
      </c>
      <c r="H1051">
        <v>13200</v>
      </c>
      <c r="I1051">
        <v>265042</v>
      </c>
    </row>
    <row r="1052" spans="1:10">
      <c r="A1052" t="s">
        <v>373</v>
      </c>
      <c r="B1052">
        <v>21</v>
      </c>
      <c r="C1052">
        <v>31</v>
      </c>
      <c r="E1052">
        <v>941</v>
      </c>
      <c r="G1052">
        <v>170</v>
      </c>
      <c r="I1052">
        <v>1250</v>
      </c>
      <c r="J1052">
        <v>3000</v>
      </c>
    </row>
    <row r="1053" spans="1:10">
      <c r="A1053" t="s">
        <v>373</v>
      </c>
      <c r="B1053">
        <v>21</v>
      </c>
      <c r="C1053">
        <v>32</v>
      </c>
      <c r="H1053">
        <v>1000</v>
      </c>
    </row>
    <row r="1054" spans="1:10">
      <c r="A1054" t="s">
        <v>373</v>
      </c>
      <c r="B1054">
        <v>21</v>
      </c>
      <c r="C1054">
        <v>33</v>
      </c>
      <c r="H1054">
        <v>15000</v>
      </c>
    </row>
    <row r="1055" spans="1:10">
      <c r="A1055" t="s">
        <v>373</v>
      </c>
      <c r="B1055">
        <v>21</v>
      </c>
      <c r="C1055">
        <v>34</v>
      </c>
      <c r="E1055">
        <v>5303</v>
      </c>
      <c r="G1055">
        <v>1019</v>
      </c>
      <c r="I1055">
        <v>8600</v>
      </c>
      <c r="J1055">
        <v>5000</v>
      </c>
    </row>
    <row r="1056" spans="1:10">
      <c r="A1056" t="s">
        <v>373</v>
      </c>
      <c r="B1056">
        <v>24</v>
      </c>
      <c r="C1056">
        <v>27</v>
      </c>
      <c r="F1056">
        <v>3871</v>
      </c>
      <c r="G1056">
        <v>2179</v>
      </c>
      <c r="I1056">
        <v>244068</v>
      </c>
    </row>
    <row r="1057" spans="1:10">
      <c r="A1057" t="s">
        <v>48</v>
      </c>
      <c r="B1057">
        <v>21</v>
      </c>
      <c r="C1057">
        <v>21</v>
      </c>
      <c r="E1057">
        <v>61929</v>
      </c>
      <c r="F1057">
        <v>22202</v>
      </c>
      <c r="G1057">
        <v>29280</v>
      </c>
      <c r="H1057">
        <v>151025</v>
      </c>
      <c r="I1057">
        <v>1500</v>
      </c>
    </row>
    <row r="1058" spans="1:10">
      <c r="A1058" t="s">
        <v>48</v>
      </c>
      <c r="B1058">
        <v>21</v>
      </c>
      <c r="C1058">
        <v>26</v>
      </c>
      <c r="E1058">
        <v>203856</v>
      </c>
      <c r="F1058">
        <v>37488</v>
      </c>
      <c r="G1058">
        <v>86047</v>
      </c>
      <c r="J1058">
        <v>3500</v>
      </c>
    </row>
    <row r="1059" spans="1:10">
      <c r="A1059" t="s">
        <v>48</v>
      </c>
      <c r="B1059">
        <v>21</v>
      </c>
      <c r="C1059">
        <v>27</v>
      </c>
      <c r="D1059">
        <v>10000</v>
      </c>
      <c r="E1059">
        <v>347021</v>
      </c>
      <c r="F1059">
        <v>362589</v>
      </c>
      <c r="G1059">
        <v>357639</v>
      </c>
      <c r="H1059">
        <v>13000</v>
      </c>
      <c r="I1059">
        <v>16297</v>
      </c>
    </row>
    <row r="1060" spans="1:10">
      <c r="A1060" t="s">
        <v>48</v>
      </c>
      <c r="B1060">
        <v>21</v>
      </c>
      <c r="C1060">
        <v>31</v>
      </c>
      <c r="I1060">
        <v>16500</v>
      </c>
      <c r="J1060">
        <v>2000</v>
      </c>
    </row>
    <row r="1061" spans="1:10">
      <c r="A1061" t="s">
        <v>48</v>
      </c>
      <c r="B1061">
        <v>24</v>
      </c>
      <c r="C1061">
        <v>27</v>
      </c>
      <c r="F1061">
        <v>115032</v>
      </c>
      <c r="G1061">
        <v>103618</v>
      </c>
      <c r="H1061">
        <v>78084</v>
      </c>
      <c r="I1061">
        <v>73666</v>
      </c>
    </row>
    <row r="1062" spans="1:10">
      <c r="A1062" t="s">
        <v>403</v>
      </c>
      <c r="B1062">
        <v>21</v>
      </c>
      <c r="C1062">
        <v>21</v>
      </c>
      <c r="E1062">
        <v>9000</v>
      </c>
      <c r="G1062">
        <v>1923</v>
      </c>
    </row>
    <row r="1063" spans="1:10">
      <c r="A1063" t="s">
        <v>403</v>
      </c>
      <c r="B1063">
        <v>21</v>
      </c>
      <c r="C1063">
        <v>26</v>
      </c>
      <c r="E1063">
        <v>89365</v>
      </c>
      <c r="G1063">
        <v>28244</v>
      </c>
      <c r="H1063">
        <v>700</v>
      </c>
      <c r="I1063">
        <v>21300</v>
      </c>
    </row>
    <row r="1064" spans="1:10">
      <c r="A1064" t="s">
        <v>403</v>
      </c>
      <c r="B1064">
        <v>21</v>
      </c>
      <c r="C1064">
        <v>27</v>
      </c>
      <c r="E1064">
        <v>95589</v>
      </c>
      <c r="F1064">
        <v>164379</v>
      </c>
      <c r="G1064">
        <v>141142</v>
      </c>
      <c r="H1064">
        <v>6800</v>
      </c>
      <c r="I1064">
        <v>4000</v>
      </c>
      <c r="J1064">
        <v>700</v>
      </c>
    </row>
    <row r="1065" spans="1:10">
      <c r="A1065" t="s">
        <v>403</v>
      </c>
      <c r="B1065">
        <v>21</v>
      </c>
      <c r="C1065">
        <v>31</v>
      </c>
      <c r="F1065">
        <v>1880</v>
      </c>
      <c r="G1065">
        <v>302</v>
      </c>
      <c r="I1065">
        <v>7700</v>
      </c>
    </row>
    <row r="1066" spans="1:10">
      <c r="A1066" t="s">
        <v>403</v>
      </c>
      <c r="B1066">
        <v>21</v>
      </c>
      <c r="C1066">
        <v>32</v>
      </c>
      <c r="I1066">
        <v>3500</v>
      </c>
    </row>
    <row r="1067" spans="1:10">
      <c r="A1067" t="s">
        <v>403</v>
      </c>
      <c r="B1067">
        <v>24</v>
      </c>
      <c r="C1067">
        <v>26</v>
      </c>
      <c r="I1067">
        <v>50255</v>
      </c>
    </row>
    <row r="1068" spans="1:10">
      <c r="A1068" t="s">
        <v>307</v>
      </c>
      <c r="B1068">
        <v>21</v>
      </c>
      <c r="C1068">
        <v>23</v>
      </c>
      <c r="F1068">
        <v>4054</v>
      </c>
      <c r="G1068">
        <v>2932</v>
      </c>
    </row>
    <row r="1069" spans="1:10">
      <c r="A1069" t="s">
        <v>307</v>
      </c>
      <c r="B1069">
        <v>21</v>
      </c>
      <c r="C1069">
        <v>27</v>
      </c>
      <c r="E1069">
        <v>29559</v>
      </c>
      <c r="F1069">
        <v>246543</v>
      </c>
      <c r="G1069">
        <v>161595</v>
      </c>
      <c r="I1069">
        <v>1332373</v>
      </c>
    </row>
    <row r="1070" spans="1:10">
      <c r="A1070" t="s">
        <v>563</v>
      </c>
      <c r="B1070">
        <v>21</v>
      </c>
      <c r="C1070">
        <v>21</v>
      </c>
      <c r="E1070">
        <v>87564</v>
      </c>
      <c r="F1070">
        <v>44167</v>
      </c>
      <c r="G1070">
        <v>39885</v>
      </c>
      <c r="H1070">
        <v>1000</v>
      </c>
      <c r="I1070">
        <v>12400</v>
      </c>
      <c r="J1070">
        <v>1000</v>
      </c>
    </row>
    <row r="1071" spans="1:10">
      <c r="A1071" t="s">
        <v>563</v>
      </c>
      <c r="B1071">
        <v>21</v>
      </c>
      <c r="C1071">
        <v>26</v>
      </c>
      <c r="F1071">
        <v>87061</v>
      </c>
      <c r="G1071">
        <v>47249</v>
      </c>
      <c r="H1071">
        <v>400</v>
      </c>
      <c r="I1071">
        <v>200</v>
      </c>
    </row>
    <row r="1072" spans="1:10">
      <c r="A1072" t="s">
        <v>563</v>
      </c>
      <c r="B1072">
        <v>21</v>
      </c>
      <c r="C1072">
        <v>27</v>
      </c>
      <c r="E1072">
        <v>305951</v>
      </c>
      <c r="F1072">
        <v>349373</v>
      </c>
      <c r="G1072">
        <v>333417</v>
      </c>
      <c r="H1072">
        <v>240547</v>
      </c>
      <c r="I1072">
        <v>268700</v>
      </c>
      <c r="J1072">
        <v>2000</v>
      </c>
    </row>
    <row r="1073" spans="1:10">
      <c r="A1073" t="s">
        <v>563</v>
      </c>
      <c r="B1073">
        <v>21</v>
      </c>
      <c r="C1073">
        <v>31</v>
      </c>
      <c r="I1073">
        <v>19500</v>
      </c>
      <c r="J1073">
        <v>4000</v>
      </c>
    </row>
    <row r="1074" spans="1:10">
      <c r="A1074" t="s">
        <v>563</v>
      </c>
      <c r="B1074">
        <v>21</v>
      </c>
      <c r="C1074">
        <v>32</v>
      </c>
      <c r="H1074">
        <v>12000</v>
      </c>
      <c r="I1074">
        <v>3000</v>
      </c>
    </row>
    <row r="1075" spans="1:10">
      <c r="A1075" t="s">
        <v>563</v>
      </c>
      <c r="B1075">
        <v>21</v>
      </c>
      <c r="C1075">
        <v>33</v>
      </c>
      <c r="H1075">
        <v>200</v>
      </c>
    </row>
    <row r="1076" spans="1:10">
      <c r="A1076" t="s">
        <v>563</v>
      </c>
      <c r="B1076">
        <v>21</v>
      </c>
      <c r="C1076">
        <v>34</v>
      </c>
      <c r="E1076">
        <v>4825</v>
      </c>
      <c r="G1076">
        <v>790</v>
      </c>
    </row>
    <row r="1077" spans="1:10">
      <c r="A1077" t="s">
        <v>563</v>
      </c>
      <c r="B1077">
        <v>24</v>
      </c>
      <c r="C1077">
        <v>27</v>
      </c>
      <c r="E1077">
        <v>173739</v>
      </c>
      <c r="F1077">
        <v>6373</v>
      </c>
      <c r="G1077">
        <v>72127</v>
      </c>
      <c r="H1077">
        <v>869</v>
      </c>
    </row>
    <row r="1078" spans="1:10">
      <c r="A1078" t="s">
        <v>563</v>
      </c>
      <c r="B1078">
        <v>24</v>
      </c>
      <c r="C1078">
        <v>31</v>
      </c>
      <c r="E1078">
        <v>2750</v>
      </c>
      <c r="G1078">
        <v>450</v>
      </c>
    </row>
    <row r="1079" spans="1:10">
      <c r="A1079" t="s">
        <v>391</v>
      </c>
      <c r="B1079">
        <v>21</v>
      </c>
      <c r="C1079">
        <v>21</v>
      </c>
      <c r="E1079">
        <v>74694</v>
      </c>
      <c r="F1079">
        <v>13649</v>
      </c>
      <c r="G1079">
        <v>33244</v>
      </c>
      <c r="H1079">
        <v>600</v>
      </c>
      <c r="I1079">
        <v>2500</v>
      </c>
      <c r="J1079">
        <v>1500</v>
      </c>
    </row>
    <row r="1080" spans="1:10">
      <c r="A1080" t="s">
        <v>391</v>
      </c>
      <c r="B1080">
        <v>21</v>
      </c>
      <c r="C1080">
        <v>26</v>
      </c>
      <c r="E1080">
        <v>66545</v>
      </c>
      <c r="F1080">
        <v>22082</v>
      </c>
      <c r="G1080">
        <v>36985</v>
      </c>
      <c r="H1080">
        <v>2000</v>
      </c>
      <c r="I1080">
        <v>6000</v>
      </c>
    </row>
    <row r="1081" spans="1:10">
      <c r="A1081" t="s">
        <v>391</v>
      </c>
      <c r="B1081">
        <v>21</v>
      </c>
      <c r="C1081">
        <v>27</v>
      </c>
      <c r="E1081">
        <v>216915</v>
      </c>
      <c r="F1081">
        <v>182077</v>
      </c>
      <c r="G1081">
        <v>222610</v>
      </c>
      <c r="H1081">
        <v>3000</v>
      </c>
      <c r="I1081">
        <v>110000</v>
      </c>
      <c r="J1081">
        <v>1000</v>
      </c>
    </row>
    <row r="1082" spans="1:10">
      <c r="A1082" t="s">
        <v>391</v>
      </c>
      <c r="B1082">
        <v>21</v>
      </c>
      <c r="C1082">
        <v>31</v>
      </c>
      <c r="I1082">
        <v>1000</v>
      </c>
    </row>
    <row r="1083" spans="1:10">
      <c r="A1083" t="s">
        <v>391</v>
      </c>
      <c r="B1083">
        <v>21</v>
      </c>
      <c r="C1083">
        <v>34</v>
      </c>
      <c r="E1083">
        <v>6025</v>
      </c>
      <c r="G1083">
        <v>986</v>
      </c>
    </row>
    <row r="1084" spans="1:10">
      <c r="A1084" t="s">
        <v>391</v>
      </c>
      <c r="B1084">
        <v>24</v>
      </c>
      <c r="C1084">
        <v>26</v>
      </c>
      <c r="F1084">
        <v>6733</v>
      </c>
      <c r="G1084">
        <v>4731</v>
      </c>
    </row>
    <row r="1085" spans="1:10">
      <c r="A1085" t="s">
        <v>391</v>
      </c>
      <c r="B1085">
        <v>24</v>
      </c>
      <c r="C1085">
        <v>27</v>
      </c>
      <c r="E1085">
        <v>29628</v>
      </c>
      <c r="F1085">
        <v>54536</v>
      </c>
      <c r="G1085">
        <v>53133</v>
      </c>
      <c r="H1085">
        <v>3358</v>
      </c>
      <c r="I1085">
        <v>8000</v>
      </c>
    </row>
    <row r="1086" spans="1:10">
      <c r="A1086" t="s">
        <v>367</v>
      </c>
      <c r="B1086">
        <v>21</v>
      </c>
      <c r="C1086">
        <v>29</v>
      </c>
      <c r="I1086">
        <v>3211593</v>
      </c>
    </row>
    <row r="1087" spans="1:10">
      <c r="A1087" t="s">
        <v>367</v>
      </c>
      <c r="B1087">
        <v>24</v>
      </c>
      <c r="C1087">
        <v>31</v>
      </c>
      <c r="H1087">
        <v>10000</v>
      </c>
    </row>
    <row r="1088" spans="1:10">
      <c r="A1088" t="s">
        <v>447</v>
      </c>
      <c r="B1088">
        <v>21</v>
      </c>
      <c r="C1088">
        <v>27</v>
      </c>
      <c r="E1088">
        <v>322579</v>
      </c>
      <c r="F1088">
        <v>232540</v>
      </c>
      <c r="G1088">
        <v>249127</v>
      </c>
      <c r="H1088">
        <v>97600</v>
      </c>
    </row>
    <row r="1089" spans="1:9">
      <c r="A1089" t="s">
        <v>447</v>
      </c>
      <c r="B1089">
        <v>21</v>
      </c>
      <c r="C1089">
        <v>29</v>
      </c>
      <c r="I1089">
        <v>215000</v>
      </c>
    </row>
    <row r="1090" spans="1:9">
      <c r="A1090" t="s">
        <v>447</v>
      </c>
      <c r="B1090">
        <v>21</v>
      </c>
      <c r="C1090">
        <v>32</v>
      </c>
      <c r="H1090">
        <v>7500</v>
      </c>
    </row>
    <row r="1091" spans="1:9">
      <c r="A1091" t="s">
        <v>447</v>
      </c>
      <c r="B1091">
        <v>24</v>
      </c>
      <c r="C1091">
        <v>29</v>
      </c>
      <c r="I1091">
        <v>150000</v>
      </c>
    </row>
    <row r="1092" spans="1:9">
      <c r="A1092" t="s">
        <v>505</v>
      </c>
      <c r="B1092">
        <v>21</v>
      </c>
      <c r="C1092">
        <v>21</v>
      </c>
      <c r="E1092">
        <v>98479</v>
      </c>
      <c r="F1092">
        <v>17480</v>
      </c>
      <c r="G1092">
        <v>36074</v>
      </c>
    </row>
    <row r="1093" spans="1:9">
      <c r="A1093" t="s">
        <v>505</v>
      </c>
      <c r="B1093">
        <v>21</v>
      </c>
      <c r="C1093">
        <v>23</v>
      </c>
      <c r="F1093">
        <v>21151</v>
      </c>
      <c r="G1093">
        <v>11400</v>
      </c>
    </row>
    <row r="1094" spans="1:9">
      <c r="A1094" t="s">
        <v>505</v>
      </c>
      <c r="B1094">
        <v>21</v>
      </c>
      <c r="C1094">
        <v>25</v>
      </c>
      <c r="F1094">
        <v>41616</v>
      </c>
      <c r="G1094">
        <v>29345</v>
      </c>
    </row>
    <row r="1095" spans="1:9">
      <c r="A1095" t="s">
        <v>505</v>
      </c>
      <c r="B1095">
        <v>21</v>
      </c>
      <c r="C1095">
        <v>26</v>
      </c>
      <c r="I1095">
        <v>135000</v>
      </c>
    </row>
    <row r="1096" spans="1:9">
      <c r="A1096" t="s">
        <v>505</v>
      </c>
      <c r="B1096">
        <v>21</v>
      </c>
      <c r="C1096">
        <v>27</v>
      </c>
      <c r="E1096">
        <v>184077</v>
      </c>
      <c r="F1096">
        <v>317028</v>
      </c>
      <c r="G1096">
        <v>273231</v>
      </c>
      <c r="H1096">
        <v>28183</v>
      </c>
      <c r="I1096">
        <v>1684719</v>
      </c>
    </row>
    <row r="1097" spans="1:9">
      <c r="A1097" t="s">
        <v>505</v>
      </c>
      <c r="B1097">
        <v>21</v>
      </c>
      <c r="C1097">
        <v>31</v>
      </c>
      <c r="G1097">
        <v>293</v>
      </c>
      <c r="I1097">
        <v>3500</v>
      </c>
    </row>
    <row r="1098" spans="1:9">
      <c r="A1098" t="s">
        <v>505</v>
      </c>
      <c r="B1098">
        <v>21</v>
      </c>
      <c r="C1098">
        <v>32</v>
      </c>
      <c r="H1098">
        <v>3000</v>
      </c>
    </row>
    <row r="1099" spans="1:9">
      <c r="A1099" t="s">
        <v>505</v>
      </c>
      <c r="B1099">
        <v>21</v>
      </c>
      <c r="C1099">
        <v>33</v>
      </c>
      <c r="H1099">
        <v>2000</v>
      </c>
      <c r="I1099">
        <v>10000</v>
      </c>
    </row>
    <row r="1100" spans="1:9">
      <c r="A1100" t="s">
        <v>505</v>
      </c>
      <c r="B1100">
        <v>21</v>
      </c>
      <c r="C1100">
        <v>34</v>
      </c>
      <c r="E1100">
        <v>1819</v>
      </c>
      <c r="G1100">
        <v>4</v>
      </c>
    </row>
    <row r="1101" spans="1:9">
      <c r="A1101" t="s">
        <v>505</v>
      </c>
      <c r="B1101">
        <v>24</v>
      </c>
      <c r="C1101">
        <v>27</v>
      </c>
      <c r="E1101">
        <v>80933</v>
      </c>
      <c r="F1101">
        <v>23039</v>
      </c>
      <c r="G1101">
        <v>42445</v>
      </c>
      <c r="H1101">
        <v>1643</v>
      </c>
    </row>
    <row r="1102" spans="1:9">
      <c r="A1102" t="s">
        <v>335</v>
      </c>
      <c r="B1102">
        <v>21</v>
      </c>
      <c r="C1102">
        <v>27</v>
      </c>
      <c r="I1102">
        <v>628911</v>
      </c>
    </row>
    <row r="1103" spans="1:9">
      <c r="A1103" t="s">
        <v>627</v>
      </c>
      <c r="B1103">
        <v>21</v>
      </c>
      <c r="C1103">
        <v>21</v>
      </c>
      <c r="F1103">
        <v>13789</v>
      </c>
      <c r="G1103">
        <v>5741</v>
      </c>
    </row>
    <row r="1104" spans="1:9">
      <c r="A1104" t="s">
        <v>627</v>
      </c>
      <c r="B1104">
        <v>21</v>
      </c>
      <c r="C1104">
        <v>26</v>
      </c>
      <c r="I1104">
        <v>110000</v>
      </c>
    </row>
    <row r="1105" spans="1:10">
      <c r="A1105" t="s">
        <v>627</v>
      </c>
      <c r="B1105">
        <v>21</v>
      </c>
      <c r="C1105">
        <v>27</v>
      </c>
      <c r="E1105">
        <v>292123</v>
      </c>
      <c r="F1105">
        <v>139839</v>
      </c>
      <c r="G1105">
        <v>208108</v>
      </c>
      <c r="H1105">
        <v>3499</v>
      </c>
      <c r="I1105">
        <v>114000</v>
      </c>
    </row>
    <row r="1106" spans="1:10">
      <c r="A1106" t="s">
        <v>627</v>
      </c>
      <c r="B1106">
        <v>21</v>
      </c>
      <c r="C1106">
        <v>34</v>
      </c>
      <c r="E1106">
        <v>8044</v>
      </c>
      <c r="G1106">
        <v>1417</v>
      </c>
    </row>
    <row r="1107" spans="1:10">
      <c r="A1107" t="s">
        <v>627</v>
      </c>
      <c r="B1107">
        <v>24</v>
      </c>
      <c r="C1107">
        <v>26</v>
      </c>
      <c r="I1107">
        <v>83078</v>
      </c>
    </row>
    <row r="1108" spans="1:10">
      <c r="A1108" t="s">
        <v>353</v>
      </c>
      <c r="B1108">
        <v>21</v>
      </c>
      <c r="C1108">
        <v>21</v>
      </c>
      <c r="E1108">
        <v>3000</v>
      </c>
      <c r="G1108">
        <v>463</v>
      </c>
    </row>
    <row r="1109" spans="1:10">
      <c r="A1109" t="s">
        <v>353</v>
      </c>
      <c r="B1109">
        <v>21</v>
      </c>
      <c r="C1109">
        <v>26</v>
      </c>
      <c r="I1109">
        <v>68220</v>
      </c>
    </row>
    <row r="1110" spans="1:10">
      <c r="A1110" t="s">
        <v>353</v>
      </c>
      <c r="B1110">
        <v>21</v>
      </c>
      <c r="C1110">
        <v>27</v>
      </c>
      <c r="F1110">
        <v>54245</v>
      </c>
      <c r="G1110">
        <v>24297</v>
      </c>
      <c r="H1110">
        <v>27000</v>
      </c>
      <c r="I1110">
        <v>4000</v>
      </c>
    </row>
    <row r="1111" spans="1:10">
      <c r="A1111" t="s">
        <v>353</v>
      </c>
      <c r="B1111">
        <v>24</v>
      </c>
      <c r="C1111">
        <v>26</v>
      </c>
      <c r="I1111">
        <v>11000</v>
      </c>
    </row>
    <row r="1112" spans="1:10">
      <c r="A1112" t="s">
        <v>339</v>
      </c>
      <c r="B1112">
        <v>21</v>
      </c>
      <c r="C1112">
        <v>21</v>
      </c>
      <c r="E1112">
        <v>17500</v>
      </c>
      <c r="F1112">
        <v>38936</v>
      </c>
      <c r="G1112">
        <v>21894</v>
      </c>
    </row>
    <row r="1113" spans="1:10">
      <c r="A1113" t="s">
        <v>339</v>
      </c>
      <c r="B1113">
        <v>21</v>
      </c>
      <c r="C1113">
        <v>26</v>
      </c>
      <c r="E1113">
        <v>276439</v>
      </c>
      <c r="F1113">
        <v>15927</v>
      </c>
      <c r="G1113">
        <v>102572</v>
      </c>
      <c r="I1113">
        <v>104481</v>
      </c>
    </row>
    <row r="1114" spans="1:10">
      <c r="A1114" t="s">
        <v>339</v>
      </c>
      <c r="B1114">
        <v>21</v>
      </c>
      <c r="C1114">
        <v>27</v>
      </c>
      <c r="E1114">
        <v>844072</v>
      </c>
      <c r="F1114">
        <v>485732</v>
      </c>
      <c r="G1114">
        <v>624561</v>
      </c>
      <c r="H1114">
        <v>37093</v>
      </c>
      <c r="I1114">
        <v>25848</v>
      </c>
      <c r="J1114">
        <v>3803</v>
      </c>
    </row>
    <row r="1115" spans="1:10">
      <c r="A1115" t="s">
        <v>339</v>
      </c>
      <c r="B1115">
        <v>21</v>
      </c>
      <c r="C1115">
        <v>34</v>
      </c>
      <c r="E1115">
        <v>18118</v>
      </c>
    </row>
    <row r="1116" spans="1:10">
      <c r="A1116" t="s">
        <v>339</v>
      </c>
      <c r="B1116">
        <v>24</v>
      </c>
      <c r="C1116">
        <v>26</v>
      </c>
      <c r="F1116">
        <v>15333</v>
      </c>
      <c r="G1116">
        <v>10090</v>
      </c>
    </row>
    <row r="1117" spans="1:10">
      <c r="A1117" t="s">
        <v>339</v>
      </c>
      <c r="B1117">
        <v>24</v>
      </c>
      <c r="C1117">
        <v>27</v>
      </c>
      <c r="E1117">
        <v>78280</v>
      </c>
      <c r="F1117">
        <v>105239</v>
      </c>
      <c r="G1117">
        <v>102548</v>
      </c>
      <c r="H1117">
        <v>1214</v>
      </c>
      <c r="I1117">
        <v>500</v>
      </c>
      <c r="J1117">
        <v>10155</v>
      </c>
    </row>
    <row r="1118" spans="1:10">
      <c r="A1118" t="s">
        <v>339</v>
      </c>
      <c r="B1118">
        <v>24</v>
      </c>
      <c r="C1118">
        <v>31</v>
      </c>
      <c r="F1118">
        <v>4025</v>
      </c>
      <c r="H1118">
        <v>500</v>
      </c>
      <c r="I1118">
        <v>500</v>
      </c>
      <c r="J1118">
        <v>500</v>
      </c>
    </row>
    <row r="1119" spans="1:10">
      <c r="A1119" t="s">
        <v>121</v>
      </c>
      <c r="B1119">
        <v>21</v>
      </c>
      <c r="C1119">
        <v>21</v>
      </c>
      <c r="E1119">
        <v>32000</v>
      </c>
      <c r="F1119">
        <v>3000</v>
      </c>
      <c r="G1119">
        <v>9472</v>
      </c>
    </row>
    <row r="1120" spans="1:10">
      <c r="A1120" t="s">
        <v>121</v>
      </c>
      <c r="B1120">
        <v>21</v>
      </c>
      <c r="C1120">
        <v>23</v>
      </c>
      <c r="F1120">
        <v>5804</v>
      </c>
      <c r="G1120">
        <v>3280</v>
      </c>
    </row>
    <row r="1121" spans="1:10">
      <c r="A1121" t="s">
        <v>121</v>
      </c>
      <c r="B1121">
        <v>21</v>
      </c>
      <c r="C1121">
        <v>26</v>
      </c>
      <c r="E1121">
        <v>41818</v>
      </c>
      <c r="G1121">
        <v>22409</v>
      </c>
      <c r="H1121">
        <v>200</v>
      </c>
      <c r="I1121">
        <v>22500</v>
      </c>
    </row>
    <row r="1122" spans="1:10">
      <c r="A1122" t="s">
        <v>121</v>
      </c>
      <c r="B1122">
        <v>21</v>
      </c>
      <c r="C1122">
        <v>27</v>
      </c>
      <c r="E1122">
        <v>198103</v>
      </c>
      <c r="F1122">
        <v>235891</v>
      </c>
      <c r="G1122">
        <v>209736</v>
      </c>
      <c r="H1122">
        <v>15250</v>
      </c>
      <c r="I1122">
        <v>5650</v>
      </c>
    </row>
    <row r="1123" spans="1:10">
      <c r="A1123" t="s">
        <v>121</v>
      </c>
      <c r="B1123">
        <v>21</v>
      </c>
      <c r="C1123">
        <v>31</v>
      </c>
      <c r="I1123">
        <v>750</v>
      </c>
    </row>
    <row r="1124" spans="1:10">
      <c r="A1124" t="s">
        <v>121</v>
      </c>
      <c r="B1124">
        <v>21</v>
      </c>
      <c r="C1124">
        <v>32</v>
      </c>
      <c r="H1124">
        <v>3300</v>
      </c>
    </row>
    <row r="1125" spans="1:10">
      <c r="A1125" t="s">
        <v>121</v>
      </c>
      <c r="B1125">
        <v>21</v>
      </c>
      <c r="C1125">
        <v>33</v>
      </c>
      <c r="H1125">
        <v>500</v>
      </c>
    </row>
    <row r="1126" spans="1:10">
      <c r="A1126" t="s">
        <v>121</v>
      </c>
      <c r="B1126">
        <v>24</v>
      </c>
      <c r="C1126">
        <v>27</v>
      </c>
      <c r="E1126">
        <v>62370</v>
      </c>
      <c r="G1126">
        <v>19393</v>
      </c>
    </row>
    <row r="1127" spans="1:10">
      <c r="A1127" t="s">
        <v>121</v>
      </c>
      <c r="B1127">
        <v>29</v>
      </c>
      <c r="C1127">
        <v>27</v>
      </c>
      <c r="H1127">
        <v>4000</v>
      </c>
      <c r="I1127">
        <v>3000</v>
      </c>
    </row>
    <row r="1128" spans="1:10">
      <c r="A1128" t="s">
        <v>485</v>
      </c>
      <c r="B1128">
        <v>21</v>
      </c>
      <c r="C1128">
        <v>26</v>
      </c>
      <c r="E1128">
        <v>124510</v>
      </c>
      <c r="G1128">
        <v>46593</v>
      </c>
      <c r="H1128">
        <v>500</v>
      </c>
    </row>
    <row r="1129" spans="1:10">
      <c r="A1129" t="s">
        <v>485</v>
      </c>
      <c r="B1129">
        <v>21</v>
      </c>
      <c r="C1129">
        <v>27</v>
      </c>
      <c r="E1129">
        <v>121944</v>
      </c>
      <c r="F1129">
        <v>179224</v>
      </c>
      <c r="G1129">
        <v>183202</v>
      </c>
      <c r="H1129">
        <v>5000</v>
      </c>
      <c r="I1129">
        <v>4000</v>
      </c>
    </row>
    <row r="1130" spans="1:10">
      <c r="A1130" t="s">
        <v>485</v>
      </c>
      <c r="B1130">
        <v>21</v>
      </c>
      <c r="C1130">
        <v>34</v>
      </c>
      <c r="I1130">
        <v>500</v>
      </c>
    </row>
    <row r="1131" spans="1:10">
      <c r="A1131" t="s">
        <v>485</v>
      </c>
      <c r="B1131">
        <v>24</v>
      </c>
      <c r="C1131">
        <v>26</v>
      </c>
      <c r="E1131">
        <v>23496</v>
      </c>
      <c r="G1131">
        <v>8815</v>
      </c>
      <c r="I1131">
        <v>18500</v>
      </c>
    </row>
    <row r="1132" spans="1:10">
      <c r="A1132" t="s">
        <v>485</v>
      </c>
      <c r="B1132">
        <v>24</v>
      </c>
      <c r="C1132">
        <v>27</v>
      </c>
      <c r="E1132">
        <v>13352</v>
      </c>
      <c r="F1132">
        <v>7877</v>
      </c>
      <c r="G1132">
        <v>11104</v>
      </c>
    </row>
    <row r="1133" spans="1:10">
      <c r="A1133" t="s">
        <v>527</v>
      </c>
      <c r="B1133">
        <v>21</v>
      </c>
      <c r="C1133">
        <v>21</v>
      </c>
      <c r="E1133">
        <v>166000</v>
      </c>
      <c r="F1133">
        <v>71136</v>
      </c>
      <c r="G1133">
        <v>71319</v>
      </c>
      <c r="I1133">
        <v>7000</v>
      </c>
    </row>
    <row r="1134" spans="1:10">
      <c r="A1134" t="s">
        <v>527</v>
      </c>
      <c r="B1134">
        <v>21</v>
      </c>
      <c r="C1134">
        <v>26</v>
      </c>
      <c r="E1134">
        <v>1319621</v>
      </c>
      <c r="G1134">
        <v>415155</v>
      </c>
      <c r="J1134">
        <v>500</v>
      </c>
    </row>
    <row r="1135" spans="1:10">
      <c r="A1135" t="s">
        <v>527</v>
      </c>
      <c r="B1135">
        <v>21</v>
      </c>
      <c r="C1135">
        <v>27</v>
      </c>
      <c r="E1135">
        <v>1820532</v>
      </c>
      <c r="F1135">
        <v>1967898</v>
      </c>
      <c r="G1135">
        <v>1663489</v>
      </c>
      <c r="H1135">
        <v>10000</v>
      </c>
      <c r="I1135">
        <v>415000</v>
      </c>
      <c r="J1135">
        <v>1000</v>
      </c>
    </row>
    <row r="1136" spans="1:10">
      <c r="A1136" t="s">
        <v>527</v>
      </c>
      <c r="B1136">
        <v>21</v>
      </c>
      <c r="C1136">
        <v>29</v>
      </c>
      <c r="I1136">
        <v>65000</v>
      </c>
    </row>
    <row r="1137" spans="1:11">
      <c r="A1137" t="s">
        <v>527</v>
      </c>
      <c r="B1137">
        <v>21</v>
      </c>
      <c r="C1137">
        <v>31</v>
      </c>
      <c r="I1137">
        <v>1000</v>
      </c>
    </row>
    <row r="1138" spans="1:11">
      <c r="A1138" t="s">
        <v>527</v>
      </c>
      <c r="B1138">
        <v>21</v>
      </c>
      <c r="C1138">
        <v>33</v>
      </c>
      <c r="H1138">
        <v>9000</v>
      </c>
    </row>
    <row r="1139" spans="1:11">
      <c r="A1139" t="s">
        <v>527</v>
      </c>
      <c r="B1139">
        <v>24</v>
      </c>
      <c r="C1139">
        <v>26</v>
      </c>
      <c r="I1139">
        <v>60000</v>
      </c>
    </row>
    <row r="1140" spans="1:11">
      <c r="A1140" t="s">
        <v>527</v>
      </c>
      <c r="B1140">
        <v>24</v>
      </c>
      <c r="C1140">
        <v>27</v>
      </c>
      <c r="E1140">
        <v>326198</v>
      </c>
      <c r="F1140">
        <v>174890</v>
      </c>
      <c r="G1140">
        <v>213574</v>
      </c>
    </row>
    <row r="1141" spans="1:11">
      <c r="A1141" t="s">
        <v>431</v>
      </c>
      <c r="B1141">
        <v>21</v>
      </c>
      <c r="C1141">
        <v>21</v>
      </c>
      <c r="E1141">
        <v>1210951</v>
      </c>
      <c r="F1141">
        <v>674090</v>
      </c>
      <c r="G1141">
        <v>519518</v>
      </c>
    </row>
    <row r="1142" spans="1:11">
      <c r="A1142" t="s">
        <v>431</v>
      </c>
      <c r="B1142">
        <v>21</v>
      </c>
      <c r="C1142">
        <v>24</v>
      </c>
      <c r="D1142">
        <v>100</v>
      </c>
      <c r="E1142">
        <v>457505</v>
      </c>
      <c r="F1142">
        <v>269132</v>
      </c>
      <c r="G1142">
        <v>273775</v>
      </c>
      <c r="H1142">
        <v>2500</v>
      </c>
      <c r="I1142">
        <v>3500</v>
      </c>
      <c r="J1142">
        <v>4200</v>
      </c>
    </row>
    <row r="1143" spans="1:11">
      <c r="A1143" t="s">
        <v>431</v>
      </c>
      <c r="B1143">
        <v>21</v>
      </c>
      <c r="C1143">
        <v>26</v>
      </c>
      <c r="D1143">
        <v>100</v>
      </c>
      <c r="E1143">
        <v>8068302</v>
      </c>
      <c r="F1143">
        <v>571516</v>
      </c>
      <c r="G1143">
        <v>2792995</v>
      </c>
      <c r="H1143">
        <v>119300</v>
      </c>
      <c r="I1143">
        <v>7500</v>
      </c>
      <c r="J1143">
        <v>4700</v>
      </c>
    </row>
    <row r="1144" spans="1:11">
      <c r="A1144" t="s">
        <v>431</v>
      </c>
      <c r="B1144">
        <v>21</v>
      </c>
      <c r="C1144">
        <v>27</v>
      </c>
      <c r="D1144">
        <v>137150</v>
      </c>
      <c r="E1144">
        <v>14207870</v>
      </c>
      <c r="F1144">
        <v>17851047</v>
      </c>
      <c r="G1144">
        <v>13895376</v>
      </c>
      <c r="H1144">
        <v>292400</v>
      </c>
      <c r="I1144">
        <v>3746628</v>
      </c>
      <c r="J1144">
        <v>25750</v>
      </c>
      <c r="K1144">
        <v>10000</v>
      </c>
    </row>
    <row r="1145" spans="1:11">
      <c r="A1145" t="s">
        <v>431</v>
      </c>
      <c r="B1145">
        <v>21</v>
      </c>
      <c r="C1145">
        <v>35</v>
      </c>
      <c r="F1145">
        <v>14286</v>
      </c>
      <c r="G1145">
        <v>18417</v>
      </c>
    </row>
    <row r="1146" spans="1:11">
      <c r="A1146" t="s">
        <v>431</v>
      </c>
      <c r="B1146">
        <v>24</v>
      </c>
      <c r="C1146">
        <v>26</v>
      </c>
      <c r="E1146">
        <v>1214185</v>
      </c>
      <c r="G1146">
        <v>351827</v>
      </c>
    </row>
    <row r="1147" spans="1:11">
      <c r="A1147" t="s">
        <v>431</v>
      </c>
      <c r="B1147">
        <v>24</v>
      </c>
      <c r="C1147">
        <v>27</v>
      </c>
      <c r="E1147">
        <v>2817149</v>
      </c>
      <c r="G1147">
        <v>861833</v>
      </c>
    </row>
    <row r="1148" spans="1:11">
      <c r="A1148" t="s">
        <v>549</v>
      </c>
      <c r="B1148">
        <v>21</v>
      </c>
      <c r="C1148">
        <v>21</v>
      </c>
      <c r="E1148">
        <v>1416292</v>
      </c>
      <c r="F1148">
        <v>396759</v>
      </c>
      <c r="G1148">
        <v>484664</v>
      </c>
    </row>
    <row r="1149" spans="1:11">
      <c r="A1149" t="s">
        <v>549</v>
      </c>
      <c r="B1149">
        <v>21</v>
      </c>
      <c r="C1149">
        <v>25</v>
      </c>
      <c r="F1149">
        <v>533090</v>
      </c>
      <c r="G1149">
        <v>308253</v>
      </c>
    </row>
    <row r="1150" spans="1:11">
      <c r="A1150" t="s">
        <v>549</v>
      </c>
      <c r="B1150">
        <v>21</v>
      </c>
      <c r="C1150">
        <v>26</v>
      </c>
      <c r="E1150">
        <v>17002865</v>
      </c>
      <c r="F1150">
        <v>618990</v>
      </c>
      <c r="G1150">
        <v>5037119</v>
      </c>
      <c r="I1150">
        <v>1837626</v>
      </c>
    </row>
    <row r="1151" spans="1:11">
      <c r="A1151" t="s">
        <v>549</v>
      </c>
      <c r="B1151">
        <v>21</v>
      </c>
      <c r="C1151">
        <v>27</v>
      </c>
      <c r="E1151">
        <v>26020938</v>
      </c>
      <c r="F1151">
        <v>9873485</v>
      </c>
      <c r="G1151">
        <v>12522854</v>
      </c>
      <c r="H1151">
        <v>70000</v>
      </c>
      <c r="I1151">
        <v>1755784</v>
      </c>
      <c r="J1151">
        <v>30000</v>
      </c>
    </row>
    <row r="1152" spans="1:11">
      <c r="A1152" t="s">
        <v>549</v>
      </c>
      <c r="B1152">
        <v>21</v>
      </c>
      <c r="C1152">
        <v>31</v>
      </c>
      <c r="E1152">
        <v>997114</v>
      </c>
      <c r="F1152">
        <v>136198</v>
      </c>
      <c r="G1152">
        <v>293934</v>
      </c>
    </row>
    <row r="1153" spans="1:10">
      <c r="A1153" t="s">
        <v>549</v>
      </c>
      <c r="B1153">
        <v>21</v>
      </c>
      <c r="C1153">
        <v>33</v>
      </c>
      <c r="F1153">
        <v>86737</v>
      </c>
      <c r="G1153">
        <v>30781</v>
      </c>
    </row>
    <row r="1154" spans="1:10">
      <c r="A1154" t="s">
        <v>549</v>
      </c>
      <c r="B1154">
        <v>21</v>
      </c>
      <c r="C1154">
        <v>34</v>
      </c>
      <c r="E1154">
        <v>453771</v>
      </c>
      <c r="G1154">
        <v>74964</v>
      </c>
    </row>
    <row r="1155" spans="1:10">
      <c r="A1155" t="s">
        <v>549</v>
      </c>
      <c r="B1155">
        <v>24</v>
      </c>
      <c r="C1155">
        <v>27</v>
      </c>
      <c r="E1155">
        <v>65433</v>
      </c>
      <c r="F1155">
        <v>4885369</v>
      </c>
      <c r="G1155">
        <v>2576556</v>
      </c>
      <c r="H1155">
        <v>134644</v>
      </c>
    </row>
    <row r="1156" spans="1:10">
      <c r="A1156" t="s">
        <v>549</v>
      </c>
      <c r="B1156">
        <v>24</v>
      </c>
      <c r="C1156">
        <v>31</v>
      </c>
      <c r="E1156">
        <v>683</v>
      </c>
      <c r="F1156">
        <v>62606</v>
      </c>
      <c r="G1156">
        <v>10690</v>
      </c>
    </row>
    <row r="1157" spans="1:10">
      <c r="A1157" t="s">
        <v>61</v>
      </c>
      <c r="B1157">
        <v>21</v>
      </c>
      <c r="C1157">
        <v>27</v>
      </c>
      <c r="E1157">
        <v>77520</v>
      </c>
      <c r="F1157">
        <v>51526</v>
      </c>
      <c r="G1157">
        <v>54896</v>
      </c>
      <c r="I1157">
        <v>30000</v>
      </c>
      <c r="J1157">
        <v>2000</v>
      </c>
    </row>
    <row r="1158" spans="1:10">
      <c r="A1158" t="s">
        <v>61</v>
      </c>
      <c r="B1158">
        <v>21</v>
      </c>
      <c r="C1158">
        <v>29</v>
      </c>
      <c r="I1158">
        <v>140000</v>
      </c>
    </row>
    <row r="1159" spans="1:10">
      <c r="A1159" t="s">
        <v>61</v>
      </c>
      <c r="B1159">
        <v>24</v>
      </c>
      <c r="C1159">
        <v>27</v>
      </c>
      <c r="F1159">
        <v>30459</v>
      </c>
      <c r="G1159">
        <v>19107</v>
      </c>
      <c r="I1159">
        <v>2500</v>
      </c>
    </row>
    <row r="1160" spans="1:10">
      <c r="A1160" t="s">
        <v>579</v>
      </c>
      <c r="B1160">
        <v>21</v>
      </c>
      <c r="C1160">
        <v>21</v>
      </c>
      <c r="D1160">
        <v>200</v>
      </c>
      <c r="E1160">
        <v>491408</v>
      </c>
      <c r="F1160">
        <v>185566</v>
      </c>
      <c r="G1160">
        <v>193553</v>
      </c>
      <c r="H1160">
        <v>6300</v>
      </c>
      <c r="I1160">
        <v>39200</v>
      </c>
      <c r="J1160">
        <v>2200</v>
      </c>
    </row>
    <row r="1161" spans="1:10">
      <c r="A1161" t="s">
        <v>579</v>
      </c>
      <c r="B1161">
        <v>21</v>
      </c>
      <c r="C1161">
        <v>24</v>
      </c>
      <c r="H1161">
        <v>9100</v>
      </c>
      <c r="I1161">
        <v>3300</v>
      </c>
    </row>
    <row r="1162" spans="1:10">
      <c r="A1162" t="s">
        <v>579</v>
      </c>
      <c r="B1162">
        <v>21</v>
      </c>
      <c r="C1162">
        <v>25</v>
      </c>
      <c r="D1162">
        <v>4200</v>
      </c>
    </row>
    <row r="1163" spans="1:10">
      <c r="A1163" t="s">
        <v>579</v>
      </c>
      <c r="B1163">
        <v>21</v>
      </c>
      <c r="C1163">
        <v>26</v>
      </c>
      <c r="E1163">
        <v>1629935</v>
      </c>
      <c r="F1163">
        <v>312413</v>
      </c>
      <c r="G1163">
        <v>626991</v>
      </c>
      <c r="H1163">
        <v>12600</v>
      </c>
      <c r="I1163">
        <v>36800</v>
      </c>
      <c r="J1163">
        <v>600</v>
      </c>
    </row>
    <row r="1164" spans="1:10">
      <c r="A1164" t="s">
        <v>579</v>
      </c>
      <c r="B1164">
        <v>21</v>
      </c>
      <c r="C1164">
        <v>27</v>
      </c>
      <c r="D1164">
        <v>19200</v>
      </c>
      <c r="E1164">
        <v>3499711</v>
      </c>
      <c r="F1164">
        <v>2794538</v>
      </c>
      <c r="G1164">
        <v>2557249</v>
      </c>
      <c r="H1164">
        <v>17600</v>
      </c>
      <c r="I1164">
        <v>1006200</v>
      </c>
      <c r="J1164">
        <v>1700</v>
      </c>
    </row>
    <row r="1165" spans="1:10">
      <c r="A1165" t="s">
        <v>579</v>
      </c>
      <c r="B1165">
        <v>21</v>
      </c>
      <c r="C1165">
        <v>29</v>
      </c>
      <c r="I1165">
        <v>80000</v>
      </c>
    </row>
    <row r="1166" spans="1:10">
      <c r="A1166" t="s">
        <v>579</v>
      </c>
      <c r="B1166">
        <v>21</v>
      </c>
      <c r="C1166">
        <v>31</v>
      </c>
      <c r="D1166">
        <v>200</v>
      </c>
      <c r="E1166">
        <v>15525</v>
      </c>
      <c r="F1166">
        <v>9400</v>
      </c>
      <c r="G1166">
        <v>4726</v>
      </c>
      <c r="H1166">
        <v>100</v>
      </c>
      <c r="I1166">
        <v>9100</v>
      </c>
      <c r="J1166">
        <v>500</v>
      </c>
    </row>
    <row r="1167" spans="1:10">
      <c r="A1167" t="s">
        <v>579</v>
      </c>
      <c r="B1167">
        <v>21</v>
      </c>
      <c r="C1167">
        <v>32</v>
      </c>
      <c r="H1167">
        <v>3200</v>
      </c>
      <c r="I1167">
        <v>2200</v>
      </c>
    </row>
    <row r="1168" spans="1:10">
      <c r="A1168" t="s">
        <v>579</v>
      </c>
      <c r="B1168">
        <v>21</v>
      </c>
      <c r="C1168">
        <v>33</v>
      </c>
      <c r="H1168">
        <v>21200</v>
      </c>
    </row>
    <row r="1169" spans="1:10">
      <c r="A1169" t="s">
        <v>579</v>
      </c>
      <c r="B1169">
        <v>21</v>
      </c>
      <c r="C1169">
        <v>34</v>
      </c>
      <c r="E1169">
        <v>34080</v>
      </c>
      <c r="G1169">
        <v>10333</v>
      </c>
    </row>
    <row r="1170" spans="1:10">
      <c r="A1170" t="s">
        <v>579</v>
      </c>
      <c r="B1170">
        <v>24</v>
      </c>
      <c r="C1170">
        <v>21</v>
      </c>
      <c r="I1170">
        <v>16300</v>
      </c>
    </row>
    <row r="1171" spans="1:10">
      <c r="A1171" t="s">
        <v>579</v>
      </c>
      <c r="B1171">
        <v>24</v>
      </c>
      <c r="C1171">
        <v>26</v>
      </c>
      <c r="E1171">
        <v>601158</v>
      </c>
      <c r="G1171">
        <v>165346</v>
      </c>
      <c r="I1171">
        <v>100000</v>
      </c>
    </row>
    <row r="1172" spans="1:10">
      <c r="A1172" t="s">
        <v>579</v>
      </c>
      <c r="B1172">
        <v>24</v>
      </c>
      <c r="C1172">
        <v>27</v>
      </c>
      <c r="F1172">
        <v>101215</v>
      </c>
      <c r="G1172">
        <v>55258</v>
      </c>
      <c r="I1172">
        <v>297312</v>
      </c>
    </row>
    <row r="1173" spans="1:10">
      <c r="A1173" t="s">
        <v>579</v>
      </c>
      <c r="B1173">
        <v>24</v>
      </c>
      <c r="C1173">
        <v>29</v>
      </c>
      <c r="I1173">
        <v>12300</v>
      </c>
    </row>
    <row r="1174" spans="1:10">
      <c r="A1174" t="s">
        <v>579</v>
      </c>
      <c r="B1174">
        <v>24</v>
      </c>
      <c r="C1174">
        <v>31</v>
      </c>
      <c r="E1174">
        <v>788</v>
      </c>
      <c r="G1174">
        <v>1274</v>
      </c>
    </row>
    <row r="1175" spans="1:10">
      <c r="A1175" t="s">
        <v>579</v>
      </c>
      <c r="B1175">
        <v>29</v>
      </c>
      <c r="C1175">
        <v>26</v>
      </c>
      <c r="I1175">
        <v>13160</v>
      </c>
    </row>
    <row r="1176" spans="1:10">
      <c r="A1176" t="s">
        <v>579</v>
      </c>
      <c r="B1176">
        <v>29</v>
      </c>
      <c r="C1176">
        <v>27</v>
      </c>
      <c r="I1176">
        <v>1500</v>
      </c>
    </row>
    <row r="1177" spans="1:10">
      <c r="A1177" t="s">
        <v>543</v>
      </c>
      <c r="B1177">
        <v>21</v>
      </c>
      <c r="C1177">
        <v>21</v>
      </c>
      <c r="E1177">
        <v>554496</v>
      </c>
      <c r="F1177">
        <v>186425</v>
      </c>
      <c r="G1177">
        <v>226450</v>
      </c>
      <c r="H1177">
        <v>4500</v>
      </c>
      <c r="I1177">
        <v>8000</v>
      </c>
    </row>
    <row r="1178" spans="1:10">
      <c r="A1178" t="s">
        <v>543</v>
      </c>
      <c r="B1178">
        <v>21</v>
      </c>
      <c r="C1178">
        <v>24</v>
      </c>
      <c r="E1178">
        <v>1387307</v>
      </c>
      <c r="G1178">
        <v>436362</v>
      </c>
    </row>
    <row r="1179" spans="1:10">
      <c r="A1179" t="s">
        <v>543</v>
      </c>
      <c r="B1179">
        <v>21</v>
      </c>
      <c r="C1179">
        <v>26</v>
      </c>
      <c r="E1179">
        <v>4983834</v>
      </c>
      <c r="F1179">
        <v>314217</v>
      </c>
      <c r="G1179">
        <v>1705625</v>
      </c>
      <c r="H1179">
        <v>30800</v>
      </c>
      <c r="I1179">
        <v>37650</v>
      </c>
      <c r="J1179">
        <v>2950</v>
      </c>
    </row>
    <row r="1180" spans="1:10">
      <c r="A1180" t="s">
        <v>543</v>
      </c>
      <c r="B1180">
        <v>21</v>
      </c>
      <c r="C1180">
        <v>27</v>
      </c>
      <c r="D1180">
        <v>65000</v>
      </c>
      <c r="E1180">
        <v>6239333</v>
      </c>
      <c r="F1180">
        <v>7068685</v>
      </c>
      <c r="G1180">
        <v>6275607</v>
      </c>
      <c r="H1180">
        <v>26700</v>
      </c>
      <c r="I1180">
        <v>2813468</v>
      </c>
      <c r="J1180">
        <v>24200</v>
      </c>
    </row>
    <row r="1181" spans="1:10">
      <c r="A1181" t="s">
        <v>543</v>
      </c>
      <c r="B1181">
        <v>21</v>
      </c>
      <c r="C1181">
        <v>29</v>
      </c>
      <c r="I1181">
        <v>285000</v>
      </c>
    </row>
    <row r="1182" spans="1:10">
      <c r="A1182" t="s">
        <v>543</v>
      </c>
      <c r="B1182">
        <v>21</v>
      </c>
      <c r="C1182">
        <v>31</v>
      </c>
      <c r="E1182">
        <v>207609</v>
      </c>
      <c r="F1182">
        <v>144871</v>
      </c>
      <c r="G1182">
        <v>88743</v>
      </c>
    </row>
    <row r="1183" spans="1:10">
      <c r="A1183" t="s">
        <v>543</v>
      </c>
      <c r="B1183">
        <v>21</v>
      </c>
      <c r="C1183">
        <v>32</v>
      </c>
      <c r="I1183">
        <v>19425</v>
      </c>
    </row>
    <row r="1184" spans="1:10">
      <c r="A1184" t="s">
        <v>543</v>
      </c>
      <c r="B1184">
        <v>21</v>
      </c>
      <c r="C1184">
        <v>33</v>
      </c>
      <c r="H1184">
        <v>63000</v>
      </c>
      <c r="I1184">
        <v>19000</v>
      </c>
    </row>
    <row r="1185" spans="1:10">
      <c r="A1185" t="s">
        <v>543</v>
      </c>
      <c r="B1185">
        <v>21</v>
      </c>
      <c r="C1185">
        <v>34</v>
      </c>
      <c r="E1185">
        <v>253521</v>
      </c>
      <c r="G1185">
        <v>40272</v>
      </c>
    </row>
    <row r="1186" spans="1:10">
      <c r="A1186" t="s">
        <v>543</v>
      </c>
      <c r="B1186">
        <v>24</v>
      </c>
      <c r="C1186">
        <v>21</v>
      </c>
      <c r="E1186">
        <v>60948</v>
      </c>
      <c r="G1186">
        <v>14978</v>
      </c>
    </row>
    <row r="1187" spans="1:10">
      <c r="A1187" t="s">
        <v>543</v>
      </c>
      <c r="B1187">
        <v>24</v>
      </c>
      <c r="C1187">
        <v>27</v>
      </c>
      <c r="E1187">
        <v>1300885</v>
      </c>
      <c r="F1187">
        <v>108489</v>
      </c>
      <c r="G1187">
        <v>467992</v>
      </c>
      <c r="H1187">
        <v>3078</v>
      </c>
    </row>
    <row r="1188" spans="1:10">
      <c r="A1188" t="s">
        <v>543</v>
      </c>
      <c r="B1188">
        <v>24</v>
      </c>
      <c r="C1188">
        <v>31</v>
      </c>
      <c r="E1188">
        <v>151929</v>
      </c>
      <c r="G1188">
        <v>40183</v>
      </c>
    </row>
    <row r="1189" spans="1:10">
      <c r="A1189" t="s">
        <v>133</v>
      </c>
      <c r="B1189">
        <v>21</v>
      </c>
      <c r="C1189">
        <v>21</v>
      </c>
      <c r="F1189">
        <v>71530</v>
      </c>
      <c r="G1189">
        <v>25557</v>
      </c>
    </row>
    <row r="1190" spans="1:10">
      <c r="A1190" t="s">
        <v>133</v>
      </c>
      <c r="B1190">
        <v>21</v>
      </c>
      <c r="C1190">
        <v>25</v>
      </c>
      <c r="F1190">
        <v>118496</v>
      </c>
      <c r="G1190">
        <v>59011</v>
      </c>
    </row>
    <row r="1191" spans="1:10">
      <c r="A1191" t="s">
        <v>133</v>
      </c>
      <c r="B1191">
        <v>21</v>
      </c>
      <c r="C1191">
        <v>26</v>
      </c>
      <c r="E1191">
        <v>833461</v>
      </c>
      <c r="F1191">
        <v>158684</v>
      </c>
      <c r="G1191">
        <v>319813</v>
      </c>
    </row>
    <row r="1192" spans="1:10">
      <c r="A1192" t="s">
        <v>133</v>
      </c>
      <c r="B1192">
        <v>21</v>
      </c>
      <c r="C1192">
        <v>27</v>
      </c>
      <c r="D1192">
        <v>33000</v>
      </c>
      <c r="E1192">
        <v>906049</v>
      </c>
      <c r="F1192">
        <v>1112600</v>
      </c>
      <c r="G1192">
        <v>898871</v>
      </c>
      <c r="H1192">
        <v>19000</v>
      </c>
      <c r="I1192">
        <v>100000</v>
      </c>
      <c r="J1192">
        <v>5000</v>
      </c>
    </row>
    <row r="1193" spans="1:10">
      <c r="A1193" t="s">
        <v>133</v>
      </c>
      <c r="B1193">
        <v>21</v>
      </c>
      <c r="C1193">
        <v>31</v>
      </c>
      <c r="E1193">
        <v>8173</v>
      </c>
      <c r="G1193">
        <v>1330</v>
      </c>
    </row>
    <row r="1194" spans="1:10">
      <c r="A1194" t="s">
        <v>133</v>
      </c>
      <c r="B1194">
        <v>21</v>
      </c>
      <c r="C1194">
        <v>34</v>
      </c>
      <c r="E1194">
        <v>24902</v>
      </c>
      <c r="G1194">
        <v>4039</v>
      </c>
    </row>
    <row r="1195" spans="1:10">
      <c r="A1195" t="s">
        <v>133</v>
      </c>
      <c r="B1195">
        <v>24</v>
      </c>
      <c r="C1195">
        <v>27</v>
      </c>
      <c r="E1195">
        <v>204204</v>
      </c>
      <c r="G1195">
        <v>63162</v>
      </c>
    </row>
    <row r="1196" spans="1:10">
      <c r="A1196" t="s">
        <v>133</v>
      </c>
      <c r="B1196">
        <v>24</v>
      </c>
      <c r="C1196">
        <v>31</v>
      </c>
      <c r="E1196">
        <v>964</v>
      </c>
      <c r="G1196">
        <v>157</v>
      </c>
    </row>
    <row r="1197" spans="1:10">
      <c r="A1197" t="s">
        <v>393</v>
      </c>
      <c r="B1197">
        <v>21</v>
      </c>
      <c r="C1197">
        <v>21</v>
      </c>
      <c r="E1197">
        <v>291537</v>
      </c>
      <c r="F1197">
        <v>127972</v>
      </c>
      <c r="G1197">
        <v>127411</v>
      </c>
      <c r="H1197">
        <v>2000</v>
      </c>
      <c r="I1197">
        <v>10200</v>
      </c>
      <c r="J1197">
        <v>300</v>
      </c>
    </row>
    <row r="1198" spans="1:10">
      <c r="A1198" t="s">
        <v>393</v>
      </c>
      <c r="B1198">
        <v>21</v>
      </c>
      <c r="C1198">
        <v>26</v>
      </c>
      <c r="E1198">
        <v>510917</v>
      </c>
      <c r="F1198">
        <v>171546</v>
      </c>
      <c r="G1198">
        <v>227583</v>
      </c>
      <c r="H1198">
        <v>25000</v>
      </c>
      <c r="I1198">
        <v>2253000</v>
      </c>
      <c r="J1198">
        <v>8000</v>
      </c>
    </row>
    <row r="1199" spans="1:10">
      <c r="A1199" t="s">
        <v>393</v>
      </c>
      <c r="B1199">
        <v>21</v>
      </c>
      <c r="C1199">
        <v>27</v>
      </c>
      <c r="D1199">
        <v>24000</v>
      </c>
      <c r="E1199">
        <v>2114289</v>
      </c>
      <c r="F1199">
        <v>2065245</v>
      </c>
      <c r="G1199">
        <v>1764014</v>
      </c>
      <c r="H1199">
        <v>30000</v>
      </c>
      <c r="I1199">
        <v>771000</v>
      </c>
    </row>
    <row r="1200" spans="1:10">
      <c r="A1200" t="s">
        <v>393</v>
      </c>
      <c r="B1200">
        <v>21</v>
      </c>
      <c r="C1200">
        <v>29</v>
      </c>
      <c r="I1200">
        <v>60000</v>
      </c>
    </row>
    <row r="1201" spans="1:10">
      <c r="A1201" t="s">
        <v>393</v>
      </c>
      <c r="B1201">
        <v>21</v>
      </c>
      <c r="C1201">
        <v>31</v>
      </c>
      <c r="E1201">
        <v>1945</v>
      </c>
      <c r="H1201">
        <v>3000</v>
      </c>
      <c r="I1201">
        <v>20000</v>
      </c>
      <c r="J1201">
        <v>1000</v>
      </c>
    </row>
    <row r="1202" spans="1:10">
      <c r="A1202" t="s">
        <v>393</v>
      </c>
      <c r="B1202">
        <v>21</v>
      </c>
      <c r="C1202">
        <v>34</v>
      </c>
      <c r="E1202">
        <v>52226</v>
      </c>
      <c r="G1202">
        <v>9396</v>
      </c>
    </row>
    <row r="1203" spans="1:10">
      <c r="A1203" t="s">
        <v>393</v>
      </c>
      <c r="B1203">
        <v>24</v>
      </c>
      <c r="C1203">
        <v>26</v>
      </c>
      <c r="E1203">
        <v>497864</v>
      </c>
      <c r="G1203">
        <v>159937</v>
      </c>
    </row>
    <row r="1204" spans="1:10">
      <c r="A1204" t="s">
        <v>393</v>
      </c>
      <c r="B1204">
        <v>24</v>
      </c>
      <c r="C1204">
        <v>27</v>
      </c>
      <c r="I1204">
        <v>10393</v>
      </c>
    </row>
    <row r="1205" spans="1:10">
      <c r="A1205" t="s">
        <v>393</v>
      </c>
      <c r="B1205">
        <v>24</v>
      </c>
      <c r="C1205">
        <v>31</v>
      </c>
      <c r="E1205">
        <v>10708</v>
      </c>
      <c r="G1205">
        <v>1927</v>
      </c>
    </row>
    <row r="1206" spans="1:10">
      <c r="A1206" t="s">
        <v>91</v>
      </c>
      <c r="B1206">
        <v>21</v>
      </c>
      <c r="C1206">
        <v>21</v>
      </c>
      <c r="E1206">
        <v>947369</v>
      </c>
      <c r="F1206">
        <v>345764</v>
      </c>
      <c r="G1206">
        <v>398486</v>
      </c>
    </row>
    <row r="1207" spans="1:10">
      <c r="A1207" t="s">
        <v>91</v>
      </c>
      <c r="B1207">
        <v>21</v>
      </c>
      <c r="C1207">
        <v>24</v>
      </c>
      <c r="E1207">
        <v>394928</v>
      </c>
      <c r="G1207">
        <v>121144</v>
      </c>
    </row>
    <row r="1208" spans="1:10">
      <c r="A1208" t="s">
        <v>91</v>
      </c>
      <c r="B1208">
        <v>21</v>
      </c>
      <c r="C1208">
        <v>26</v>
      </c>
      <c r="E1208">
        <v>3830039</v>
      </c>
      <c r="F1208">
        <v>1241083</v>
      </c>
      <c r="G1208">
        <v>1823333</v>
      </c>
    </row>
    <row r="1209" spans="1:10">
      <c r="A1209" t="s">
        <v>91</v>
      </c>
      <c r="B1209">
        <v>21</v>
      </c>
      <c r="C1209">
        <v>27</v>
      </c>
      <c r="E1209">
        <v>13219117</v>
      </c>
      <c r="F1209">
        <v>11252087</v>
      </c>
      <c r="G1209">
        <v>11159842</v>
      </c>
      <c r="H1209">
        <v>255000</v>
      </c>
    </row>
    <row r="1210" spans="1:10">
      <c r="A1210" t="s">
        <v>91</v>
      </c>
      <c r="B1210">
        <v>21</v>
      </c>
      <c r="C1210">
        <v>31</v>
      </c>
      <c r="E1210">
        <v>544849</v>
      </c>
      <c r="F1210">
        <v>8097</v>
      </c>
      <c r="G1210">
        <v>57398</v>
      </c>
    </row>
    <row r="1211" spans="1:10">
      <c r="A1211" t="s">
        <v>91</v>
      </c>
      <c r="B1211">
        <v>24</v>
      </c>
      <c r="C1211">
        <v>27</v>
      </c>
      <c r="H1211">
        <v>104849</v>
      </c>
      <c r="I1211">
        <v>2760141</v>
      </c>
    </row>
    <row r="1212" spans="1:10">
      <c r="A1212" t="s">
        <v>91</v>
      </c>
      <c r="B1212">
        <v>26</v>
      </c>
      <c r="C1212">
        <v>23</v>
      </c>
      <c r="D1212">
        <v>1000</v>
      </c>
      <c r="E1212">
        <v>205955</v>
      </c>
      <c r="F1212">
        <v>155800</v>
      </c>
      <c r="G1212">
        <v>116509</v>
      </c>
      <c r="H1212">
        <v>5000</v>
      </c>
    </row>
    <row r="1213" spans="1:10">
      <c r="A1213" t="s">
        <v>91</v>
      </c>
      <c r="B1213">
        <v>26</v>
      </c>
      <c r="C1213">
        <v>24</v>
      </c>
      <c r="E1213">
        <v>91472</v>
      </c>
      <c r="F1213">
        <v>139795</v>
      </c>
      <c r="G1213">
        <v>92498</v>
      </c>
    </row>
    <row r="1214" spans="1:10">
      <c r="A1214" t="s">
        <v>91</v>
      </c>
      <c r="B1214">
        <v>26</v>
      </c>
      <c r="C1214">
        <v>26</v>
      </c>
      <c r="E1214">
        <v>126731</v>
      </c>
      <c r="G1214">
        <v>39136</v>
      </c>
    </row>
    <row r="1215" spans="1:10">
      <c r="A1215" t="s">
        <v>91</v>
      </c>
      <c r="B1215">
        <v>26</v>
      </c>
      <c r="C1215">
        <v>27</v>
      </c>
      <c r="D1215">
        <v>8000</v>
      </c>
      <c r="E1215">
        <v>990601</v>
      </c>
      <c r="F1215">
        <v>113732</v>
      </c>
      <c r="G1215">
        <v>399876</v>
      </c>
      <c r="H1215">
        <v>162102</v>
      </c>
      <c r="I1215">
        <v>20000</v>
      </c>
    </row>
    <row r="1216" spans="1:10">
      <c r="A1216" t="s">
        <v>91</v>
      </c>
      <c r="B1216">
        <v>26</v>
      </c>
      <c r="C1216">
        <v>31</v>
      </c>
      <c r="E1216">
        <v>36859</v>
      </c>
      <c r="G1216">
        <v>6603</v>
      </c>
      <c r="H1216">
        <v>2000</v>
      </c>
      <c r="I1216">
        <v>5000</v>
      </c>
      <c r="J1216">
        <v>10000</v>
      </c>
    </row>
    <row r="1217" spans="1:10">
      <c r="A1217" t="s">
        <v>91</v>
      </c>
      <c r="B1217">
        <v>26</v>
      </c>
      <c r="C1217">
        <v>33</v>
      </c>
      <c r="H1217">
        <v>25000</v>
      </c>
    </row>
    <row r="1218" spans="1:10">
      <c r="A1218" t="s">
        <v>91</v>
      </c>
      <c r="B1218">
        <v>29</v>
      </c>
      <c r="C1218">
        <v>21</v>
      </c>
      <c r="F1218">
        <v>36227</v>
      </c>
      <c r="G1218">
        <v>11035</v>
      </c>
    </row>
    <row r="1219" spans="1:10">
      <c r="A1219" t="s">
        <v>91</v>
      </c>
      <c r="B1219">
        <v>29</v>
      </c>
      <c r="C1219">
        <v>29</v>
      </c>
      <c r="I1219">
        <v>952738</v>
      </c>
    </row>
    <row r="1220" spans="1:10">
      <c r="A1220" t="s">
        <v>409</v>
      </c>
      <c r="B1220">
        <v>21</v>
      </c>
      <c r="C1220">
        <v>21</v>
      </c>
      <c r="E1220">
        <v>648833</v>
      </c>
      <c r="F1220">
        <v>117701</v>
      </c>
      <c r="G1220">
        <v>196668</v>
      </c>
      <c r="H1220">
        <v>4000</v>
      </c>
      <c r="I1220">
        <v>18000</v>
      </c>
      <c r="J1220">
        <v>2000</v>
      </c>
    </row>
    <row r="1221" spans="1:10">
      <c r="A1221" t="s">
        <v>409</v>
      </c>
      <c r="B1221">
        <v>21</v>
      </c>
      <c r="C1221">
        <v>24</v>
      </c>
      <c r="E1221">
        <v>119859</v>
      </c>
      <c r="G1221">
        <v>35146</v>
      </c>
      <c r="H1221">
        <v>40000</v>
      </c>
      <c r="I1221">
        <v>7000</v>
      </c>
      <c r="J1221">
        <v>1500</v>
      </c>
    </row>
    <row r="1222" spans="1:10">
      <c r="A1222" t="s">
        <v>409</v>
      </c>
      <c r="B1222">
        <v>21</v>
      </c>
      <c r="C1222">
        <v>25</v>
      </c>
      <c r="F1222">
        <v>35211</v>
      </c>
      <c r="G1222">
        <v>21458</v>
      </c>
    </row>
    <row r="1223" spans="1:10">
      <c r="A1223" t="s">
        <v>409</v>
      </c>
      <c r="B1223">
        <v>21</v>
      </c>
      <c r="C1223">
        <v>26</v>
      </c>
      <c r="E1223">
        <v>5403819</v>
      </c>
      <c r="F1223">
        <v>150134</v>
      </c>
      <c r="G1223">
        <v>1734530</v>
      </c>
      <c r="H1223">
        <v>46000</v>
      </c>
      <c r="I1223">
        <v>2564000</v>
      </c>
      <c r="J1223">
        <v>13000</v>
      </c>
    </row>
    <row r="1224" spans="1:10">
      <c r="A1224" t="s">
        <v>409</v>
      </c>
      <c r="B1224">
        <v>21</v>
      </c>
      <c r="C1224">
        <v>27</v>
      </c>
      <c r="D1224">
        <v>45000</v>
      </c>
      <c r="E1224">
        <v>4885319</v>
      </c>
      <c r="F1224">
        <v>6395038</v>
      </c>
      <c r="G1224">
        <v>5161667</v>
      </c>
      <c r="H1224">
        <v>90500</v>
      </c>
      <c r="I1224">
        <v>1250000</v>
      </c>
      <c r="J1224">
        <v>17000</v>
      </c>
    </row>
    <row r="1225" spans="1:10">
      <c r="A1225" t="s">
        <v>409</v>
      </c>
      <c r="B1225">
        <v>21</v>
      </c>
      <c r="C1225">
        <v>29</v>
      </c>
      <c r="I1225">
        <v>200000</v>
      </c>
    </row>
    <row r="1226" spans="1:10">
      <c r="A1226" t="s">
        <v>409</v>
      </c>
      <c r="B1226">
        <v>21</v>
      </c>
      <c r="C1226">
        <v>31</v>
      </c>
      <c r="H1226">
        <v>5000</v>
      </c>
      <c r="I1226">
        <v>36000</v>
      </c>
      <c r="J1226">
        <v>14000</v>
      </c>
    </row>
    <row r="1227" spans="1:10">
      <c r="A1227" t="s">
        <v>409</v>
      </c>
      <c r="B1227">
        <v>21</v>
      </c>
      <c r="C1227">
        <v>32</v>
      </c>
      <c r="H1227">
        <v>10000</v>
      </c>
    </row>
    <row r="1228" spans="1:10">
      <c r="A1228" t="s">
        <v>409</v>
      </c>
      <c r="B1228">
        <v>21</v>
      </c>
      <c r="C1228">
        <v>33</v>
      </c>
      <c r="H1228">
        <v>90000</v>
      </c>
      <c r="I1228">
        <v>30000</v>
      </c>
    </row>
    <row r="1229" spans="1:10">
      <c r="A1229" t="s">
        <v>409</v>
      </c>
      <c r="B1229">
        <v>24</v>
      </c>
      <c r="C1229">
        <v>27</v>
      </c>
      <c r="E1229">
        <v>1130819</v>
      </c>
      <c r="F1229">
        <v>459857</v>
      </c>
      <c r="G1229">
        <v>619253</v>
      </c>
    </row>
    <row r="1230" spans="1:10">
      <c r="A1230" t="s">
        <v>179</v>
      </c>
      <c r="B1230">
        <v>21</v>
      </c>
      <c r="C1230">
        <v>21</v>
      </c>
      <c r="E1230">
        <v>445595</v>
      </c>
      <c r="F1230">
        <v>149677</v>
      </c>
      <c r="G1230">
        <v>168390</v>
      </c>
      <c r="H1230">
        <v>5000</v>
      </c>
      <c r="I1230">
        <v>52600</v>
      </c>
      <c r="J1230">
        <v>4000</v>
      </c>
    </row>
    <row r="1231" spans="1:10">
      <c r="A1231" t="s">
        <v>179</v>
      </c>
      <c r="B1231">
        <v>21</v>
      </c>
      <c r="C1231">
        <v>24</v>
      </c>
      <c r="E1231">
        <v>622742</v>
      </c>
      <c r="G1231">
        <v>204085</v>
      </c>
    </row>
    <row r="1232" spans="1:10">
      <c r="A1232" t="s">
        <v>179</v>
      </c>
      <c r="B1232">
        <v>21</v>
      </c>
      <c r="C1232">
        <v>26</v>
      </c>
      <c r="E1232">
        <v>3706922</v>
      </c>
      <c r="F1232">
        <v>90340</v>
      </c>
      <c r="G1232">
        <v>1222368</v>
      </c>
      <c r="H1232">
        <v>28750</v>
      </c>
      <c r="I1232">
        <v>1007000</v>
      </c>
      <c r="J1232">
        <v>5000</v>
      </c>
    </row>
    <row r="1233" spans="1:10">
      <c r="A1233" t="s">
        <v>179</v>
      </c>
      <c r="B1233">
        <v>21</v>
      </c>
      <c r="C1233">
        <v>27</v>
      </c>
      <c r="D1233">
        <v>15000</v>
      </c>
      <c r="E1233">
        <v>5960960</v>
      </c>
      <c r="F1233">
        <v>5802132</v>
      </c>
      <c r="G1233">
        <v>5721196</v>
      </c>
      <c r="H1233">
        <v>180250</v>
      </c>
      <c r="I1233">
        <v>403500</v>
      </c>
      <c r="J1233">
        <v>1000</v>
      </c>
    </row>
    <row r="1234" spans="1:10">
      <c r="A1234" t="s">
        <v>179</v>
      </c>
      <c r="B1234">
        <v>21</v>
      </c>
      <c r="C1234">
        <v>31</v>
      </c>
      <c r="E1234">
        <v>932281</v>
      </c>
      <c r="G1234">
        <v>277032</v>
      </c>
      <c r="H1234">
        <v>4000</v>
      </c>
      <c r="I1234">
        <v>16700</v>
      </c>
      <c r="J1234">
        <v>5000</v>
      </c>
    </row>
    <row r="1235" spans="1:10">
      <c r="A1235" t="s">
        <v>179</v>
      </c>
      <c r="B1235">
        <v>24</v>
      </c>
      <c r="C1235">
        <v>26</v>
      </c>
      <c r="E1235">
        <v>6186</v>
      </c>
      <c r="G1235">
        <v>1649</v>
      </c>
    </row>
    <row r="1236" spans="1:10">
      <c r="A1236" t="s">
        <v>179</v>
      </c>
      <c r="B1236">
        <v>24</v>
      </c>
      <c r="C1236">
        <v>27</v>
      </c>
      <c r="F1236">
        <v>31975</v>
      </c>
      <c r="G1236">
        <v>19022</v>
      </c>
      <c r="I1236">
        <v>1700000</v>
      </c>
    </row>
    <row r="1237" spans="1:10">
      <c r="A1237" t="s">
        <v>36</v>
      </c>
      <c r="B1237">
        <v>21</v>
      </c>
      <c r="C1237">
        <v>21</v>
      </c>
      <c r="D1237">
        <v>8300</v>
      </c>
      <c r="E1237">
        <v>1922904</v>
      </c>
      <c r="F1237">
        <v>254089</v>
      </c>
      <c r="G1237">
        <v>639708</v>
      </c>
      <c r="H1237">
        <v>21200</v>
      </c>
      <c r="I1237">
        <v>200000</v>
      </c>
      <c r="J1237">
        <v>26600</v>
      </c>
    </row>
    <row r="1238" spans="1:10">
      <c r="A1238" t="s">
        <v>36</v>
      </c>
      <c r="B1238">
        <v>21</v>
      </c>
      <c r="C1238">
        <v>24</v>
      </c>
      <c r="D1238">
        <v>500</v>
      </c>
      <c r="E1238">
        <v>86694</v>
      </c>
      <c r="F1238">
        <v>98832</v>
      </c>
      <c r="G1238">
        <v>63644</v>
      </c>
      <c r="H1238">
        <v>500</v>
      </c>
      <c r="I1238">
        <v>70</v>
      </c>
      <c r="J1238">
        <v>100</v>
      </c>
    </row>
    <row r="1239" spans="1:10">
      <c r="A1239" t="s">
        <v>36</v>
      </c>
      <c r="B1239">
        <v>21</v>
      </c>
      <c r="C1239">
        <v>25</v>
      </c>
      <c r="F1239">
        <v>1353429</v>
      </c>
      <c r="G1239">
        <v>471445</v>
      </c>
    </row>
    <row r="1240" spans="1:10">
      <c r="A1240" t="s">
        <v>36</v>
      </c>
      <c r="B1240">
        <v>21</v>
      </c>
      <c r="C1240">
        <v>26</v>
      </c>
      <c r="D1240">
        <v>850</v>
      </c>
      <c r="E1240">
        <v>4012072</v>
      </c>
      <c r="F1240">
        <v>881443</v>
      </c>
      <c r="G1240">
        <v>1574990</v>
      </c>
      <c r="H1240">
        <v>53500</v>
      </c>
      <c r="I1240">
        <v>3813400</v>
      </c>
      <c r="J1240">
        <v>9500</v>
      </c>
    </row>
    <row r="1241" spans="1:10">
      <c r="A1241" t="s">
        <v>36</v>
      </c>
      <c r="B1241">
        <v>21</v>
      </c>
      <c r="C1241">
        <v>27</v>
      </c>
      <c r="D1241">
        <v>78100</v>
      </c>
      <c r="E1241">
        <v>13148057</v>
      </c>
      <c r="F1241">
        <v>8349748</v>
      </c>
      <c r="G1241">
        <v>10141859</v>
      </c>
      <c r="H1241">
        <v>162674</v>
      </c>
      <c r="I1241">
        <v>2833964</v>
      </c>
      <c r="J1241">
        <v>26000</v>
      </c>
    </row>
    <row r="1242" spans="1:10">
      <c r="A1242" t="s">
        <v>36</v>
      </c>
      <c r="B1242">
        <v>21</v>
      </c>
      <c r="C1242">
        <v>29</v>
      </c>
      <c r="I1242">
        <v>2219300</v>
      </c>
    </row>
    <row r="1243" spans="1:10">
      <c r="A1243" t="s">
        <v>36</v>
      </c>
      <c r="B1243">
        <v>21</v>
      </c>
      <c r="C1243">
        <v>31</v>
      </c>
      <c r="E1243">
        <v>174307</v>
      </c>
      <c r="F1243">
        <v>35524</v>
      </c>
      <c r="G1243">
        <v>67570</v>
      </c>
      <c r="H1243">
        <v>3500</v>
      </c>
      <c r="I1243">
        <v>73000</v>
      </c>
      <c r="J1243">
        <v>31000</v>
      </c>
    </row>
    <row r="1244" spans="1:10">
      <c r="A1244" t="s">
        <v>36</v>
      </c>
      <c r="B1244">
        <v>21</v>
      </c>
      <c r="C1244">
        <v>34</v>
      </c>
      <c r="E1244">
        <v>246015</v>
      </c>
      <c r="G1244">
        <v>86992</v>
      </c>
    </row>
    <row r="1245" spans="1:10">
      <c r="A1245" t="s">
        <v>36</v>
      </c>
      <c r="B1245">
        <v>24</v>
      </c>
      <c r="C1245">
        <v>21</v>
      </c>
      <c r="F1245">
        <v>378724</v>
      </c>
      <c r="G1245">
        <v>130271</v>
      </c>
    </row>
    <row r="1246" spans="1:10">
      <c r="A1246" t="s">
        <v>36</v>
      </c>
      <c r="B1246">
        <v>24</v>
      </c>
      <c r="C1246">
        <v>24</v>
      </c>
      <c r="I1246">
        <v>102576</v>
      </c>
    </row>
    <row r="1247" spans="1:10">
      <c r="A1247" t="s">
        <v>36</v>
      </c>
      <c r="B1247">
        <v>24</v>
      </c>
      <c r="C1247">
        <v>26</v>
      </c>
      <c r="F1247">
        <v>103451</v>
      </c>
      <c r="G1247">
        <v>66072</v>
      </c>
    </row>
    <row r="1248" spans="1:10">
      <c r="A1248" t="s">
        <v>36</v>
      </c>
      <c r="B1248">
        <v>24</v>
      </c>
      <c r="C1248">
        <v>27</v>
      </c>
      <c r="E1248">
        <v>1013361</v>
      </c>
      <c r="F1248">
        <v>1299642</v>
      </c>
      <c r="G1248">
        <v>1129411</v>
      </c>
    </row>
    <row r="1249" spans="1:10">
      <c r="A1249" t="s">
        <v>36</v>
      </c>
      <c r="B1249">
        <v>24</v>
      </c>
      <c r="C1249">
        <v>29</v>
      </c>
      <c r="I1249">
        <v>250073</v>
      </c>
    </row>
    <row r="1250" spans="1:10">
      <c r="A1250" t="s">
        <v>145</v>
      </c>
      <c r="B1250">
        <v>21</v>
      </c>
      <c r="C1250">
        <v>21</v>
      </c>
      <c r="E1250">
        <v>157655</v>
      </c>
      <c r="F1250">
        <v>65445</v>
      </c>
      <c r="G1250">
        <v>68426</v>
      </c>
      <c r="H1250">
        <v>500</v>
      </c>
      <c r="I1250">
        <v>2700</v>
      </c>
      <c r="J1250">
        <v>3500</v>
      </c>
    </row>
    <row r="1251" spans="1:10">
      <c r="A1251" t="s">
        <v>145</v>
      </c>
      <c r="B1251">
        <v>21</v>
      </c>
      <c r="C1251">
        <v>25</v>
      </c>
      <c r="F1251">
        <v>42031</v>
      </c>
      <c r="G1251">
        <v>24545</v>
      </c>
      <c r="H1251">
        <v>150</v>
      </c>
    </row>
    <row r="1252" spans="1:10">
      <c r="A1252" t="s">
        <v>145</v>
      </c>
      <c r="B1252">
        <v>21</v>
      </c>
      <c r="C1252">
        <v>26</v>
      </c>
      <c r="E1252">
        <v>472457</v>
      </c>
      <c r="F1252">
        <v>55912</v>
      </c>
      <c r="G1252">
        <v>188664</v>
      </c>
      <c r="H1252">
        <v>600</v>
      </c>
      <c r="I1252">
        <v>3500</v>
      </c>
      <c r="J1252">
        <v>1200</v>
      </c>
    </row>
    <row r="1253" spans="1:10">
      <c r="A1253" t="s">
        <v>145</v>
      </c>
      <c r="B1253">
        <v>21</v>
      </c>
      <c r="C1253">
        <v>27</v>
      </c>
      <c r="D1253">
        <v>5850</v>
      </c>
      <c r="E1253">
        <v>1421700</v>
      </c>
      <c r="F1253">
        <v>1056959</v>
      </c>
      <c r="G1253">
        <v>1143381</v>
      </c>
      <c r="H1253">
        <v>12200</v>
      </c>
      <c r="I1253">
        <v>20600</v>
      </c>
    </row>
    <row r="1254" spans="1:10">
      <c r="A1254" t="s">
        <v>145</v>
      </c>
      <c r="B1254">
        <v>21</v>
      </c>
      <c r="C1254">
        <v>31</v>
      </c>
      <c r="H1254">
        <v>300</v>
      </c>
      <c r="I1254">
        <v>9000</v>
      </c>
    </row>
    <row r="1255" spans="1:10">
      <c r="A1255" t="s">
        <v>145</v>
      </c>
      <c r="B1255">
        <v>21</v>
      </c>
      <c r="C1255">
        <v>33</v>
      </c>
      <c r="H1255">
        <v>46000</v>
      </c>
      <c r="I1255">
        <v>8000</v>
      </c>
    </row>
    <row r="1256" spans="1:10">
      <c r="A1256" t="s">
        <v>145</v>
      </c>
      <c r="B1256">
        <v>21</v>
      </c>
      <c r="C1256">
        <v>34</v>
      </c>
      <c r="E1256">
        <v>25262</v>
      </c>
      <c r="G1256">
        <v>3431</v>
      </c>
    </row>
    <row r="1257" spans="1:10">
      <c r="A1257" t="s">
        <v>145</v>
      </c>
      <c r="B1257">
        <v>24</v>
      </c>
      <c r="C1257">
        <v>21</v>
      </c>
      <c r="J1257">
        <v>1000</v>
      </c>
    </row>
    <row r="1258" spans="1:10">
      <c r="A1258" t="s">
        <v>145</v>
      </c>
      <c r="B1258">
        <v>24</v>
      </c>
      <c r="C1258">
        <v>26</v>
      </c>
      <c r="E1258">
        <v>8670</v>
      </c>
      <c r="G1258">
        <v>3223</v>
      </c>
      <c r="I1258">
        <v>394099</v>
      </c>
    </row>
    <row r="1259" spans="1:10">
      <c r="A1259" t="s">
        <v>145</v>
      </c>
      <c r="B1259">
        <v>24</v>
      </c>
      <c r="C1259">
        <v>27</v>
      </c>
      <c r="E1259">
        <v>74977</v>
      </c>
      <c r="G1259">
        <v>30099</v>
      </c>
      <c r="H1259">
        <v>5000</v>
      </c>
    </row>
    <row r="1260" spans="1:10">
      <c r="A1260" t="s">
        <v>145</v>
      </c>
      <c r="B1260">
        <v>24</v>
      </c>
      <c r="C1260">
        <v>31</v>
      </c>
      <c r="I1260">
        <v>4000</v>
      </c>
    </row>
    <row r="1261" spans="1:10">
      <c r="A1261" t="s">
        <v>145</v>
      </c>
      <c r="B1261">
        <v>24</v>
      </c>
      <c r="C1261">
        <v>33</v>
      </c>
      <c r="H1261">
        <v>28000</v>
      </c>
    </row>
    <row r="1262" spans="1:10">
      <c r="A1262" t="s">
        <v>619</v>
      </c>
      <c r="B1262">
        <v>21</v>
      </c>
      <c r="C1262">
        <v>21</v>
      </c>
      <c r="D1262">
        <v>5000</v>
      </c>
      <c r="E1262">
        <v>247652</v>
      </c>
      <c r="F1262">
        <v>103168</v>
      </c>
      <c r="G1262">
        <v>92281</v>
      </c>
      <c r="H1262">
        <v>4000</v>
      </c>
      <c r="I1262">
        <v>1000</v>
      </c>
      <c r="J1262">
        <v>500</v>
      </c>
    </row>
    <row r="1263" spans="1:10">
      <c r="A1263" t="s">
        <v>619</v>
      </c>
      <c r="B1263">
        <v>21</v>
      </c>
      <c r="C1263">
        <v>24</v>
      </c>
      <c r="E1263">
        <v>67217</v>
      </c>
      <c r="G1263">
        <v>20745</v>
      </c>
    </row>
    <row r="1264" spans="1:10">
      <c r="A1264" t="s">
        <v>619</v>
      </c>
      <c r="B1264">
        <v>21</v>
      </c>
      <c r="C1264">
        <v>25</v>
      </c>
      <c r="F1264">
        <v>177275</v>
      </c>
      <c r="G1264">
        <v>161098</v>
      </c>
    </row>
    <row r="1265" spans="1:10">
      <c r="A1265" t="s">
        <v>619</v>
      </c>
      <c r="B1265">
        <v>21</v>
      </c>
      <c r="C1265">
        <v>26</v>
      </c>
      <c r="E1265">
        <v>1710956</v>
      </c>
      <c r="G1265">
        <v>589876</v>
      </c>
      <c r="H1265">
        <v>36000</v>
      </c>
      <c r="I1265">
        <v>79550</v>
      </c>
      <c r="J1265">
        <v>1500</v>
      </c>
    </row>
    <row r="1266" spans="1:10">
      <c r="A1266" t="s">
        <v>619</v>
      </c>
      <c r="B1266">
        <v>21</v>
      </c>
      <c r="C1266">
        <v>27</v>
      </c>
      <c r="D1266">
        <v>1800</v>
      </c>
      <c r="E1266">
        <v>2211062</v>
      </c>
      <c r="F1266">
        <v>2222392</v>
      </c>
      <c r="G1266">
        <v>1835342</v>
      </c>
      <c r="H1266">
        <v>31650</v>
      </c>
      <c r="I1266">
        <v>144000</v>
      </c>
    </row>
    <row r="1267" spans="1:10">
      <c r="A1267" t="s">
        <v>619</v>
      </c>
      <c r="B1267">
        <v>21</v>
      </c>
      <c r="C1267">
        <v>29</v>
      </c>
      <c r="I1267">
        <v>8500</v>
      </c>
    </row>
    <row r="1268" spans="1:10">
      <c r="A1268" t="s">
        <v>619</v>
      </c>
      <c r="B1268">
        <v>21</v>
      </c>
      <c r="C1268">
        <v>31</v>
      </c>
      <c r="E1268">
        <v>209526</v>
      </c>
      <c r="F1268">
        <v>15400</v>
      </c>
      <c r="G1268">
        <v>37022</v>
      </c>
      <c r="H1268">
        <v>5500</v>
      </c>
      <c r="I1268">
        <v>24000</v>
      </c>
      <c r="J1268">
        <v>1500</v>
      </c>
    </row>
    <row r="1269" spans="1:10">
      <c r="A1269" t="s">
        <v>619</v>
      </c>
      <c r="B1269">
        <v>21</v>
      </c>
      <c r="C1269">
        <v>33</v>
      </c>
      <c r="H1269">
        <v>37050</v>
      </c>
    </row>
    <row r="1270" spans="1:10">
      <c r="A1270" t="s">
        <v>619</v>
      </c>
      <c r="B1270">
        <v>21</v>
      </c>
      <c r="C1270">
        <v>34</v>
      </c>
      <c r="E1270">
        <v>93957</v>
      </c>
      <c r="G1270">
        <v>30908</v>
      </c>
    </row>
    <row r="1271" spans="1:10">
      <c r="A1271" t="s">
        <v>619</v>
      </c>
      <c r="B1271">
        <v>24</v>
      </c>
      <c r="C1271">
        <v>26</v>
      </c>
      <c r="E1271">
        <v>201431</v>
      </c>
      <c r="G1271">
        <v>79610</v>
      </c>
    </row>
    <row r="1272" spans="1:10">
      <c r="A1272" t="s">
        <v>619</v>
      </c>
      <c r="B1272">
        <v>24</v>
      </c>
      <c r="C1272">
        <v>27</v>
      </c>
      <c r="E1272">
        <v>433110</v>
      </c>
      <c r="G1272">
        <v>138596</v>
      </c>
    </row>
    <row r="1273" spans="1:10">
      <c r="A1273" t="s">
        <v>619</v>
      </c>
      <c r="B1273">
        <v>24</v>
      </c>
      <c r="C1273">
        <v>31</v>
      </c>
      <c r="E1273">
        <v>26093</v>
      </c>
      <c r="G1273">
        <v>4237</v>
      </c>
    </row>
    <row r="1274" spans="1:10">
      <c r="A1274" t="s">
        <v>619</v>
      </c>
      <c r="B1274">
        <v>26</v>
      </c>
      <c r="C1274">
        <v>27</v>
      </c>
      <c r="H1274">
        <v>1</v>
      </c>
    </row>
    <row r="1275" spans="1:10">
      <c r="A1275" t="s">
        <v>175</v>
      </c>
      <c r="B1275">
        <v>21</v>
      </c>
      <c r="C1275">
        <v>21</v>
      </c>
      <c r="E1275">
        <v>182408</v>
      </c>
      <c r="F1275">
        <v>82927</v>
      </c>
      <c r="G1275">
        <v>70156</v>
      </c>
      <c r="H1275">
        <v>2900</v>
      </c>
      <c r="I1275">
        <v>16000</v>
      </c>
    </row>
    <row r="1276" spans="1:10">
      <c r="A1276" t="s">
        <v>175</v>
      </c>
      <c r="B1276">
        <v>21</v>
      </c>
      <c r="C1276">
        <v>25</v>
      </c>
      <c r="F1276">
        <v>216053</v>
      </c>
      <c r="G1276">
        <v>155541</v>
      </c>
    </row>
    <row r="1277" spans="1:10">
      <c r="A1277" t="s">
        <v>175</v>
      </c>
      <c r="B1277">
        <v>21</v>
      </c>
      <c r="C1277">
        <v>26</v>
      </c>
      <c r="E1277">
        <v>1931217</v>
      </c>
      <c r="F1277">
        <v>59348</v>
      </c>
      <c r="G1277">
        <v>567920</v>
      </c>
      <c r="H1277">
        <v>81000</v>
      </c>
      <c r="I1277">
        <v>50100</v>
      </c>
      <c r="J1277">
        <v>250</v>
      </c>
    </row>
    <row r="1278" spans="1:10">
      <c r="A1278" t="s">
        <v>175</v>
      </c>
      <c r="B1278">
        <v>21</v>
      </c>
      <c r="C1278">
        <v>27</v>
      </c>
      <c r="D1278">
        <v>200</v>
      </c>
      <c r="E1278">
        <v>2970321</v>
      </c>
      <c r="F1278">
        <v>1690744</v>
      </c>
      <c r="G1278">
        <v>1809805</v>
      </c>
      <c r="H1278">
        <v>153000</v>
      </c>
      <c r="I1278">
        <v>619600</v>
      </c>
    </row>
    <row r="1279" spans="1:10">
      <c r="A1279" t="s">
        <v>175</v>
      </c>
      <c r="B1279">
        <v>21</v>
      </c>
      <c r="C1279">
        <v>29</v>
      </c>
      <c r="I1279">
        <v>225000</v>
      </c>
    </row>
    <row r="1280" spans="1:10">
      <c r="A1280" t="s">
        <v>175</v>
      </c>
      <c r="B1280">
        <v>21</v>
      </c>
      <c r="C1280">
        <v>31</v>
      </c>
      <c r="E1280">
        <v>5005</v>
      </c>
      <c r="F1280">
        <v>4005</v>
      </c>
      <c r="G1280">
        <v>1991</v>
      </c>
      <c r="H1280">
        <v>700</v>
      </c>
      <c r="I1280">
        <v>5500</v>
      </c>
      <c r="J1280">
        <v>1000</v>
      </c>
    </row>
    <row r="1281" spans="1:10">
      <c r="A1281" t="s">
        <v>175</v>
      </c>
      <c r="B1281">
        <v>21</v>
      </c>
      <c r="C1281">
        <v>33</v>
      </c>
      <c r="H1281">
        <v>20000</v>
      </c>
    </row>
    <row r="1282" spans="1:10">
      <c r="A1282" t="s">
        <v>175</v>
      </c>
      <c r="B1282">
        <v>24</v>
      </c>
      <c r="C1282">
        <v>27</v>
      </c>
      <c r="E1282">
        <v>264077</v>
      </c>
      <c r="F1282">
        <v>266882</v>
      </c>
      <c r="G1282">
        <v>240301</v>
      </c>
      <c r="H1282">
        <v>4500</v>
      </c>
      <c r="I1282">
        <v>21715</v>
      </c>
    </row>
    <row r="1283" spans="1:10">
      <c r="A1283" t="s">
        <v>217</v>
      </c>
      <c r="B1283">
        <v>21</v>
      </c>
      <c r="C1283">
        <v>26</v>
      </c>
      <c r="I1283">
        <v>169859</v>
      </c>
    </row>
    <row r="1284" spans="1:10">
      <c r="A1284" t="s">
        <v>217</v>
      </c>
      <c r="B1284">
        <v>21</v>
      </c>
      <c r="C1284">
        <v>27</v>
      </c>
      <c r="E1284">
        <v>268108</v>
      </c>
      <c r="F1284">
        <v>184338</v>
      </c>
      <c r="G1284">
        <v>191814</v>
      </c>
    </row>
    <row r="1285" spans="1:10">
      <c r="A1285" t="s">
        <v>217</v>
      </c>
      <c r="B1285">
        <v>24</v>
      </c>
      <c r="C1285">
        <v>26</v>
      </c>
      <c r="I1285">
        <v>60529</v>
      </c>
    </row>
    <row r="1286" spans="1:10">
      <c r="A1286" t="s">
        <v>489</v>
      </c>
      <c r="B1286">
        <v>21</v>
      </c>
      <c r="C1286">
        <v>26</v>
      </c>
      <c r="I1286">
        <v>3500</v>
      </c>
    </row>
    <row r="1287" spans="1:10">
      <c r="A1287" t="s">
        <v>383</v>
      </c>
      <c r="B1287">
        <v>21</v>
      </c>
      <c r="C1287">
        <v>21</v>
      </c>
      <c r="E1287">
        <v>106515</v>
      </c>
      <c r="G1287">
        <v>28478</v>
      </c>
    </row>
    <row r="1288" spans="1:10">
      <c r="A1288" t="s">
        <v>383</v>
      </c>
      <c r="B1288">
        <v>21</v>
      </c>
      <c r="C1288">
        <v>26</v>
      </c>
      <c r="E1288">
        <v>126488</v>
      </c>
      <c r="F1288">
        <v>14651</v>
      </c>
      <c r="G1288">
        <v>40430</v>
      </c>
      <c r="H1288">
        <v>4000</v>
      </c>
      <c r="I1288">
        <v>300000</v>
      </c>
    </row>
    <row r="1289" spans="1:10">
      <c r="A1289" t="s">
        <v>383</v>
      </c>
      <c r="B1289">
        <v>21</v>
      </c>
      <c r="C1289">
        <v>27</v>
      </c>
      <c r="E1289">
        <v>594158</v>
      </c>
      <c r="F1289">
        <v>659077</v>
      </c>
      <c r="G1289">
        <v>508284</v>
      </c>
      <c r="H1289">
        <v>10000</v>
      </c>
      <c r="I1289">
        <v>8000</v>
      </c>
    </row>
    <row r="1290" spans="1:10">
      <c r="A1290" t="s">
        <v>383</v>
      </c>
      <c r="B1290">
        <v>21</v>
      </c>
      <c r="C1290">
        <v>31</v>
      </c>
      <c r="E1290">
        <v>9017</v>
      </c>
      <c r="G1290">
        <v>2935</v>
      </c>
      <c r="I1290">
        <v>3000</v>
      </c>
      <c r="J1290">
        <v>1000</v>
      </c>
    </row>
    <row r="1291" spans="1:10">
      <c r="A1291" t="s">
        <v>383</v>
      </c>
      <c r="B1291">
        <v>24</v>
      </c>
      <c r="C1291">
        <v>27</v>
      </c>
      <c r="E1291">
        <v>119830</v>
      </c>
      <c r="G1291">
        <v>37389</v>
      </c>
    </row>
    <row r="1292" spans="1:10">
      <c r="A1292" t="s">
        <v>383</v>
      </c>
      <c r="B1292">
        <v>24</v>
      </c>
      <c r="C1292">
        <v>31</v>
      </c>
      <c r="E1292">
        <v>1925</v>
      </c>
      <c r="G1292">
        <v>598</v>
      </c>
    </row>
    <row r="1293" spans="1:10">
      <c r="A1293" t="s">
        <v>277</v>
      </c>
      <c r="B1293">
        <v>21</v>
      </c>
      <c r="C1293">
        <v>21</v>
      </c>
      <c r="E1293">
        <v>26042</v>
      </c>
      <c r="G1293">
        <v>4160</v>
      </c>
    </row>
    <row r="1294" spans="1:10">
      <c r="A1294" t="s">
        <v>277</v>
      </c>
      <c r="B1294">
        <v>21</v>
      </c>
      <c r="C1294">
        <v>26</v>
      </c>
      <c r="H1294">
        <v>2000</v>
      </c>
      <c r="I1294">
        <v>238553</v>
      </c>
    </row>
    <row r="1295" spans="1:10">
      <c r="A1295" t="s">
        <v>277</v>
      </c>
      <c r="B1295">
        <v>21</v>
      </c>
      <c r="C1295">
        <v>27</v>
      </c>
      <c r="E1295">
        <v>238310</v>
      </c>
      <c r="F1295">
        <v>177378</v>
      </c>
      <c r="G1295">
        <v>169903</v>
      </c>
      <c r="H1295">
        <v>7000</v>
      </c>
      <c r="I1295">
        <v>3000</v>
      </c>
    </row>
    <row r="1296" spans="1:10">
      <c r="A1296" t="s">
        <v>277</v>
      </c>
      <c r="B1296">
        <v>21</v>
      </c>
      <c r="C1296">
        <v>31</v>
      </c>
      <c r="E1296">
        <v>995</v>
      </c>
      <c r="G1296">
        <v>300</v>
      </c>
    </row>
    <row r="1297" spans="1:10">
      <c r="A1297" t="s">
        <v>277</v>
      </c>
      <c r="B1297">
        <v>21</v>
      </c>
      <c r="C1297">
        <v>34</v>
      </c>
      <c r="E1297">
        <v>2986</v>
      </c>
      <c r="G1297">
        <v>898</v>
      </c>
    </row>
    <row r="1298" spans="1:10">
      <c r="A1298" t="s">
        <v>277</v>
      </c>
      <c r="B1298">
        <v>24</v>
      </c>
      <c r="C1298">
        <v>26</v>
      </c>
      <c r="E1298">
        <v>68820</v>
      </c>
      <c r="G1298">
        <v>26197</v>
      </c>
    </row>
    <row r="1299" spans="1:10">
      <c r="A1299" t="s">
        <v>475</v>
      </c>
      <c r="B1299">
        <v>21</v>
      </c>
      <c r="C1299">
        <v>21</v>
      </c>
      <c r="E1299">
        <v>174514</v>
      </c>
      <c r="F1299">
        <v>8585</v>
      </c>
      <c r="G1299">
        <v>45507</v>
      </c>
      <c r="H1299">
        <v>500</v>
      </c>
    </row>
    <row r="1300" spans="1:10">
      <c r="A1300" t="s">
        <v>475</v>
      </c>
      <c r="B1300">
        <v>21</v>
      </c>
      <c r="C1300">
        <v>26</v>
      </c>
      <c r="E1300">
        <v>312289</v>
      </c>
      <c r="G1300">
        <v>96864</v>
      </c>
      <c r="H1300">
        <v>4000</v>
      </c>
      <c r="I1300">
        <v>70100</v>
      </c>
    </row>
    <row r="1301" spans="1:10">
      <c r="A1301" t="s">
        <v>475</v>
      </c>
      <c r="B1301">
        <v>21</v>
      </c>
      <c r="C1301">
        <v>27</v>
      </c>
      <c r="E1301">
        <v>497797</v>
      </c>
      <c r="F1301">
        <v>727139</v>
      </c>
      <c r="G1301">
        <v>569583</v>
      </c>
      <c r="H1301">
        <v>3000</v>
      </c>
      <c r="I1301">
        <v>21700</v>
      </c>
    </row>
    <row r="1302" spans="1:10">
      <c r="A1302" t="s">
        <v>475</v>
      </c>
      <c r="B1302">
        <v>21</v>
      </c>
      <c r="C1302">
        <v>31</v>
      </c>
      <c r="E1302">
        <v>25558</v>
      </c>
      <c r="G1302">
        <v>4254</v>
      </c>
      <c r="H1302">
        <v>1500</v>
      </c>
      <c r="J1302">
        <v>1500</v>
      </c>
    </row>
    <row r="1303" spans="1:10">
      <c r="A1303" t="s">
        <v>475</v>
      </c>
      <c r="B1303">
        <v>21</v>
      </c>
      <c r="C1303">
        <v>34</v>
      </c>
      <c r="E1303">
        <v>5456</v>
      </c>
      <c r="G1303">
        <v>873</v>
      </c>
    </row>
    <row r="1304" spans="1:10">
      <c r="A1304" t="s">
        <v>475</v>
      </c>
      <c r="B1304">
        <v>24</v>
      </c>
      <c r="C1304">
        <v>27</v>
      </c>
      <c r="E1304">
        <v>199409</v>
      </c>
      <c r="G1304">
        <v>63254</v>
      </c>
    </row>
    <row r="1305" spans="1:10">
      <c r="A1305" t="s">
        <v>475</v>
      </c>
      <c r="B1305">
        <v>24</v>
      </c>
      <c r="C1305">
        <v>31</v>
      </c>
      <c r="E1305">
        <v>1507</v>
      </c>
    </row>
    <row r="1306" spans="1:10">
      <c r="A1306" t="s">
        <v>105</v>
      </c>
      <c r="B1306">
        <v>21</v>
      </c>
      <c r="C1306">
        <v>21</v>
      </c>
      <c r="E1306">
        <v>72616</v>
      </c>
      <c r="F1306">
        <v>25465</v>
      </c>
      <c r="G1306">
        <v>29270</v>
      </c>
    </row>
    <row r="1307" spans="1:10">
      <c r="A1307" t="s">
        <v>105</v>
      </c>
      <c r="B1307">
        <v>21</v>
      </c>
      <c r="C1307">
        <v>25</v>
      </c>
      <c r="H1307">
        <v>500</v>
      </c>
    </row>
    <row r="1308" spans="1:10">
      <c r="A1308" t="s">
        <v>105</v>
      </c>
      <c r="B1308">
        <v>21</v>
      </c>
      <c r="C1308">
        <v>26</v>
      </c>
      <c r="I1308">
        <v>450000</v>
      </c>
    </row>
    <row r="1309" spans="1:10">
      <c r="A1309" t="s">
        <v>105</v>
      </c>
      <c r="B1309">
        <v>21</v>
      </c>
      <c r="C1309">
        <v>27</v>
      </c>
      <c r="D1309">
        <v>1000</v>
      </c>
      <c r="E1309">
        <v>457990</v>
      </c>
      <c r="F1309">
        <v>487007</v>
      </c>
      <c r="G1309">
        <v>429226</v>
      </c>
      <c r="H1309">
        <v>3000</v>
      </c>
      <c r="I1309">
        <v>33000</v>
      </c>
    </row>
    <row r="1310" spans="1:10">
      <c r="A1310" t="s">
        <v>105</v>
      </c>
      <c r="B1310">
        <v>21</v>
      </c>
      <c r="C1310">
        <v>31</v>
      </c>
      <c r="E1310">
        <v>1332</v>
      </c>
      <c r="F1310">
        <v>4741</v>
      </c>
      <c r="G1310">
        <v>502</v>
      </c>
    </row>
    <row r="1311" spans="1:10">
      <c r="A1311" t="s">
        <v>105</v>
      </c>
      <c r="B1311">
        <v>21</v>
      </c>
      <c r="C1311">
        <v>33</v>
      </c>
      <c r="H1311">
        <v>2000</v>
      </c>
    </row>
    <row r="1312" spans="1:10">
      <c r="A1312" t="s">
        <v>105</v>
      </c>
      <c r="B1312">
        <v>21</v>
      </c>
      <c r="C1312">
        <v>34</v>
      </c>
      <c r="E1312">
        <v>6210</v>
      </c>
      <c r="G1312">
        <v>993</v>
      </c>
    </row>
    <row r="1313" spans="1:10">
      <c r="A1313" t="s">
        <v>105</v>
      </c>
      <c r="B1313">
        <v>24</v>
      </c>
      <c r="C1313">
        <v>26</v>
      </c>
      <c r="I1313">
        <v>149438</v>
      </c>
    </row>
    <row r="1314" spans="1:10">
      <c r="A1314" t="s">
        <v>55</v>
      </c>
      <c r="B1314">
        <v>21</v>
      </c>
      <c r="C1314">
        <v>21</v>
      </c>
      <c r="E1314">
        <v>176245</v>
      </c>
      <c r="F1314">
        <v>110701</v>
      </c>
      <c r="G1314">
        <v>90809</v>
      </c>
    </row>
    <row r="1315" spans="1:10">
      <c r="A1315" t="s">
        <v>55</v>
      </c>
      <c r="B1315">
        <v>21</v>
      </c>
      <c r="C1315">
        <v>26</v>
      </c>
      <c r="E1315">
        <v>1355010</v>
      </c>
      <c r="F1315">
        <v>47368</v>
      </c>
      <c r="G1315">
        <v>430007</v>
      </c>
    </row>
    <row r="1316" spans="1:10">
      <c r="A1316" t="s">
        <v>55</v>
      </c>
      <c r="B1316">
        <v>21</v>
      </c>
      <c r="C1316">
        <v>27</v>
      </c>
      <c r="E1316">
        <v>3113587</v>
      </c>
      <c r="F1316">
        <v>2211902</v>
      </c>
      <c r="G1316">
        <v>2287263</v>
      </c>
      <c r="I1316">
        <v>600000</v>
      </c>
    </row>
    <row r="1317" spans="1:10">
      <c r="A1317" t="s">
        <v>55</v>
      </c>
      <c r="B1317">
        <v>21</v>
      </c>
      <c r="C1317">
        <v>31</v>
      </c>
      <c r="E1317">
        <v>242179</v>
      </c>
      <c r="G1317">
        <v>39153</v>
      </c>
    </row>
    <row r="1318" spans="1:10">
      <c r="A1318" t="s">
        <v>55</v>
      </c>
      <c r="B1318">
        <v>21</v>
      </c>
      <c r="C1318">
        <v>34</v>
      </c>
      <c r="E1318">
        <v>65928</v>
      </c>
      <c r="G1318">
        <v>10710</v>
      </c>
    </row>
    <row r="1319" spans="1:10">
      <c r="A1319" t="s">
        <v>55</v>
      </c>
      <c r="B1319">
        <v>24</v>
      </c>
      <c r="C1319">
        <v>26</v>
      </c>
      <c r="E1319">
        <v>550267</v>
      </c>
      <c r="G1319">
        <v>173771</v>
      </c>
    </row>
    <row r="1320" spans="1:10">
      <c r="A1320" t="s">
        <v>55</v>
      </c>
      <c r="B1320">
        <v>24</v>
      </c>
      <c r="C1320">
        <v>27</v>
      </c>
      <c r="I1320">
        <v>2700</v>
      </c>
    </row>
    <row r="1321" spans="1:10">
      <c r="A1321" t="s">
        <v>55</v>
      </c>
      <c r="B1321">
        <v>24</v>
      </c>
      <c r="C1321">
        <v>31</v>
      </c>
      <c r="E1321">
        <v>48412</v>
      </c>
      <c r="G1321">
        <v>7858</v>
      </c>
    </row>
    <row r="1322" spans="1:10">
      <c r="A1322" t="s">
        <v>481</v>
      </c>
      <c r="B1322">
        <v>21</v>
      </c>
      <c r="C1322">
        <v>21</v>
      </c>
      <c r="E1322">
        <v>122375</v>
      </c>
      <c r="F1322">
        <v>267092</v>
      </c>
      <c r="G1322">
        <v>124016</v>
      </c>
      <c r="H1322">
        <v>7500</v>
      </c>
      <c r="I1322">
        <v>3200</v>
      </c>
      <c r="J1322">
        <v>1500</v>
      </c>
    </row>
    <row r="1323" spans="1:10">
      <c r="A1323" t="s">
        <v>481</v>
      </c>
      <c r="B1323">
        <v>21</v>
      </c>
      <c r="C1323">
        <v>23</v>
      </c>
      <c r="E1323">
        <v>22791</v>
      </c>
      <c r="G1323">
        <v>5607</v>
      </c>
    </row>
    <row r="1324" spans="1:10">
      <c r="A1324" t="s">
        <v>481</v>
      </c>
      <c r="B1324">
        <v>21</v>
      </c>
      <c r="C1324">
        <v>24</v>
      </c>
      <c r="E1324">
        <v>27387</v>
      </c>
      <c r="G1324">
        <v>7600</v>
      </c>
    </row>
    <row r="1325" spans="1:10">
      <c r="A1325" t="s">
        <v>481</v>
      </c>
      <c r="B1325">
        <v>21</v>
      </c>
      <c r="C1325">
        <v>25</v>
      </c>
      <c r="F1325">
        <v>259201</v>
      </c>
      <c r="G1325">
        <v>148409</v>
      </c>
      <c r="H1325">
        <v>10000</v>
      </c>
    </row>
    <row r="1326" spans="1:10">
      <c r="A1326" t="s">
        <v>481</v>
      </c>
      <c r="B1326">
        <v>21</v>
      </c>
      <c r="C1326">
        <v>26</v>
      </c>
      <c r="E1326">
        <v>2665353</v>
      </c>
      <c r="F1326">
        <v>285335</v>
      </c>
      <c r="G1326">
        <v>920800</v>
      </c>
      <c r="H1326">
        <v>49860</v>
      </c>
      <c r="I1326">
        <v>34435</v>
      </c>
      <c r="J1326">
        <v>9400</v>
      </c>
    </row>
    <row r="1327" spans="1:10">
      <c r="A1327" t="s">
        <v>481</v>
      </c>
      <c r="B1327">
        <v>21</v>
      </c>
      <c r="C1327">
        <v>27</v>
      </c>
      <c r="E1327">
        <v>3167588</v>
      </c>
      <c r="F1327">
        <v>4472159</v>
      </c>
      <c r="G1327">
        <v>3358048</v>
      </c>
      <c r="H1327">
        <v>29100</v>
      </c>
      <c r="I1327">
        <v>998132</v>
      </c>
      <c r="J1327">
        <v>4500</v>
      </c>
    </row>
    <row r="1328" spans="1:10">
      <c r="A1328" t="s">
        <v>481</v>
      </c>
      <c r="B1328">
        <v>21</v>
      </c>
      <c r="C1328">
        <v>31</v>
      </c>
      <c r="E1328">
        <v>105409</v>
      </c>
      <c r="G1328">
        <v>7472</v>
      </c>
    </row>
    <row r="1329" spans="1:10">
      <c r="A1329" t="s">
        <v>481</v>
      </c>
      <c r="B1329">
        <v>21</v>
      </c>
      <c r="C1329">
        <v>34</v>
      </c>
      <c r="E1329">
        <v>101959</v>
      </c>
      <c r="G1329">
        <v>16207</v>
      </c>
    </row>
    <row r="1330" spans="1:10">
      <c r="A1330" t="s">
        <v>481</v>
      </c>
      <c r="B1330">
        <v>24</v>
      </c>
      <c r="C1330">
        <v>27</v>
      </c>
      <c r="E1330">
        <v>751667</v>
      </c>
      <c r="G1330">
        <v>221726</v>
      </c>
    </row>
    <row r="1331" spans="1:10">
      <c r="A1331" t="s">
        <v>481</v>
      </c>
      <c r="B1331">
        <v>24</v>
      </c>
      <c r="C1331">
        <v>31</v>
      </c>
      <c r="E1331">
        <v>1040</v>
      </c>
      <c r="F1331">
        <v>407</v>
      </c>
      <c r="G1331">
        <v>224</v>
      </c>
    </row>
    <row r="1332" spans="1:10">
      <c r="A1332" t="s">
        <v>14</v>
      </c>
      <c r="B1332">
        <v>21</v>
      </c>
      <c r="C1332">
        <v>21</v>
      </c>
      <c r="D1332">
        <v>2200</v>
      </c>
      <c r="E1332">
        <v>192683</v>
      </c>
      <c r="F1332">
        <v>121928</v>
      </c>
      <c r="G1332">
        <v>89482</v>
      </c>
      <c r="H1332">
        <v>300</v>
      </c>
      <c r="I1332">
        <v>7500</v>
      </c>
      <c r="J1332">
        <v>200</v>
      </c>
    </row>
    <row r="1333" spans="1:10">
      <c r="A1333" t="s">
        <v>14</v>
      </c>
      <c r="B1333">
        <v>21</v>
      </c>
      <c r="C1333">
        <v>26</v>
      </c>
      <c r="E1333">
        <v>1111000</v>
      </c>
      <c r="G1333">
        <v>381902</v>
      </c>
      <c r="H1333">
        <v>6500</v>
      </c>
      <c r="I1333">
        <v>109000</v>
      </c>
      <c r="J1333">
        <v>450</v>
      </c>
    </row>
    <row r="1334" spans="1:10">
      <c r="A1334" t="s">
        <v>14</v>
      </c>
      <c r="B1334">
        <v>21</v>
      </c>
      <c r="C1334">
        <v>27</v>
      </c>
      <c r="D1334">
        <v>300</v>
      </c>
      <c r="E1334">
        <v>1800836</v>
      </c>
      <c r="F1334">
        <v>1137676</v>
      </c>
      <c r="G1334">
        <v>1151522</v>
      </c>
      <c r="H1334">
        <v>1500</v>
      </c>
      <c r="I1334">
        <v>313145</v>
      </c>
      <c r="J1334">
        <v>200</v>
      </c>
    </row>
    <row r="1335" spans="1:10">
      <c r="A1335" t="s">
        <v>14</v>
      </c>
      <c r="B1335">
        <v>21</v>
      </c>
      <c r="C1335">
        <v>34</v>
      </c>
      <c r="E1335">
        <v>45832</v>
      </c>
      <c r="G1335">
        <v>7366</v>
      </c>
    </row>
    <row r="1336" spans="1:10">
      <c r="A1336" t="s">
        <v>14</v>
      </c>
      <c r="B1336">
        <v>24</v>
      </c>
      <c r="C1336">
        <v>27</v>
      </c>
      <c r="E1336">
        <v>124219</v>
      </c>
      <c r="F1336">
        <v>266375</v>
      </c>
      <c r="G1336">
        <v>209403</v>
      </c>
    </row>
    <row r="1337" spans="1:10">
      <c r="A1337" t="s">
        <v>253</v>
      </c>
      <c r="B1337">
        <v>21</v>
      </c>
      <c r="C1337">
        <v>21</v>
      </c>
      <c r="E1337">
        <v>71750</v>
      </c>
      <c r="F1337">
        <v>14455</v>
      </c>
      <c r="G1337">
        <v>39518</v>
      </c>
      <c r="I1337">
        <v>225000</v>
      </c>
    </row>
    <row r="1338" spans="1:10">
      <c r="A1338" t="s">
        <v>253</v>
      </c>
      <c r="B1338">
        <v>21</v>
      </c>
      <c r="C1338">
        <v>26</v>
      </c>
      <c r="E1338">
        <v>76796</v>
      </c>
      <c r="F1338">
        <v>67901</v>
      </c>
      <c r="G1338">
        <v>58725</v>
      </c>
      <c r="I1338">
        <v>61500</v>
      </c>
    </row>
    <row r="1339" spans="1:10">
      <c r="A1339" t="s">
        <v>253</v>
      </c>
      <c r="B1339">
        <v>21</v>
      </c>
      <c r="C1339">
        <v>27</v>
      </c>
      <c r="E1339">
        <v>382895</v>
      </c>
      <c r="F1339">
        <v>301883</v>
      </c>
      <c r="G1339">
        <v>327864</v>
      </c>
      <c r="I1339">
        <v>99000</v>
      </c>
    </row>
    <row r="1340" spans="1:10">
      <c r="A1340" t="s">
        <v>253</v>
      </c>
      <c r="B1340">
        <v>21</v>
      </c>
      <c r="C1340">
        <v>29</v>
      </c>
      <c r="I1340">
        <v>4500</v>
      </c>
    </row>
    <row r="1341" spans="1:10">
      <c r="A1341" t="s">
        <v>253</v>
      </c>
      <c r="B1341">
        <v>21</v>
      </c>
      <c r="C1341">
        <v>31</v>
      </c>
      <c r="E1341">
        <v>7041</v>
      </c>
      <c r="G1341">
        <v>1521</v>
      </c>
      <c r="I1341">
        <v>3000</v>
      </c>
      <c r="J1341">
        <v>500</v>
      </c>
    </row>
    <row r="1342" spans="1:10">
      <c r="A1342" t="s">
        <v>253</v>
      </c>
      <c r="B1342">
        <v>21</v>
      </c>
      <c r="C1342">
        <v>32</v>
      </c>
      <c r="H1342">
        <v>1200</v>
      </c>
    </row>
    <row r="1343" spans="1:10">
      <c r="A1343" t="s">
        <v>253</v>
      </c>
      <c r="B1343">
        <v>21</v>
      </c>
      <c r="C1343">
        <v>33</v>
      </c>
      <c r="H1343">
        <v>2000</v>
      </c>
    </row>
    <row r="1344" spans="1:10">
      <c r="A1344" t="s">
        <v>253</v>
      </c>
      <c r="B1344">
        <v>24</v>
      </c>
      <c r="C1344">
        <v>27</v>
      </c>
      <c r="E1344">
        <v>107238</v>
      </c>
      <c r="G1344">
        <v>34175</v>
      </c>
    </row>
    <row r="1345" spans="1:10">
      <c r="A1345" t="s">
        <v>253</v>
      </c>
      <c r="B1345">
        <v>24</v>
      </c>
      <c r="C1345">
        <v>31</v>
      </c>
      <c r="E1345">
        <v>2390</v>
      </c>
      <c r="G1345">
        <v>430</v>
      </c>
    </row>
    <row r="1346" spans="1:10">
      <c r="A1346" t="s">
        <v>253</v>
      </c>
      <c r="B1346">
        <v>29</v>
      </c>
      <c r="C1346">
        <v>27</v>
      </c>
      <c r="F1346">
        <v>70202</v>
      </c>
      <c r="G1346">
        <v>45376</v>
      </c>
    </row>
    <row r="1347" spans="1:10">
      <c r="A1347" t="s">
        <v>107</v>
      </c>
      <c r="B1347">
        <v>21</v>
      </c>
      <c r="C1347">
        <v>21</v>
      </c>
      <c r="F1347">
        <v>9038</v>
      </c>
      <c r="G1347">
        <v>3111</v>
      </c>
    </row>
    <row r="1348" spans="1:10">
      <c r="A1348" t="s">
        <v>107</v>
      </c>
      <c r="B1348">
        <v>21</v>
      </c>
      <c r="C1348">
        <v>26</v>
      </c>
      <c r="E1348">
        <v>88106</v>
      </c>
      <c r="G1348">
        <v>21611</v>
      </c>
      <c r="H1348">
        <v>1000</v>
      </c>
      <c r="I1348">
        <v>33000</v>
      </c>
    </row>
    <row r="1349" spans="1:10">
      <c r="A1349" t="s">
        <v>107</v>
      </c>
      <c r="B1349">
        <v>21</v>
      </c>
      <c r="C1349">
        <v>27</v>
      </c>
      <c r="E1349">
        <v>152431</v>
      </c>
      <c r="F1349">
        <v>123658</v>
      </c>
      <c r="G1349">
        <v>110086</v>
      </c>
      <c r="H1349">
        <v>4500</v>
      </c>
      <c r="I1349">
        <v>128000</v>
      </c>
    </row>
    <row r="1350" spans="1:10">
      <c r="A1350" t="s">
        <v>107</v>
      </c>
      <c r="B1350">
        <v>21</v>
      </c>
      <c r="C1350">
        <v>31</v>
      </c>
      <c r="E1350">
        <v>1471</v>
      </c>
      <c r="G1350">
        <v>243</v>
      </c>
    </row>
    <row r="1351" spans="1:10">
      <c r="A1351" t="s">
        <v>107</v>
      </c>
      <c r="B1351">
        <v>21</v>
      </c>
      <c r="C1351">
        <v>33</v>
      </c>
      <c r="H1351">
        <v>1500</v>
      </c>
    </row>
    <row r="1352" spans="1:10">
      <c r="A1352" t="s">
        <v>107</v>
      </c>
      <c r="B1352">
        <v>21</v>
      </c>
      <c r="C1352">
        <v>34</v>
      </c>
      <c r="E1352">
        <v>3189</v>
      </c>
      <c r="G1352">
        <v>710</v>
      </c>
    </row>
    <row r="1353" spans="1:10">
      <c r="A1353" t="s">
        <v>107</v>
      </c>
      <c r="B1353">
        <v>24</v>
      </c>
      <c r="C1353">
        <v>26</v>
      </c>
      <c r="I1353">
        <v>83273</v>
      </c>
    </row>
    <row r="1354" spans="1:10">
      <c r="A1354" t="s">
        <v>327</v>
      </c>
      <c r="B1354">
        <v>21</v>
      </c>
      <c r="C1354">
        <v>21</v>
      </c>
      <c r="E1354">
        <v>430549</v>
      </c>
      <c r="F1354">
        <v>351597</v>
      </c>
      <c r="G1354">
        <v>217700</v>
      </c>
      <c r="H1354">
        <v>10000</v>
      </c>
      <c r="I1354">
        <v>5000</v>
      </c>
    </row>
    <row r="1355" spans="1:10">
      <c r="A1355" t="s">
        <v>327</v>
      </c>
      <c r="B1355">
        <v>21</v>
      </c>
      <c r="C1355">
        <v>26</v>
      </c>
      <c r="E1355">
        <v>1566979</v>
      </c>
      <c r="F1355">
        <v>169480</v>
      </c>
      <c r="G1355">
        <v>572782</v>
      </c>
      <c r="H1355">
        <v>50000</v>
      </c>
      <c r="I1355">
        <v>296600</v>
      </c>
      <c r="J1355">
        <v>3000</v>
      </c>
    </row>
    <row r="1356" spans="1:10">
      <c r="A1356" t="s">
        <v>327</v>
      </c>
      <c r="B1356">
        <v>21</v>
      </c>
      <c r="C1356">
        <v>27</v>
      </c>
      <c r="D1356">
        <v>3000</v>
      </c>
      <c r="E1356">
        <v>4948660</v>
      </c>
      <c r="F1356">
        <v>4959377</v>
      </c>
      <c r="G1356">
        <v>4197120</v>
      </c>
      <c r="H1356">
        <v>111000</v>
      </c>
      <c r="I1356">
        <v>4596221</v>
      </c>
      <c r="J1356">
        <v>2000</v>
      </c>
    </row>
    <row r="1357" spans="1:10">
      <c r="A1357" t="s">
        <v>327</v>
      </c>
      <c r="B1357">
        <v>21</v>
      </c>
      <c r="C1357">
        <v>31</v>
      </c>
      <c r="E1357">
        <v>134265</v>
      </c>
      <c r="G1357">
        <v>21529</v>
      </c>
    </row>
    <row r="1358" spans="1:10">
      <c r="A1358" t="s">
        <v>327</v>
      </c>
      <c r="B1358">
        <v>24</v>
      </c>
      <c r="C1358">
        <v>26</v>
      </c>
      <c r="E1358">
        <v>1063663</v>
      </c>
      <c r="G1358">
        <v>274377</v>
      </c>
    </row>
    <row r="1359" spans="1:10">
      <c r="A1359" t="s">
        <v>327</v>
      </c>
      <c r="B1359">
        <v>24</v>
      </c>
      <c r="C1359">
        <v>27</v>
      </c>
      <c r="E1359">
        <v>124716</v>
      </c>
      <c r="G1359">
        <v>36992</v>
      </c>
      <c r="I1359">
        <v>56421</v>
      </c>
    </row>
    <row r="1360" spans="1:10">
      <c r="A1360" t="s">
        <v>495</v>
      </c>
      <c r="B1360">
        <v>21</v>
      </c>
      <c r="C1360">
        <v>29</v>
      </c>
      <c r="I1360">
        <v>149942</v>
      </c>
    </row>
    <row r="1361" spans="1:11">
      <c r="A1361" t="s">
        <v>325</v>
      </c>
      <c r="B1361">
        <v>21</v>
      </c>
      <c r="C1361">
        <v>27</v>
      </c>
      <c r="I1361">
        <v>164461</v>
      </c>
    </row>
    <row r="1362" spans="1:11">
      <c r="A1362" t="s">
        <v>309</v>
      </c>
      <c r="B1362">
        <v>21</v>
      </c>
      <c r="C1362">
        <v>27</v>
      </c>
      <c r="I1362">
        <v>81851</v>
      </c>
    </row>
    <row r="1363" spans="1:11">
      <c r="A1363" t="s">
        <v>531</v>
      </c>
      <c r="B1363">
        <v>21</v>
      </c>
      <c r="C1363">
        <v>27</v>
      </c>
      <c r="I1363">
        <v>1855359</v>
      </c>
    </row>
    <row r="1364" spans="1:11">
      <c r="A1364" t="s">
        <v>165</v>
      </c>
      <c r="B1364">
        <v>21</v>
      </c>
      <c r="C1364">
        <v>21</v>
      </c>
      <c r="E1364">
        <v>850505</v>
      </c>
      <c r="F1364">
        <v>434380</v>
      </c>
      <c r="G1364">
        <v>321968</v>
      </c>
      <c r="H1364">
        <v>4250</v>
      </c>
      <c r="I1364">
        <v>5400</v>
      </c>
      <c r="J1364">
        <v>1300</v>
      </c>
    </row>
    <row r="1365" spans="1:11">
      <c r="A1365" t="s">
        <v>165</v>
      </c>
      <c r="B1365">
        <v>21</v>
      </c>
      <c r="C1365">
        <v>25</v>
      </c>
      <c r="F1365">
        <v>115770</v>
      </c>
      <c r="G1365">
        <v>47155</v>
      </c>
    </row>
    <row r="1366" spans="1:11">
      <c r="A1366" t="s">
        <v>165</v>
      </c>
      <c r="B1366">
        <v>21</v>
      </c>
      <c r="C1366">
        <v>26</v>
      </c>
      <c r="D1366">
        <v>1000</v>
      </c>
      <c r="E1366">
        <v>10654414</v>
      </c>
      <c r="F1366">
        <v>718671</v>
      </c>
      <c r="G1366">
        <v>3272955</v>
      </c>
      <c r="H1366">
        <v>93170</v>
      </c>
      <c r="I1366">
        <v>1138880</v>
      </c>
      <c r="J1366">
        <v>5495</v>
      </c>
      <c r="K1366">
        <v>5000</v>
      </c>
    </row>
    <row r="1367" spans="1:11">
      <c r="A1367" t="s">
        <v>165</v>
      </c>
      <c r="B1367">
        <v>21</v>
      </c>
      <c r="C1367">
        <v>27</v>
      </c>
      <c r="D1367">
        <v>127400</v>
      </c>
      <c r="E1367">
        <v>18303641</v>
      </c>
      <c r="F1367">
        <v>11736245</v>
      </c>
      <c r="G1367">
        <v>11790866</v>
      </c>
      <c r="H1367">
        <v>50120</v>
      </c>
      <c r="I1367">
        <v>6714060</v>
      </c>
      <c r="J1367">
        <v>13800</v>
      </c>
      <c r="K1367">
        <v>5000</v>
      </c>
    </row>
    <row r="1368" spans="1:11">
      <c r="A1368" t="s">
        <v>165</v>
      </c>
      <c r="B1368">
        <v>21</v>
      </c>
      <c r="C1368">
        <v>29</v>
      </c>
      <c r="I1368">
        <v>1300000</v>
      </c>
    </row>
    <row r="1369" spans="1:11">
      <c r="A1369" t="s">
        <v>165</v>
      </c>
      <c r="B1369">
        <v>21</v>
      </c>
      <c r="C1369">
        <v>31</v>
      </c>
      <c r="E1369">
        <v>47700</v>
      </c>
      <c r="F1369">
        <v>34300</v>
      </c>
      <c r="G1369">
        <v>16100</v>
      </c>
      <c r="H1369">
        <v>3350</v>
      </c>
      <c r="I1369">
        <v>11700</v>
      </c>
      <c r="J1369">
        <v>70</v>
      </c>
    </row>
    <row r="1370" spans="1:11">
      <c r="A1370" t="s">
        <v>165</v>
      </c>
      <c r="B1370">
        <v>21</v>
      </c>
      <c r="C1370">
        <v>34</v>
      </c>
      <c r="E1370">
        <v>1231451</v>
      </c>
      <c r="G1370">
        <v>311185</v>
      </c>
    </row>
    <row r="1371" spans="1:11">
      <c r="A1371" t="s">
        <v>165</v>
      </c>
      <c r="B1371">
        <v>24</v>
      </c>
      <c r="C1371">
        <v>21</v>
      </c>
      <c r="F1371">
        <v>138480</v>
      </c>
      <c r="G1371">
        <v>53727</v>
      </c>
    </row>
    <row r="1372" spans="1:11">
      <c r="A1372" t="s">
        <v>165</v>
      </c>
      <c r="B1372">
        <v>24</v>
      </c>
      <c r="C1372">
        <v>24</v>
      </c>
      <c r="F1372">
        <v>48640</v>
      </c>
      <c r="G1372">
        <v>20347</v>
      </c>
    </row>
    <row r="1373" spans="1:11">
      <c r="A1373" t="s">
        <v>165</v>
      </c>
      <c r="B1373">
        <v>24</v>
      </c>
      <c r="C1373">
        <v>26</v>
      </c>
      <c r="E1373">
        <v>3042671</v>
      </c>
      <c r="G1373">
        <v>844717</v>
      </c>
      <c r="I1373">
        <v>64000</v>
      </c>
    </row>
    <row r="1374" spans="1:11">
      <c r="A1374" t="s">
        <v>165</v>
      </c>
      <c r="B1374">
        <v>24</v>
      </c>
      <c r="C1374">
        <v>27</v>
      </c>
      <c r="E1374">
        <v>170114</v>
      </c>
      <c r="G1374">
        <v>52415</v>
      </c>
      <c r="I1374">
        <v>375000</v>
      </c>
    </row>
    <row r="1375" spans="1:11">
      <c r="A1375" t="s">
        <v>165</v>
      </c>
      <c r="B1375">
        <v>24</v>
      </c>
      <c r="C1375">
        <v>29</v>
      </c>
      <c r="I1375">
        <v>25000</v>
      </c>
    </row>
    <row r="1376" spans="1:11">
      <c r="A1376" t="s">
        <v>165</v>
      </c>
      <c r="B1376">
        <v>24</v>
      </c>
      <c r="C1376">
        <v>31</v>
      </c>
      <c r="E1376">
        <v>20300</v>
      </c>
      <c r="F1376">
        <v>5900</v>
      </c>
      <c r="G1376">
        <v>6424</v>
      </c>
    </row>
    <row r="1377" spans="1:11">
      <c r="A1377" t="s">
        <v>261</v>
      </c>
      <c r="B1377">
        <v>21</v>
      </c>
      <c r="C1377">
        <v>21</v>
      </c>
      <c r="E1377">
        <v>421540</v>
      </c>
      <c r="F1377">
        <v>264454</v>
      </c>
      <c r="G1377">
        <v>200790</v>
      </c>
      <c r="H1377">
        <v>1525</v>
      </c>
      <c r="I1377">
        <v>8800</v>
      </c>
      <c r="J1377">
        <v>36300</v>
      </c>
    </row>
    <row r="1378" spans="1:11">
      <c r="A1378" t="s">
        <v>261</v>
      </c>
      <c r="B1378">
        <v>21</v>
      </c>
      <c r="C1378">
        <v>24</v>
      </c>
      <c r="F1378">
        <v>25349</v>
      </c>
      <c r="G1378">
        <v>11450</v>
      </c>
    </row>
    <row r="1379" spans="1:11">
      <c r="A1379" t="s">
        <v>261</v>
      </c>
      <c r="B1379">
        <v>21</v>
      </c>
      <c r="C1379">
        <v>26</v>
      </c>
      <c r="E1379">
        <v>5530312</v>
      </c>
      <c r="F1379">
        <v>443161</v>
      </c>
      <c r="G1379">
        <v>1838575</v>
      </c>
      <c r="H1379">
        <v>9500</v>
      </c>
      <c r="I1379">
        <v>1774450</v>
      </c>
      <c r="J1379">
        <v>1700</v>
      </c>
    </row>
    <row r="1380" spans="1:11">
      <c r="A1380" t="s">
        <v>261</v>
      </c>
      <c r="B1380">
        <v>21</v>
      </c>
      <c r="C1380">
        <v>27</v>
      </c>
      <c r="E1380">
        <v>9490873</v>
      </c>
      <c r="F1380">
        <v>5139128</v>
      </c>
      <c r="G1380">
        <v>5837940</v>
      </c>
      <c r="H1380">
        <v>54550</v>
      </c>
      <c r="I1380">
        <v>3512400</v>
      </c>
      <c r="J1380">
        <v>4650</v>
      </c>
      <c r="K1380">
        <v>6000</v>
      </c>
    </row>
    <row r="1381" spans="1:11">
      <c r="A1381" t="s">
        <v>261</v>
      </c>
      <c r="B1381">
        <v>21</v>
      </c>
      <c r="C1381">
        <v>29</v>
      </c>
      <c r="I1381">
        <v>42300</v>
      </c>
    </row>
    <row r="1382" spans="1:11">
      <c r="A1382" t="s">
        <v>261</v>
      </c>
      <c r="B1382">
        <v>21</v>
      </c>
      <c r="C1382">
        <v>31</v>
      </c>
      <c r="E1382">
        <v>138981</v>
      </c>
      <c r="G1382">
        <v>24012</v>
      </c>
      <c r="I1382">
        <v>24800</v>
      </c>
    </row>
    <row r="1383" spans="1:11">
      <c r="A1383" t="s">
        <v>261</v>
      </c>
      <c r="B1383">
        <v>21</v>
      </c>
      <c r="C1383">
        <v>32</v>
      </c>
      <c r="I1383">
        <v>8200</v>
      </c>
      <c r="K1383">
        <v>8000</v>
      </c>
    </row>
    <row r="1384" spans="1:11">
      <c r="A1384" t="s">
        <v>261</v>
      </c>
      <c r="B1384">
        <v>21</v>
      </c>
      <c r="C1384">
        <v>33</v>
      </c>
      <c r="H1384">
        <v>10000</v>
      </c>
      <c r="I1384">
        <v>27900</v>
      </c>
    </row>
    <row r="1385" spans="1:11">
      <c r="A1385" t="s">
        <v>261</v>
      </c>
      <c r="B1385">
        <v>21</v>
      </c>
      <c r="C1385">
        <v>34</v>
      </c>
      <c r="E1385">
        <v>215871</v>
      </c>
      <c r="G1385">
        <v>37302</v>
      </c>
    </row>
    <row r="1386" spans="1:11">
      <c r="A1386" t="s">
        <v>261</v>
      </c>
      <c r="B1386">
        <v>24</v>
      </c>
      <c r="C1386">
        <v>27</v>
      </c>
      <c r="F1386">
        <v>1171501</v>
      </c>
      <c r="G1386">
        <v>693183</v>
      </c>
      <c r="H1386">
        <v>30136</v>
      </c>
    </row>
    <row r="1387" spans="1:11">
      <c r="A1387" t="s">
        <v>329</v>
      </c>
      <c r="B1387">
        <v>21</v>
      </c>
      <c r="C1387">
        <v>21</v>
      </c>
      <c r="E1387">
        <v>505935</v>
      </c>
      <c r="F1387">
        <v>221990</v>
      </c>
      <c r="G1387">
        <v>183857</v>
      </c>
      <c r="H1387">
        <v>3500</v>
      </c>
      <c r="I1387">
        <v>13000</v>
      </c>
      <c r="J1387">
        <v>3000</v>
      </c>
    </row>
    <row r="1388" spans="1:11">
      <c r="A1388" t="s">
        <v>329</v>
      </c>
      <c r="B1388">
        <v>21</v>
      </c>
      <c r="C1388">
        <v>26</v>
      </c>
      <c r="D1388">
        <v>934</v>
      </c>
      <c r="E1388">
        <v>10169487</v>
      </c>
      <c r="F1388">
        <v>125854</v>
      </c>
      <c r="G1388">
        <v>2990506</v>
      </c>
      <c r="H1388">
        <v>78500</v>
      </c>
      <c r="I1388">
        <v>2000</v>
      </c>
      <c r="J1388">
        <v>5000</v>
      </c>
      <c r="K1388">
        <v>5200</v>
      </c>
    </row>
    <row r="1389" spans="1:11">
      <c r="A1389" t="s">
        <v>329</v>
      </c>
      <c r="B1389">
        <v>21</v>
      </c>
      <c r="C1389">
        <v>27</v>
      </c>
      <c r="D1389">
        <v>2582</v>
      </c>
      <c r="E1389">
        <v>14274746</v>
      </c>
      <c r="F1389">
        <v>15210601</v>
      </c>
      <c r="G1389">
        <v>11849879</v>
      </c>
      <c r="H1389">
        <v>69250</v>
      </c>
      <c r="I1389">
        <v>2565046</v>
      </c>
      <c r="J1389">
        <v>18300</v>
      </c>
    </row>
    <row r="1390" spans="1:11">
      <c r="A1390" t="s">
        <v>329</v>
      </c>
      <c r="B1390">
        <v>21</v>
      </c>
      <c r="C1390">
        <v>29</v>
      </c>
      <c r="I1390">
        <v>542214</v>
      </c>
    </row>
    <row r="1391" spans="1:11">
      <c r="A1391" t="s">
        <v>329</v>
      </c>
      <c r="B1391">
        <v>21</v>
      </c>
      <c r="C1391">
        <v>31</v>
      </c>
      <c r="E1391">
        <v>119109</v>
      </c>
      <c r="G1391">
        <v>35616</v>
      </c>
    </row>
    <row r="1392" spans="1:11">
      <c r="A1392" t="s">
        <v>329</v>
      </c>
      <c r="B1392">
        <v>21</v>
      </c>
      <c r="C1392">
        <v>34</v>
      </c>
      <c r="E1392">
        <v>335935</v>
      </c>
      <c r="G1392">
        <v>57397</v>
      </c>
    </row>
    <row r="1393" spans="1:11">
      <c r="A1393" t="s">
        <v>329</v>
      </c>
      <c r="B1393">
        <v>24</v>
      </c>
      <c r="C1393">
        <v>21</v>
      </c>
      <c r="E1393">
        <v>120703</v>
      </c>
      <c r="G1393">
        <v>28745</v>
      </c>
    </row>
    <row r="1394" spans="1:11">
      <c r="A1394" t="s">
        <v>329</v>
      </c>
      <c r="B1394">
        <v>24</v>
      </c>
      <c r="C1394">
        <v>26</v>
      </c>
      <c r="E1394">
        <v>1628812</v>
      </c>
      <c r="G1394">
        <v>460685</v>
      </c>
    </row>
    <row r="1395" spans="1:11">
      <c r="A1395" t="s">
        <v>329</v>
      </c>
      <c r="B1395">
        <v>24</v>
      </c>
      <c r="C1395">
        <v>27</v>
      </c>
      <c r="E1395">
        <v>844486</v>
      </c>
      <c r="G1395">
        <v>235434</v>
      </c>
    </row>
    <row r="1396" spans="1:11">
      <c r="A1396" t="s">
        <v>329</v>
      </c>
      <c r="B1396">
        <v>24</v>
      </c>
      <c r="C1396">
        <v>31</v>
      </c>
      <c r="E1396">
        <v>33419</v>
      </c>
      <c r="G1396">
        <v>5605</v>
      </c>
    </row>
    <row r="1397" spans="1:11">
      <c r="A1397" t="s">
        <v>147</v>
      </c>
      <c r="B1397">
        <v>21</v>
      </c>
      <c r="C1397">
        <v>21</v>
      </c>
      <c r="D1397">
        <v>1980</v>
      </c>
      <c r="E1397">
        <v>1024398</v>
      </c>
      <c r="F1397">
        <v>671143</v>
      </c>
      <c r="G1397">
        <v>467402</v>
      </c>
      <c r="H1397">
        <v>29811</v>
      </c>
      <c r="I1397">
        <v>89739</v>
      </c>
      <c r="J1397">
        <v>4100</v>
      </c>
    </row>
    <row r="1398" spans="1:11">
      <c r="A1398" t="s">
        <v>147</v>
      </c>
      <c r="B1398">
        <v>21</v>
      </c>
      <c r="C1398">
        <v>23</v>
      </c>
      <c r="E1398">
        <v>1020</v>
      </c>
      <c r="G1398">
        <v>72</v>
      </c>
    </row>
    <row r="1399" spans="1:11">
      <c r="A1399" t="s">
        <v>147</v>
      </c>
      <c r="B1399">
        <v>21</v>
      </c>
      <c r="C1399">
        <v>24</v>
      </c>
      <c r="D1399">
        <v>2200</v>
      </c>
      <c r="E1399">
        <v>112622</v>
      </c>
      <c r="F1399">
        <v>262268</v>
      </c>
      <c r="G1399">
        <v>140948</v>
      </c>
      <c r="J1399">
        <v>7250</v>
      </c>
    </row>
    <row r="1400" spans="1:11">
      <c r="A1400" t="s">
        <v>147</v>
      </c>
      <c r="B1400">
        <v>21</v>
      </c>
      <c r="C1400">
        <v>25</v>
      </c>
      <c r="E1400">
        <v>11157</v>
      </c>
      <c r="F1400">
        <v>97106</v>
      </c>
      <c r="G1400">
        <v>54405</v>
      </c>
      <c r="I1400">
        <v>602</v>
      </c>
    </row>
    <row r="1401" spans="1:11">
      <c r="A1401" t="s">
        <v>147</v>
      </c>
      <c r="B1401">
        <v>21</v>
      </c>
      <c r="C1401">
        <v>26</v>
      </c>
      <c r="D1401">
        <v>1400</v>
      </c>
      <c r="E1401">
        <v>10482473</v>
      </c>
      <c r="F1401">
        <v>344980</v>
      </c>
      <c r="G1401">
        <v>3443290</v>
      </c>
      <c r="H1401">
        <v>45327</v>
      </c>
      <c r="I1401">
        <v>195355</v>
      </c>
      <c r="J1401">
        <v>4300</v>
      </c>
      <c r="K1401">
        <v>10000</v>
      </c>
    </row>
    <row r="1402" spans="1:11">
      <c r="A1402" t="s">
        <v>147</v>
      </c>
      <c r="B1402">
        <v>21</v>
      </c>
      <c r="C1402">
        <v>27</v>
      </c>
      <c r="D1402">
        <v>44420</v>
      </c>
      <c r="E1402">
        <v>19123245</v>
      </c>
      <c r="F1402">
        <v>16456298</v>
      </c>
      <c r="G1402">
        <v>15042077</v>
      </c>
      <c r="H1402">
        <v>185750</v>
      </c>
      <c r="I1402">
        <v>6692744</v>
      </c>
      <c r="J1402">
        <v>7050</v>
      </c>
    </row>
    <row r="1403" spans="1:11">
      <c r="A1403" t="s">
        <v>147</v>
      </c>
      <c r="B1403">
        <v>21</v>
      </c>
      <c r="C1403">
        <v>31</v>
      </c>
      <c r="E1403">
        <v>225422</v>
      </c>
      <c r="F1403">
        <v>59994</v>
      </c>
      <c r="G1403">
        <v>58291</v>
      </c>
      <c r="H1403">
        <v>8000</v>
      </c>
      <c r="I1403">
        <v>15214</v>
      </c>
      <c r="J1403">
        <v>2300</v>
      </c>
    </row>
    <row r="1404" spans="1:11">
      <c r="A1404" t="s">
        <v>147</v>
      </c>
      <c r="B1404">
        <v>21</v>
      </c>
      <c r="C1404">
        <v>32</v>
      </c>
      <c r="H1404">
        <v>25000</v>
      </c>
    </row>
    <row r="1405" spans="1:11">
      <c r="A1405" t="s">
        <v>147</v>
      </c>
      <c r="B1405">
        <v>21</v>
      </c>
      <c r="C1405">
        <v>33</v>
      </c>
      <c r="H1405">
        <v>15612</v>
      </c>
      <c r="I1405">
        <v>6346</v>
      </c>
    </row>
    <row r="1406" spans="1:11">
      <c r="A1406" t="s">
        <v>147</v>
      </c>
      <c r="B1406">
        <v>21</v>
      </c>
      <c r="C1406">
        <v>34</v>
      </c>
      <c r="E1406">
        <v>375101</v>
      </c>
      <c r="G1406">
        <v>61925</v>
      </c>
    </row>
    <row r="1407" spans="1:11">
      <c r="A1407" t="s">
        <v>147</v>
      </c>
      <c r="B1407">
        <v>24</v>
      </c>
      <c r="C1407">
        <v>26</v>
      </c>
      <c r="E1407">
        <v>1211027</v>
      </c>
      <c r="G1407">
        <v>380740</v>
      </c>
    </row>
    <row r="1408" spans="1:11">
      <c r="A1408" t="s">
        <v>147</v>
      </c>
      <c r="B1408">
        <v>24</v>
      </c>
      <c r="C1408">
        <v>27</v>
      </c>
      <c r="E1408">
        <v>2181158</v>
      </c>
      <c r="F1408">
        <v>4955</v>
      </c>
      <c r="G1408">
        <v>676232</v>
      </c>
    </row>
    <row r="1409" spans="1:10">
      <c r="A1409" t="s">
        <v>17</v>
      </c>
      <c r="B1409">
        <v>21</v>
      </c>
      <c r="C1409">
        <v>21</v>
      </c>
      <c r="E1409">
        <v>204853</v>
      </c>
      <c r="F1409">
        <v>97086</v>
      </c>
      <c r="G1409">
        <v>83712</v>
      </c>
      <c r="H1409">
        <v>1400</v>
      </c>
      <c r="I1409">
        <v>9354</v>
      </c>
    </row>
    <row r="1410" spans="1:10">
      <c r="A1410" t="s">
        <v>17</v>
      </c>
      <c r="B1410">
        <v>21</v>
      </c>
      <c r="C1410">
        <v>26</v>
      </c>
      <c r="E1410">
        <v>2317436</v>
      </c>
      <c r="F1410">
        <v>130716</v>
      </c>
      <c r="G1410">
        <v>736541</v>
      </c>
      <c r="H1410">
        <v>1150</v>
      </c>
      <c r="I1410">
        <v>621150</v>
      </c>
      <c r="J1410">
        <v>800</v>
      </c>
    </row>
    <row r="1411" spans="1:10">
      <c r="A1411" t="s">
        <v>17</v>
      </c>
      <c r="B1411">
        <v>21</v>
      </c>
      <c r="C1411">
        <v>27</v>
      </c>
      <c r="D1411">
        <v>3000</v>
      </c>
      <c r="E1411">
        <v>4483391</v>
      </c>
      <c r="F1411">
        <v>3858555</v>
      </c>
      <c r="G1411">
        <v>3523336</v>
      </c>
      <c r="H1411">
        <v>235000</v>
      </c>
      <c r="I1411">
        <v>1313000</v>
      </c>
      <c r="J1411">
        <v>2500</v>
      </c>
    </row>
    <row r="1412" spans="1:10">
      <c r="A1412" t="s">
        <v>17</v>
      </c>
      <c r="B1412">
        <v>21</v>
      </c>
      <c r="C1412">
        <v>29</v>
      </c>
      <c r="I1412">
        <v>175000</v>
      </c>
    </row>
    <row r="1413" spans="1:10">
      <c r="A1413" t="s">
        <v>17</v>
      </c>
      <c r="B1413">
        <v>21</v>
      </c>
      <c r="C1413">
        <v>31</v>
      </c>
      <c r="H1413">
        <v>1500</v>
      </c>
      <c r="I1413">
        <v>720</v>
      </c>
    </row>
    <row r="1414" spans="1:10">
      <c r="A1414" t="s">
        <v>17</v>
      </c>
      <c r="B1414">
        <v>21</v>
      </c>
      <c r="C1414">
        <v>33</v>
      </c>
      <c r="H1414">
        <v>2320</v>
      </c>
    </row>
    <row r="1415" spans="1:10">
      <c r="A1415" t="s">
        <v>17</v>
      </c>
      <c r="B1415">
        <v>24</v>
      </c>
      <c r="C1415">
        <v>21</v>
      </c>
      <c r="E1415">
        <v>98477</v>
      </c>
      <c r="G1415">
        <v>23322</v>
      </c>
    </row>
    <row r="1416" spans="1:10">
      <c r="A1416" t="s">
        <v>17</v>
      </c>
      <c r="B1416">
        <v>24</v>
      </c>
      <c r="C1416">
        <v>26</v>
      </c>
      <c r="E1416">
        <v>789258</v>
      </c>
      <c r="G1416">
        <v>222790</v>
      </c>
    </row>
    <row r="1417" spans="1:10">
      <c r="A1417" t="s">
        <v>17</v>
      </c>
      <c r="B1417">
        <v>24</v>
      </c>
      <c r="C1417">
        <v>27</v>
      </c>
      <c r="E1417">
        <v>3000</v>
      </c>
      <c r="F1417">
        <v>2000</v>
      </c>
      <c r="G1417">
        <v>538</v>
      </c>
    </row>
    <row r="1418" spans="1:10">
      <c r="A1418" t="s">
        <v>295</v>
      </c>
      <c r="B1418">
        <v>21</v>
      </c>
      <c r="C1418">
        <v>21</v>
      </c>
      <c r="E1418">
        <v>771274</v>
      </c>
      <c r="F1418">
        <v>298310</v>
      </c>
      <c r="G1418">
        <v>297829</v>
      </c>
      <c r="I1418">
        <v>42300</v>
      </c>
    </row>
    <row r="1419" spans="1:10">
      <c r="A1419" t="s">
        <v>295</v>
      </c>
      <c r="B1419">
        <v>21</v>
      </c>
      <c r="C1419">
        <v>24</v>
      </c>
      <c r="E1419">
        <v>309997</v>
      </c>
      <c r="F1419">
        <v>25501</v>
      </c>
      <c r="G1419">
        <v>90393</v>
      </c>
    </row>
    <row r="1420" spans="1:10">
      <c r="A1420" t="s">
        <v>295</v>
      </c>
      <c r="B1420">
        <v>21</v>
      </c>
      <c r="C1420">
        <v>25</v>
      </c>
      <c r="F1420">
        <v>80041</v>
      </c>
      <c r="G1420">
        <v>176921</v>
      </c>
    </row>
    <row r="1421" spans="1:10">
      <c r="A1421" t="s">
        <v>295</v>
      </c>
      <c r="B1421">
        <v>21</v>
      </c>
      <c r="C1421">
        <v>26</v>
      </c>
      <c r="D1421">
        <v>100</v>
      </c>
      <c r="E1421">
        <v>4126980</v>
      </c>
      <c r="F1421">
        <v>68529</v>
      </c>
      <c r="G1421">
        <v>1242987</v>
      </c>
      <c r="H1421">
        <v>42000</v>
      </c>
      <c r="I1421">
        <v>1400000</v>
      </c>
    </row>
    <row r="1422" spans="1:10">
      <c r="A1422" t="s">
        <v>295</v>
      </c>
      <c r="B1422">
        <v>21</v>
      </c>
      <c r="C1422">
        <v>27</v>
      </c>
      <c r="D1422">
        <v>5600</v>
      </c>
      <c r="E1422">
        <v>9584150</v>
      </c>
      <c r="F1422">
        <v>5349975</v>
      </c>
      <c r="G1422">
        <v>5948369</v>
      </c>
      <c r="H1422">
        <v>10000</v>
      </c>
      <c r="I1422">
        <v>4532500</v>
      </c>
    </row>
    <row r="1423" spans="1:10">
      <c r="A1423" t="s">
        <v>295</v>
      </c>
      <c r="B1423">
        <v>21</v>
      </c>
      <c r="C1423">
        <v>29</v>
      </c>
      <c r="I1423">
        <v>67500</v>
      </c>
    </row>
    <row r="1424" spans="1:10">
      <c r="A1424" t="s">
        <v>295</v>
      </c>
      <c r="B1424">
        <v>21</v>
      </c>
      <c r="C1424">
        <v>31</v>
      </c>
      <c r="E1424">
        <v>1462</v>
      </c>
      <c r="G1424">
        <v>240</v>
      </c>
    </row>
    <row r="1425" spans="1:9">
      <c r="A1425" t="s">
        <v>295</v>
      </c>
      <c r="B1425">
        <v>21</v>
      </c>
      <c r="C1425">
        <v>34</v>
      </c>
      <c r="E1425">
        <v>202935</v>
      </c>
      <c r="G1425">
        <v>33052</v>
      </c>
    </row>
    <row r="1426" spans="1:9">
      <c r="A1426" t="s">
        <v>295</v>
      </c>
      <c r="B1426">
        <v>24</v>
      </c>
      <c r="C1426">
        <v>27</v>
      </c>
      <c r="F1426">
        <v>883379</v>
      </c>
      <c r="G1426">
        <v>515618</v>
      </c>
      <c r="I1426">
        <v>1092100</v>
      </c>
    </row>
    <row r="1427" spans="1:9">
      <c r="A1427" t="s">
        <v>295</v>
      </c>
      <c r="B1427">
        <v>24</v>
      </c>
      <c r="C1427">
        <v>29</v>
      </c>
      <c r="I1427">
        <v>100000</v>
      </c>
    </row>
    <row r="1428" spans="1:9">
      <c r="A1428" t="s">
        <v>295</v>
      </c>
      <c r="B1428">
        <v>29</v>
      </c>
      <c r="C1428">
        <v>27</v>
      </c>
      <c r="F1428">
        <v>87590</v>
      </c>
      <c r="G1428">
        <v>63248</v>
      </c>
      <c r="H1428">
        <v>2630</v>
      </c>
    </row>
    <row r="1429" spans="1:9">
      <c r="A1429" t="s">
        <v>225</v>
      </c>
      <c r="B1429">
        <v>21</v>
      </c>
      <c r="C1429">
        <v>26</v>
      </c>
      <c r="H1429">
        <v>100</v>
      </c>
    </row>
    <row r="1430" spans="1:9">
      <c r="A1430" t="s">
        <v>225</v>
      </c>
      <c r="B1430">
        <v>21</v>
      </c>
      <c r="C1430">
        <v>27</v>
      </c>
      <c r="F1430">
        <v>7230</v>
      </c>
      <c r="G1430">
        <v>10056</v>
      </c>
      <c r="H1430">
        <v>100</v>
      </c>
      <c r="I1430">
        <v>80766</v>
      </c>
    </row>
    <row r="1431" spans="1:9">
      <c r="A1431" t="s">
        <v>225</v>
      </c>
      <c r="B1431">
        <v>24</v>
      </c>
      <c r="C1431">
        <v>27</v>
      </c>
      <c r="I1431">
        <v>8751</v>
      </c>
    </row>
    <row r="1432" spans="1:9">
      <c r="A1432" t="s">
        <v>311</v>
      </c>
      <c r="B1432">
        <v>21</v>
      </c>
      <c r="C1432">
        <v>21</v>
      </c>
      <c r="E1432">
        <v>560558</v>
      </c>
      <c r="F1432">
        <v>120160</v>
      </c>
      <c r="G1432">
        <v>174365</v>
      </c>
      <c r="H1432">
        <v>8000</v>
      </c>
      <c r="I1432">
        <v>5800</v>
      </c>
    </row>
    <row r="1433" spans="1:9">
      <c r="A1433" t="s">
        <v>311</v>
      </c>
      <c r="B1433">
        <v>21</v>
      </c>
      <c r="C1433">
        <v>25</v>
      </c>
      <c r="I1433">
        <v>28000</v>
      </c>
    </row>
    <row r="1434" spans="1:9">
      <c r="A1434" t="s">
        <v>311</v>
      </c>
      <c r="B1434">
        <v>21</v>
      </c>
      <c r="C1434">
        <v>26</v>
      </c>
      <c r="E1434">
        <v>2509667</v>
      </c>
      <c r="F1434">
        <v>112879</v>
      </c>
      <c r="G1434">
        <v>841436</v>
      </c>
      <c r="I1434">
        <v>1067000</v>
      </c>
    </row>
    <row r="1435" spans="1:9">
      <c r="A1435" t="s">
        <v>311</v>
      </c>
      <c r="B1435">
        <v>21</v>
      </c>
      <c r="C1435">
        <v>27</v>
      </c>
      <c r="E1435">
        <v>3262607</v>
      </c>
      <c r="F1435">
        <v>4204883</v>
      </c>
      <c r="G1435">
        <v>3283054</v>
      </c>
      <c r="I1435">
        <v>1835700</v>
      </c>
    </row>
    <row r="1436" spans="1:9">
      <c r="A1436" t="s">
        <v>311</v>
      </c>
      <c r="B1436">
        <v>21</v>
      </c>
      <c r="C1436">
        <v>31</v>
      </c>
      <c r="E1436">
        <v>54977</v>
      </c>
      <c r="G1436">
        <v>17770</v>
      </c>
      <c r="I1436">
        <v>2000</v>
      </c>
    </row>
    <row r="1437" spans="1:9">
      <c r="A1437" t="s">
        <v>311</v>
      </c>
      <c r="B1437">
        <v>21</v>
      </c>
      <c r="C1437">
        <v>33</v>
      </c>
      <c r="I1437">
        <v>210</v>
      </c>
    </row>
    <row r="1438" spans="1:9">
      <c r="A1438" t="s">
        <v>311</v>
      </c>
      <c r="B1438">
        <v>21</v>
      </c>
      <c r="C1438">
        <v>34</v>
      </c>
      <c r="E1438">
        <v>84683</v>
      </c>
      <c r="G1438">
        <v>27610</v>
      </c>
    </row>
    <row r="1439" spans="1:9">
      <c r="A1439" t="s">
        <v>311</v>
      </c>
      <c r="B1439">
        <v>24</v>
      </c>
      <c r="C1439">
        <v>26</v>
      </c>
      <c r="E1439">
        <v>139123</v>
      </c>
      <c r="G1439">
        <v>38209</v>
      </c>
    </row>
    <row r="1440" spans="1:9">
      <c r="A1440" t="s">
        <v>311</v>
      </c>
      <c r="B1440">
        <v>24</v>
      </c>
      <c r="C1440">
        <v>27</v>
      </c>
      <c r="E1440">
        <v>803146</v>
      </c>
      <c r="G1440">
        <v>227943</v>
      </c>
    </row>
    <row r="1441" spans="1:10">
      <c r="A1441" t="s">
        <v>311</v>
      </c>
      <c r="B1441">
        <v>24</v>
      </c>
      <c r="C1441">
        <v>31</v>
      </c>
      <c r="E1441">
        <v>23667</v>
      </c>
      <c r="G1441">
        <v>7032</v>
      </c>
    </row>
    <row r="1442" spans="1:10">
      <c r="A1442" t="s">
        <v>499</v>
      </c>
      <c r="B1442">
        <v>21</v>
      </c>
      <c r="C1442">
        <v>21</v>
      </c>
      <c r="E1442">
        <v>1068404</v>
      </c>
      <c r="F1442">
        <v>158325</v>
      </c>
      <c r="G1442">
        <v>327952</v>
      </c>
      <c r="H1442">
        <v>7100</v>
      </c>
      <c r="I1442">
        <v>500</v>
      </c>
      <c r="J1442">
        <v>2600</v>
      </c>
    </row>
    <row r="1443" spans="1:10">
      <c r="A1443" t="s">
        <v>499</v>
      </c>
      <c r="B1443">
        <v>21</v>
      </c>
      <c r="C1443">
        <v>23</v>
      </c>
      <c r="E1443">
        <v>7500</v>
      </c>
      <c r="G1443">
        <v>1081</v>
      </c>
    </row>
    <row r="1444" spans="1:10">
      <c r="A1444" t="s">
        <v>499</v>
      </c>
      <c r="B1444">
        <v>21</v>
      </c>
      <c r="C1444">
        <v>26</v>
      </c>
      <c r="E1444">
        <v>3584663</v>
      </c>
      <c r="F1444">
        <v>614207</v>
      </c>
      <c r="G1444">
        <v>1312419</v>
      </c>
      <c r="H1444">
        <v>55500</v>
      </c>
      <c r="I1444">
        <v>210000</v>
      </c>
      <c r="J1444">
        <v>4500</v>
      </c>
    </row>
    <row r="1445" spans="1:10">
      <c r="A1445" t="s">
        <v>499</v>
      </c>
      <c r="B1445">
        <v>21</v>
      </c>
      <c r="C1445">
        <v>27</v>
      </c>
      <c r="D1445">
        <v>20100</v>
      </c>
      <c r="E1445">
        <v>6890376</v>
      </c>
      <c r="F1445">
        <v>6395895</v>
      </c>
      <c r="G1445">
        <v>5302902</v>
      </c>
      <c r="H1445">
        <v>74469</v>
      </c>
      <c r="I1445">
        <v>3338059</v>
      </c>
      <c r="J1445">
        <v>2200</v>
      </c>
    </row>
    <row r="1446" spans="1:10">
      <c r="A1446" t="s">
        <v>499</v>
      </c>
      <c r="B1446">
        <v>21</v>
      </c>
      <c r="C1446">
        <v>29</v>
      </c>
      <c r="I1446">
        <v>519681</v>
      </c>
    </row>
    <row r="1447" spans="1:10">
      <c r="A1447" t="s">
        <v>499</v>
      </c>
      <c r="B1447">
        <v>21</v>
      </c>
      <c r="C1447">
        <v>31</v>
      </c>
      <c r="E1447">
        <v>14491</v>
      </c>
      <c r="F1447">
        <v>888</v>
      </c>
      <c r="G1447">
        <v>2052</v>
      </c>
      <c r="H1447">
        <v>1000</v>
      </c>
      <c r="I1447">
        <v>190000</v>
      </c>
    </row>
    <row r="1448" spans="1:10">
      <c r="A1448" t="s">
        <v>499</v>
      </c>
      <c r="B1448">
        <v>21</v>
      </c>
      <c r="C1448">
        <v>33</v>
      </c>
      <c r="H1448">
        <v>20000</v>
      </c>
    </row>
    <row r="1449" spans="1:10">
      <c r="A1449" t="s">
        <v>499</v>
      </c>
      <c r="B1449">
        <v>21</v>
      </c>
      <c r="C1449">
        <v>34</v>
      </c>
      <c r="E1449">
        <v>152446</v>
      </c>
      <c r="G1449">
        <v>25546</v>
      </c>
    </row>
    <row r="1450" spans="1:10">
      <c r="A1450" t="s">
        <v>499</v>
      </c>
      <c r="B1450">
        <v>24</v>
      </c>
      <c r="C1450">
        <v>26</v>
      </c>
      <c r="F1450">
        <v>176993</v>
      </c>
      <c r="G1450">
        <v>73734</v>
      </c>
    </row>
    <row r="1451" spans="1:10">
      <c r="A1451" t="s">
        <v>499</v>
      </c>
      <c r="B1451">
        <v>24</v>
      </c>
      <c r="C1451">
        <v>27</v>
      </c>
      <c r="E1451">
        <v>791121</v>
      </c>
      <c r="F1451">
        <v>478097</v>
      </c>
      <c r="G1451">
        <v>511694</v>
      </c>
    </row>
    <row r="1452" spans="1:10">
      <c r="A1452" t="s">
        <v>265</v>
      </c>
      <c r="B1452">
        <v>21</v>
      </c>
      <c r="C1452">
        <v>21</v>
      </c>
      <c r="E1452">
        <v>171483</v>
      </c>
      <c r="F1452">
        <v>87250</v>
      </c>
      <c r="G1452">
        <v>67351</v>
      </c>
      <c r="I1452">
        <v>4000</v>
      </c>
      <c r="J1452">
        <v>200</v>
      </c>
    </row>
    <row r="1453" spans="1:10">
      <c r="A1453" t="s">
        <v>265</v>
      </c>
      <c r="B1453">
        <v>21</v>
      </c>
      <c r="C1453">
        <v>25</v>
      </c>
      <c r="F1453">
        <v>14700</v>
      </c>
      <c r="G1453">
        <v>7559</v>
      </c>
    </row>
    <row r="1454" spans="1:10">
      <c r="A1454" t="s">
        <v>265</v>
      </c>
      <c r="B1454">
        <v>21</v>
      </c>
      <c r="C1454">
        <v>26</v>
      </c>
      <c r="E1454">
        <v>445592</v>
      </c>
      <c r="F1454">
        <v>56077</v>
      </c>
      <c r="G1454">
        <v>171530</v>
      </c>
      <c r="H1454">
        <v>6000</v>
      </c>
    </row>
    <row r="1455" spans="1:10">
      <c r="A1455" t="s">
        <v>265</v>
      </c>
      <c r="B1455">
        <v>21</v>
      </c>
      <c r="C1455">
        <v>27</v>
      </c>
      <c r="E1455">
        <v>1785617</v>
      </c>
      <c r="F1455">
        <v>2193105</v>
      </c>
      <c r="G1455">
        <v>1807075</v>
      </c>
      <c r="H1455">
        <v>18000</v>
      </c>
      <c r="I1455">
        <v>1658000</v>
      </c>
    </row>
    <row r="1456" spans="1:10">
      <c r="A1456" t="s">
        <v>265</v>
      </c>
      <c r="B1456">
        <v>21</v>
      </c>
      <c r="C1456">
        <v>31</v>
      </c>
      <c r="E1456">
        <v>132576</v>
      </c>
      <c r="G1456">
        <v>20009</v>
      </c>
    </row>
    <row r="1457" spans="1:9">
      <c r="A1457" t="s">
        <v>265</v>
      </c>
      <c r="B1457">
        <v>21</v>
      </c>
      <c r="C1457">
        <v>33</v>
      </c>
      <c r="H1457">
        <v>1000</v>
      </c>
    </row>
    <row r="1458" spans="1:9">
      <c r="A1458" t="s">
        <v>265</v>
      </c>
      <c r="B1458">
        <v>21</v>
      </c>
      <c r="C1458">
        <v>34</v>
      </c>
      <c r="E1458">
        <v>39315</v>
      </c>
      <c r="G1458">
        <v>6102</v>
      </c>
    </row>
    <row r="1459" spans="1:9">
      <c r="A1459" t="s">
        <v>265</v>
      </c>
      <c r="B1459">
        <v>24</v>
      </c>
      <c r="C1459">
        <v>26</v>
      </c>
      <c r="E1459">
        <v>526912</v>
      </c>
      <c r="G1459">
        <v>163472</v>
      </c>
    </row>
    <row r="1460" spans="1:9">
      <c r="A1460" t="s">
        <v>265</v>
      </c>
      <c r="B1460">
        <v>24</v>
      </c>
      <c r="C1460">
        <v>27</v>
      </c>
      <c r="E1460">
        <v>10159</v>
      </c>
      <c r="F1460">
        <v>5384</v>
      </c>
      <c r="G1460">
        <v>3016</v>
      </c>
    </row>
    <row r="1461" spans="1:9">
      <c r="A1461" t="s">
        <v>265</v>
      </c>
      <c r="B1461">
        <v>24</v>
      </c>
      <c r="C1461">
        <v>31</v>
      </c>
      <c r="E1461">
        <v>32858</v>
      </c>
      <c r="G1461">
        <v>5178</v>
      </c>
    </row>
    <row r="1462" spans="1:9">
      <c r="A1462" t="s">
        <v>533</v>
      </c>
      <c r="B1462">
        <v>21</v>
      </c>
      <c r="C1462">
        <v>21</v>
      </c>
      <c r="E1462">
        <v>210197</v>
      </c>
      <c r="G1462">
        <v>51564</v>
      </c>
    </row>
    <row r="1463" spans="1:9">
      <c r="A1463" t="s">
        <v>533</v>
      </c>
      <c r="B1463">
        <v>21</v>
      </c>
      <c r="C1463">
        <v>26</v>
      </c>
      <c r="E1463">
        <v>876727</v>
      </c>
      <c r="G1463">
        <v>268548</v>
      </c>
    </row>
    <row r="1464" spans="1:9">
      <c r="A1464" t="s">
        <v>533</v>
      </c>
      <c r="B1464">
        <v>21</v>
      </c>
      <c r="C1464">
        <v>27</v>
      </c>
      <c r="E1464">
        <v>1853660</v>
      </c>
      <c r="F1464">
        <v>1159958</v>
      </c>
      <c r="G1464">
        <v>1283094</v>
      </c>
      <c r="I1464">
        <v>1827224</v>
      </c>
    </row>
    <row r="1465" spans="1:9">
      <c r="A1465" t="s">
        <v>533</v>
      </c>
      <c r="B1465">
        <v>24</v>
      </c>
      <c r="C1465">
        <v>27</v>
      </c>
      <c r="E1465">
        <v>61857</v>
      </c>
      <c r="F1465">
        <v>3275</v>
      </c>
      <c r="G1465">
        <v>26140</v>
      </c>
      <c r="I1465">
        <v>250000</v>
      </c>
    </row>
    <row r="1466" spans="1:9">
      <c r="A1466" t="s">
        <v>533</v>
      </c>
      <c r="B1466">
        <v>24</v>
      </c>
      <c r="C1466">
        <v>29</v>
      </c>
      <c r="I1466">
        <v>131654</v>
      </c>
    </row>
    <row r="1467" spans="1:9">
      <c r="A1467" t="s">
        <v>125</v>
      </c>
      <c r="B1467">
        <v>21</v>
      </c>
      <c r="C1467">
        <v>21</v>
      </c>
      <c r="E1467">
        <v>73995</v>
      </c>
      <c r="F1467">
        <v>31793</v>
      </c>
      <c r="G1467">
        <v>33053</v>
      </c>
      <c r="H1467">
        <v>5200</v>
      </c>
      <c r="I1467">
        <v>2500</v>
      </c>
    </row>
    <row r="1468" spans="1:9">
      <c r="A1468" t="s">
        <v>125</v>
      </c>
      <c r="B1468">
        <v>21</v>
      </c>
      <c r="C1468">
        <v>26</v>
      </c>
      <c r="F1468">
        <v>111542</v>
      </c>
      <c r="G1468">
        <v>40301</v>
      </c>
      <c r="H1468">
        <v>2300</v>
      </c>
      <c r="I1468">
        <v>180500</v>
      </c>
    </row>
    <row r="1469" spans="1:9">
      <c r="A1469" t="s">
        <v>125</v>
      </c>
      <c r="B1469">
        <v>21</v>
      </c>
      <c r="C1469">
        <v>27</v>
      </c>
      <c r="E1469">
        <v>232715</v>
      </c>
      <c r="F1469">
        <v>283247</v>
      </c>
      <c r="G1469">
        <v>231025</v>
      </c>
      <c r="H1469">
        <v>4400</v>
      </c>
      <c r="I1469">
        <v>500</v>
      </c>
    </row>
    <row r="1470" spans="1:9">
      <c r="A1470" t="s">
        <v>125</v>
      </c>
      <c r="B1470">
        <v>21</v>
      </c>
      <c r="C1470">
        <v>31</v>
      </c>
      <c r="E1470">
        <v>5936</v>
      </c>
      <c r="G1470">
        <v>954</v>
      </c>
      <c r="H1470">
        <v>1140</v>
      </c>
      <c r="I1470">
        <v>8000</v>
      </c>
    </row>
    <row r="1471" spans="1:9">
      <c r="A1471" t="s">
        <v>125</v>
      </c>
      <c r="B1471">
        <v>21</v>
      </c>
      <c r="C1471">
        <v>32</v>
      </c>
      <c r="H1471">
        <v>1000</v>
      </c>
    </row>
    <row r="1472" spans="1:9">
      <c r="A1472" t="s">
        <v>125</v>
      </c>
      <c r="B1472">
        <v>21</v>
      </c>
      <c r="C1472">
        <v>33</v>
      </c>
      <c r="H1472">
        <v>4500</v>
      </c>
    </row>
    <row r="1473" spans="1:10">
      <c r="A1473" t="s">
        <v>125</v>
      </c>
      <c r="B1473">
        <v>24</v>
      </c>
      <c r="C1473">
        <v>26</v>
      </c>
      <c r="I1473">
        <v>4924</v>
      </c>
    </row>
    <row r="1474" spans="1:10">
      <c r="A1474" t="s">
        <v>125</v>
      </c>
      <c r="B1474">
        <v>24</v>
      </c>
      <c r="C1474">
        <v>27</v>
      </c>
      <c r="E1474">
        <v>78342</v>
      </c>
      <c r="G1474">
        <v>35289</v>
      </c>
      <c r="H1474">
        <v>5511</v>
      </c>
    </row>
    <row r="1475" spans="1:10">
      <c r="A1475" t="s">
        <v>195</v>
      </c>
      <c r="B1475">
        <v>21</v>
      </c>
      <c r="C1475">
        <v>21</v>
      </c>
      <c r="E1475">
        <v>385610</v>
      </c>
      <c r="F1475">
        <v>80143</v>
      </c>
      <c r="G1475">
        <v>119737</v>
      </c>
      <c r="I1475">
        <v>925</v>
      </c>
    </row>
    <row r="1476" spans="1:10">
      <c r="A1476" t="s">
        <v>195</v>
      </c>
      <c r="B1476">
        <v>21</v>
      </c>
      <c r="C1476">
        <v>24</v>
      </c>
      <c r="I1476">
        <v>5000</v>
      </c>
      <c r="J1476">
        <v>7000</v>
      </c>
    </row>
    <row r="1477" spans="1:10">
      <c r="A1477" t="s">
        <v>195</v>
      </c>
      <c r="B1477">
        <v>21</v>
      </c>
      <c r="C1477">
        <v>25</v>
      </c>
      <c r="F1477">
        <v>41472</v>
      </c>
      <c r="G1477">
        <v>25116</v>
      </c>
    </row>
    <row r="1478" spans="1:10">
      <c r="A1478" t="s">
        <v>195</v>
      </c>
      <c r="B1478">
        <v>21</v>
      </c>
      <c r="C1478">
        <v>26</v>
      </c>
      <c r="E1478">
        <v>336660</v>
      </c>
      <c r="F1478">
        <v>226295</v>
      </c>
      <c r="G1478">
        <v>220926</v>
      </c>
      <c r="H1478">
        <v>2000</v>
      </c>
      <c r="I1478">
        <v>128000</v>
      </c>
    </row>
    <row r="1479" spans="1:10">
      <c r="A1479" t="s">
        <v>195</v>
      </c>
      <c r="B1479">
        <v>21</v>
      </c>
      <c r="C1479">
        <v>27</v>
      </c>
      <c r="E1479">
        <v>2447747</v>
      </c>
      <c r="F1479">
        <v>1402220</v>
      </c>
      <c r="G1479">
        <v>1594225</v>
      </c>
      <c r="H1479">
        <v>26500</v>
      </c>
      <c r="I1479">
        <v>837000</v>
      </c>
    </row>
    <row r="1480" spans="1:10">
      <c r="A1480" t="s">
        <v>195</v>
      </c>
      <c r="B1480">
        <v>21</v>
      </c>
      <c r="C1480">
        <v>29</v>
      </c>
      <c r="I1480">
        <v>1142000</v>
      </c>
    </row>
    <row r="1481" spans="1:10">
      <c r="A1481" t="s">
        <v>195</v>
      </c>
      <c r="B1481">
        <v>21</v>
      </c>
      <c r="C1481">
        <v>31</v>
      </c>
      <c r="I1481">
        <v>3000</v>
      </c>
    </row>
    <row r="1482" spans="1:10">
      <c r="A1482" t="s">
        <v>195</v>
      </c>
      <c r="B1482">
        <v>24</v>
      </c>
      <c r="C1482">
        <v>26</v>
      </c>
      <c r="E1482">
        <v>352198</v>
      </c>
      <c r="G1482">
        <v>103727</v>
      </c>
    </row>
    <row r="1483" spans="1:10">
      <c r="A1483" t="s">
        <v>195</v>
      </c>
      <c r="B1483">
        <v>24</v>
      </c>
      <c r="C1483">
        <v>27</v>
      </c>
      <c r="I1483">
        <v>45000</v>
      </c>
    </row>
    <row r="1484" spans="1:10">
      <c r="A1484" t="s">
        <v>519</v>
      </c>
      <c r="B1484">
        <v>21</v>
      </c>
      <c r="C1484">
        <v>21</v>
      </c>
      <c r="E1484">
        <v>314436</v>
      </c>
      <c r="F1484">
        <v>378790</v>
      </c>
      <c r="G1484">
        <v>203422</v>
      </c>
      <c r="H1484">
        <v>2000</v>
      </c>
      <c r="I1484">
        <v>1700</v>
      </c>
      <c r="J1484">
        <v>100</v>
      </c>
    </row>
    <row r="1485" spans="1:10">
      <c r="A1485" t="s">
        <v>519</v>
      </c>
      <c r="B1485">
        <v>21</v>
      </c>
      <c r="C1485">
        <v>26</v>
      </c>
      <c r="E1485">
        <v>1936711</v>
      </c>
      <c r="F1485">
        <v>323656</v>
      </c>
      <c r="G1485">
        <v>728961</v>
      </c>
      <c r="H1485">
        <v>21000</v>
      </c>
      <c r="I1485">
        <v>54000</v>
      </c>
      <c r="J1485">
        <v>1000</v>
      </c>
    </row>
    <row r="1486" spans="1:10">
      <c r="A1486" t="s">
        <v>519</v>
      </c>
      <c r="B1486">
        <v>21</v>
      </c>
      <c r="C1486">
        <v>27</v>
      </c>
      <c r="D1486">
        <v>3000</v>
      </c>
      <c r="E1486">
        <v>4188852</v>
      </c>
      <c r="F1486">
        <v>4775760</v>
      </c>
      <c r="G1486">
        <v>3955535</v>
      </c>
      <c r="H1486">
        <v>46600</v>
      </c>
      <c r="I1486">
        <v>749015</v>
      </c>
      <c r="J1486">
        <v>2000</v>
      </c>
    </row>
    <row r="1487" spans="1:10">
      <c r="A1487" t="s">
        <v>519</v>
      </c>
      <c r="B1487">
        <v>21</v>
      </c>
      <c r="C1487">
        <v>31</v>
      </c>
      <c r="E1487">
        <v>37000</v>
      </c>
      <c r="F1487">
        <v>23000</v>
      </c>
      <c r="G1487">
        <v>10470</v>
      </c>
      <c r="I1487">
        <v>1000</v>
      </c>
    </row>
    <row r="1488" spans="1:10">
      <c r="A1488" t="s">
        <v>519</v>
      </c>
      <c r="B1488">
        <v>21</v>
      </c>
      <c r="C1488">
        <v>33</v>
      </c>
      <c r="H1488">
        <v>7500</v>
      </c>
    </row>
    <row r="1489" spans="1:10">
      <c r="A1489" t="s">
        <v>519</v>
      </c>
      <c r="B1489">
        <v>24</v>
      </c>
      <c r="C1489">
        <v>26</v>
      </c>
      <c r="E1489">
        <v>781173</v>
      </c>
      <c r="G1489">
        <v>219650</v>
      </c>
    </row>
    <row r="1490" spans="1:10">
      <c r="A1490" t="s">
        <v>519</v>
      </c>
      <c r="B1490">
        <v>24</v>
      </c>
      <c r="C1490">
        <v>27</v>
      </c>
      <c r="F1490">
        <v>21718</v>
      </c>
      <c r="G1490">
        <v>15909</v>
      </c>
      <c r="H1490">
        <v>3891</v>
      </c>
    </row>
    <row r="1491" spans="1:10">
      <c r="A1491" t="s">
        <v>513</v>
      </c>
      <c r="B1491">
        <v>21</v>
      </c>
      <c r="C1491">
        <v>21</v>
      </c>
      <c r="D1491">
        <v>8376</v>
      </c>
      <c r="E1491">
        <v>1181394</v>
      </c>
      <c r="F1491">
        <v>489692</v>
      </c>
      <c r="G1491">
        <v>498348</v>
      </c>
      <c r="H1491">
        <v>73118</v>
      </c>
      <c r="I1491">
        <v>11700</v>
      </c>
      <c r="J1491">
        <v>3000</v>
      </c>
    </row>
    <row r="1492" spans="1:10">
      <c r="A1492" t="s">
        <v>513</v>
      </c>
      <c r="B1492">
        <v>21</v>
      </c>
      <c r="C1492">
        <v>23</v>
      </c>
      <c r="D1492">
        <v>99</v>
      </c>
    </row>
    <row r="1493" spans="1:10">
      <c r="A1493" t="s">
        <v>513</v>
      </c>
      <c r="B1493">
        <v>21</v>
      </c>
      <c r="C1493">
        <v>24</v>
      </c>
      <c r="J1493">
        <v>500</v>
      </c>
    </row>
    <row r="1494" spans="1:10">
      <c r="A1494" t="s">
        <v>513</v>
      </c>
      <c r="B1494">
        <v>21</v>
      </c>
      <c r="C1494">
        <v>26</v>
      </c>
      <c r="D1494">
        <v>23371</v>
      </c>
      <c r="E1494">
        <v>12575743</v>
      </c>
      <c r="F1494">
        <v>694711</v>
      </c>
      <c r="G1494">
        <v>4356252</v>
      </c>
      <c r="H1494">
        <v>90330</v>
      </c>
      <c r="I1494">
        <v>126681</v>
      </c>
      <c r="J1494">
        <v>16030</v>
      </c>
    </row>
    <row r="1495" spans="1:10">
      <c r="A1495" t="s">
        <v>513</v>
      </c>
      <c r="B1495">
        <v>21</v>
      </c>
      <c r="C1495">
        <v>27</v>
      </c>
      <c r="D1495">
        <v>2056</v>
      </c>
      <c r="E1495">
        <v>19839310</v>
      </c>
      <c r="F1495">
        <v>18623827</v>
      </c>
      <c r="G1495">
        <v>16757422</v>
      </c>
      <c r="H1495">
        <v>86537</v>
      </c>
      <c r="I1495">
        <v>953356</v>
      </c>
      <c r="J1495">
        <v>21496</v>
      </c>
    </row>
    <row r="1496" spans="1:10">
      <c r="A1496" t="s">
        <v>513</v>
      </c>
      <c r="B1496">
        <v>21</v>
      </c>
      <c r="C1496">
        <v>31</v>
      </c>
      <c r="E1496">
        <v>1503831</v>
      </c>
      <c r="G1496">
        <v>240077</v>
      </c>
      <c r="H1496">
        <v>3334</v>
      </c>
      <c r="I1496">
        <v>51554</v>
      </c>
      <c r="J1496">
        <v>7878</v>
      </c>
    </row>
    <row r="1497" spans="1:10">
      <c r="A1497" t="s">
        <v>513</v>
      </c>
      <c r="B1497">
        <v>21</v>
      </c>
      <c r="C1497">
        <v>32</v>
      </c>
      <c r="D1497">
        <v>86965</v>
      </c>
      <c r="H1497">
        <v>33203</v>
      </c>
      <c r="I1497">
        <v>150</v>
      </c>
    </row>
    <row r="1498" spans="1:10">
      <c r="A1498" t="s">
        <v>513</v>
      </c>
      <c r="B1498">
        <v>21</v>
      </c>
      <c r="C1498">
        <v>33</v>
      </c>
      <c r="D1498">
        <v>250</v>
      </c>
      <c r="H1498">
        <v>132120</v>
      </c>
      <c r="I1498">
        <v>290</v>
      </c>
    </row>
    <row r="1499" spans="1:10">
      <c r="A1499" t="s">
        <v>513</v>
      </c>
      <c r="B1499">
        <v>21</v>
      </c>
      <c r="C1499">
        <v>34</v>
      </c>
      <c r="E1499">
        <v>497436</v>
      </c>
      <c r="G1499">
        <v>76556</v>
      </c>
    </row>
    <row r="1500" spans="1:10">
      <c r="A1500" t="s">
        <v>513</v>
      </c>
      <c r="B1500">
        <v>24</v>
      </c>
      <c r="C1500">
        <v>26</v>
      </c>
      <c r="D1500">
        <v>433</v>
      </c>
      <c r="E1500">
        <v>274717</v>
      </c>
      <c r="G1500">
        <v>88875</v>
      </c>
      <c r="I1500">
        <v>51</v>
      </c>
      <c r="J1500">
        <v>253</v>
      </c>
    </row>
    <row r="1501" spans="1:10">
      <c r="A1501" t="s">
        <v>513</v>
      </c>
      <c r="B1501">
        <v>24</v>
      </c>
      <c r="C1501">
        <v>27</v>
      </c>
      <c r="D1501">
        <v>461</v>
      </c>
      <c r="E1501">
        <v>4761084</v>
      </c>
      <c r="F1501">
        <v>15046</v>
      </c>
      <c r="G1501">
        <v>1486031</v>
      </c>
      <c r="H1501">
        <v>3982</v>
      </c>
      <c r="I1501">
        <v>6</v>
      </c>
      <c r="J1501">
        <v>340</v>
      </c>
    </row>
    <row r="1502" spans="1:10">
      <c r="A1502" t="s">
        <v>513</v>
      </c>
      <c r="B1502">
        <v>24</v>
      </c>
      <c r="C1502">
        <v>31</v>
      </c>
      <c r="E1502">
        <v>280889</v>
      </c>
      <c r="G1502">
        <v>39034</v>
      </c>
    </row>
    <row r="1503" spans="1:10">
      <c r="A1503" t="s">
        <v>513</v>
      </c>
      <c r="B1503">
        <v>24</v>
      </c>
      <c r="C1503">
        <v>32</v>
      </c>
      <c r="D1503">
        <v>11623</v>
      </c>
    </row>
    <row r="1504" spans="1:10">
      <c r="A1504" t="s">
        <v>385</v>
      </c>
      <c r="B1504">
        <v>21</v>
      </c>
      <c r="C1504">
        <v>21</v>
      </c>
      <c r="E1504">
        <v>7800</v>
      </c>
      <c r="G1504">
        <v>2790</v>
      </c>
      <c r="I1504">
        <v>825</v>
      </c>
    </row>
    <row r="1505" spans="1:10">
      <c r="A1505" t="s">
        <v>385</v>
      </c>
      <c r="B1505">
        <v>21</v>
      </c>
      <c r="C1505">
        <v>26</v>
      </c>
      <c r="I1505">
        <v>15000</v>
      </c>
    </row>
    <row r="1506" spans="1:10">
      <c r="A1506" t="s">
        <v>385</v>
      </c>
      <c r="B1506">
        <v>21</v>
      </c>
      <c r="C1506">
        <v>27</v>
      </c>
      <c r="E1506">
        <v>63913</v>
      </c>
      <c r="F1506">
        <v>7403</v>
      </c>
      <c r="G1506">
        <v>27335</v>
      </c>
      <c r="H1506">
        <v>1000</v>
      </c>
    </row>
    <row r="1507" spans="1:10">
      <c r="A1507" t="s">
        <v>385</v>
      </c>
      <c r="B1507">
        <v>21</v>
      </c>
      <c r="C1507">
        <v>33</v>
      </c>
      <c r="H1507">
        <v>3000</v>
      </c>
    </row>
    <row r="1508" spans="1:10">
      <c r="A1508" t="s">
        <v>385</v>
      </c>
      <c r="B1508">
        <v>24</v>
      </c>
      <c r="C1508">
        <v>27</v>
      </c>
      <c r="F1508">
        <v>27763</v>
      </c>
      <c r="G1508">
        <v>16113</v>
      </c>
    </row>
    <row r="1509" spans="1:10">
      <c r="A1509" t="s">
        <v>199</v>
      </c>
      <c r="B1509">
        <v>21</v>
      </c>
      <c r="C1509">
        <v>21</v>
      </c>
      <c r="E1509">
        <v>11220</v>
      </c>
      <c r="G1509">
        <v>906</v>
      </c>
    </row>
    <row r="1510" spans="1:10">
      <c r="A1510" t="s">
        <v>199</v>
      </c>
      <c r="B1510">
        <v>21</v>
      </c>
      <c r="C1510">
        <v>26</v>
      </c>
      <c r="I1510">
        <v>40472</v>
      </c>
      <c r="J1510">
        <v>1800</v>
      </c>
    </row>
    <row r="1511" spans="1:10">
      <c r="A1511" t="s">
        <v>199</v>
      </c>
      <c r="B1511">
        <v>21</v>
      </c>
      <c r="C1511">
        <v>27</v>
      </c>
      <c r="E1511">
        <v>5521</v>
      </c>
      <c r="F1511">
        <v>11440</v>
      </c>
      <c r="G1511">
        <v>1601</v>
      </c>
      <c r="H1511">
        <v>2500</v>
      </c>
      <c r="I1511">
        <v>1500</v>
      </c>
    </row>
    <row r="1512" spans="1:10">
      <c r="A1512" t="s">
        <v>199</v>
      </c>
      <c r="B1512">
        <v>24</v>
      </c>
      <c r="C1512">
        <v>26</v>
      </c>
      <c r="I1512">
        <v>8334</v>
      </c>
    </row>
    <row r="1513" spans="1:10">
      <c r="A1513" t="s">
        <v>341</v>
      </c>
      <c r="B1513">
        <v>21</v>
      </c>
      <c r="C1513">
        <v>21</v>
      </c>
      <c r="E1513">
        <v>142223</v>
      </c>
      <c r="F1513">
        <v>27812</v>
      </c>
      <c r="G1513">
        <v>49532</v>
      </c>
      <c r="H1513">
        <v>350</v>
      </c>
      <c r="I1513">
        <v>1200</v>
      </c>
    </row>
    <row r="1514" spans="1:10">
      <c r="A1514" t="s">
        <v>341</v>
      </c>
      <c r="B1514">
        <v>21</v>
      </c>
      <c r="C1514">
        <v>26</v>
      </c>
      <c r="E1514">
        <v>190804</v>
      </c>
      <c r="F1514">
        <v>44689</v>
      </c>
      <c r="G1514">
        <v>101264</v>
      </c>
      <c r="H1514">
        <v>5500</v>
      </c>
      <c r="I1514">
        <v>122250</v>
      </c>
      <c r="J1514">
        <v>1000</v>
      </c>
    </row>
    <row r="1515" spans="1:10">
      <c r="A1515" t="s">
        <v>341</v>
      </c>
      <c r="B1515">
        <v>21</v>
      </c>
      <c r="C1515">
        <v>27</v>
      </c>
      <c r="E1515">
        <v>983450</v>
      </c>
      <c r="F1515">
        <v>289183</v>
      </c>
      <c r="G1515">
        <v>537913</v>
      </c>
      <c r="H1515">
        <v>9100</v>
      </c>
      <c r="I1515">
        <v>80250</v>
      </c>
      <c r="J1515">
        <v>3500</v>
      </c>
    </row>
    <row r="1516" spans="1:10">
      <c r="A1516" t="s">
        <v>341</v>
      </c>
      <c r="B1516">
        <v>21</v>
      </c>
      <c r="C1516">
        <v>28</v>
      </c>
      <c r="E1516">
        <v>1085</v>
      </c>
      <c r="G1516">
        <v>171</v>
      </c>
    </row>
    <row r="1517" spans="1:10">
      <c r="A1517" t="s">
        <v>341</v>
      </c>
      <c r="B1517">
        <v>21</v>
      </c>
      <c r="C1517">
        <v>31</v>
      </c>
      <c r="H1517">
        <v>1500</v>
      </c>
      <c r="I1517">
        <v>1000</v>
      </c>
    </row>
    <row r="1518" spans="1:10">
      <c r="A1518" t="s">
        <v>341</v>
      </c>
      <c r="B1518">
        <v>24</v>
      </c>
      <c r="C1518">
        <v>26</v>
      </c>
      <c r="E1518">
        <v>156809</v>
      </c>
      <c r="G1518">
        <v>56992</v>
      </c>
    </row>
    <row r="1519" spans="1:10">
      <c r="A1519" t="s">
        <v>341</v>
      </c>
      <c r="B1519">
        <v>24</v>
      </c>
      <c r="C1519">
        <v>27</v>
      </c>
      <c r="E1519">
        <v>93688</v>
      </c>
      <c r="G1519">
        <v>30887</v>
      </c>
    </row>
    <row r="1520" spans="1:10">
      <c r="A1520" t="s">
        <v>301</v>
      </c>
      <c r="B1520">
        <v>21</v>
      </c>
      <c r="C1520">
        <v>21</v>
      </c>
      <c r="E1520">
        <v>112768</v>
      </c>
      <c r="F1520">
        <v>64850</v>
      </c>
      <c r="G1520">
        <v>54723</v>
      </c>
      <c r="H1520">
        <v>500</v>
      </c>
      <c r="J1520">
        <v>3000</v>
      </c>
    </row>
    <row r="1521" spans="1:10">
      <c r="A1521" t="s">
        <v>301</v>
      </c>
      <c r="B1521">
        <v>21</v>
      </c>
      <c r="C1521">
        <v>26</v>
      </c>
      <c r="E1521">
        <v>652935</v>
      </c>
      <c r="F1521">
        <v>43694</v>
      </c>
      <c r="G1521">
        <v>234030</v>
      </c>
    </row>
    <row r="1522" spans="1:10">
      <c r="A1522" t="s">
        <v>301</v>
      </c>
      <c r="B1522">
        <v>21</v>
      </c>
      <c r="C1522">
        <v>27</v>
      </c>
      <c r="E1522">
        <v>796747</v>
      </c>
      <c r="F1522">
        <v>630303</v>
      </c>
      <c r="G1522">
        <v>751606</v>
      </c>
      <c r="H1522">
        <v>38291</v>
      </c>
      <c r="I1522">
        <v>332500</v>
      </c>
    </row>
    <row r="1523" spans="1:10">
      <c r="A1523" t="s">
        <v>301</v>
      </c>
      <c r="B1523">
        <v>21</v>
      </c>
      <c r="C1523">
        <v>34</v>
      </c>
      <c r="E1523">
        <v>28831</v>
      </c>
      <c r="G1523">
        <v>4520</v>
      </c>
    </row>
    <row r="1524" spans="1:10">
      <c r="A1524" t="s">
        <v>301</v>
      </c>
      <c r="B1524">
        <v>24</v>
      </c>
      <c r="C1524">
        <v>27</v>
      </c>
      <c r="E1524">
        <v>302670</v>
      </c>
      <c r="G1524">
        <v>103879</v>
      </c>
    </row>
    <row r="1525" spans="1:10">
      <c r="A1525" t="s">
        <v>301</v>
      </c>
      <c r="B1525">
        <v>26</v>
      </c>
      <c r="C1525">
        <v>21</v>
      </c>
      <c r="E1525">
        <v>37589</v>
      </c>
      <c r="F1525">
        <v>13980</v>
      </c>
      <c r="G1525">
        <v>13145</v>
      </c>
    </row>
    <row r="1526" spans="1:10">
      <c r="A1526" t="s">
        <v>301</v>
      </c>
      <c r="B1526">
        <v>26</v>
      </c>
      <c r="C1526">
        <v>26</v>
      </c>
      <c r="E1526">
        <v>20745</v>
      </c>
      <c r="G1526">
        <v>7117</v>
      </c>
      <c r="I1526">
        <v>53813</v>
      </c>
    </row>
    <row r="1527" spans="1:10">
      <c r="A1527" t="s">
        <v>301</v>
      </c>
      <c r="B1527">
        <v>26</v>
      </c>
      <c r="C1527">
        <v>27</v>
      </c>
      <c r="E1527">
        <v>23994</v>
      </c>
      <c r="F1527">
        <v>27429</v>
      </c>
      <c r="G1527">
        <v>30335</v>
      </c>
    </row>
    <row r="1528" spans="1:10">
      <c r="A1528" t="s">
        <v>301</v>
      </c>
      <c r="B1528">
        <v>29</v>
      </c>
      <c r="C1528">
        <v>27</v>
      </c>
      <c r="F1528">
        <v>56995</v>
      </c>
      <c r="G1528">
        <v>40589</v>
      </c>
    </row>
    <row r="1529" spans="1:10">
      <c r="A1529" t="s">
        <v>299</v>
      </c>
      <c r="B1529">
        <v>21</v>
      </c>
      <c r="C1529">
        <v>21</v>
      </c>
      <c r="H1529">
        <v>24300</v>
      </c>
      <c r="I1529">
        <v>16000</v>
      </c>
    </row>
    <row r="1530" spans="1:10">
      <c r="A1530" t="s">
        <v>299</v>
      </c>
      <c r="B1530">
        <v>21</v>
      </c>
      <c r="C1530">
        <v>24</v>
      </c>
      <c r="E1530">
        <v>11070</v>
      </c>
      <c r="G1530">
        <v>7306</v>
      </c>
      <c r="H1530">
        <v>1700</v>
      </c>
    </row>
    <row r="1531" spans="1:10">
      <c r="A1531" t="s">
        <v>299</v>
      </c>
      <c r="B1531">
        <v>21</v>
      </c>
      <c r="C1531">
        <v>26</v>
      </c>
      <c r="E1531">
        <v>5371662</v>
      </c>
      <c r="F1531">
        <v>276671</v>
      </c>
      <c r="G1531">
        <v>1924900</v>
      </c>
      <c r="H1531">
        <v>19750</v>
      </c>
      <c r="I1531">
        <v>1000</v>
      </c>
      <c r="J1531">
        <v>4750</v>
      </c>
    </row>
    <row r="1532" spans="1:10">
      <c r="A1532" t="s">
        <v>299</v>
      </c>
      <c r="B1532">
        <v>21</v>
      </c>
      <c r="C1532">
        <v>27</v>
      </c>
      <c r="D1532">
        <v>230</v>
      </c>
      <c r="E1532">
        <v>9069199</v>
      </c>
      <c r="F1532">
        <v>4422742</v>
      </c>
      <c r="G1532">
        <v>6393890</v>
      </c>
      <c r="H1532">
        <v>83965</v>
      </c>
      <c r="I1532">
        <v>1810000</v>
      </c>
      <c r="J1532">
        <v>7000</v>
      </c>
    </row>
    <row r="1533" spans="1:10">
      <c r="A1533" t="s">
        <v>299</v>
      </c>
      <c r="B1533">
        <v>21</v>
      </c>
      <c r="C1533">
        <v>31</v>
      </c>
      <c r="E1533">
        <v>310</v>
      </c>
      <c r="F1533">
        <v>45723</v>
      </c>
      <c r="G1533">
        <v>23859</v>
      </c>
      <c r="H1533">
        <v>5000</v>
      </c>
    </row>
    <row r="1534" spans="1:10">
      <c r="A1534" t="s">
        <v>299</v>
      </c>
      <c r="B1534">
        <v>21</v>
      </c>
      <c r="C1534">
        <v>32</v>
      </c>
      <c r="H1534">
        <v>15000</v>
      </c>
    </row>
    <row r="1535" spans="1:10">
      <c r="A1535" t="s">
        <v>299</v>
      </c>
      <c r="B1535">
        <v>21</v>
      </c>
      <c r="C1535">
        <v>33</v>
      </c>
      <c r="H1535">
        <v>65250</v>
      </c>
    </row>
    <row r="1536" spans="1:10">
      <c r="A1536" t="s">
        <v>299</v>
      </c>
      <c r="B1536">
        <v>21</v>
      </c>
      <c r="C1536">
        <v>34</v>
      </c>
      <c r="E1536">
        <v>218671</v>
      </c>
      <c r="G1536">
        <v>33664</v>
      </c>
    </row>
    <row r="1537" spans="1:11">
      <c r="A1537" t="s">
        <v>299</v>
      </c>
      <c r="B1537">
        <v>24</v>
      </c>
      <c r="C1537">
        <v>21</v>
      </c>
      <c r="E1537">
        <v>347816</v>
      </c>
      <c r="F1537">
        <v>204649</v>
      </c>
      <c r="G1537">
        <v>215184</v>
      </c>
    </row>
    <row r="1538" spans="1:11">
      <c r="A1538" t="s">
        <v>299</v>
      </c>
      <c r="B1538">
        <v>24</v>
      </c>
      <c r="C1538">
        <v>27</v>
      </c>
      <c r="E1538">
        <v>870330</v>
      </c>
      <c r="G1538">
        <v>254156</v>
      </c>
    </row>
    <row r="1539" spans="1:11">
      <c r="A1539" t="s">
        <v>299</v>
      </c>
      <c r="B1539">
        <v>24</v>
      </c>
      <c r="C1539">
        <v>31</v>
      </c>
      <c r="E1539">
        <v>13327</v>
      </c>
      <c r="G1539">
        <v>1681</v>
      </c>
    </row>
    <row r="1540" spans="1:11">
      <c r="A1540" t="s">
        <v>299</v>
      </c>
      <c r="B1540">
        <v>24</v>
      </c>
      <c r="C1540">
        <v>32</v>
      </c>
      <c r="F1540">
        <v>93853</v>
      </c>
      <c r="G1540">
        <v>48113</v>
      </c>
    </row>
    <row r="1541" spans="1:11">
      <c r="A1541" t="s">
        <v>75</v>
      </c>
      <c r="B1541">
        <v>21</v>
      </c>
      <c r="C1541">
        <v>21</v>
      </c>
      <c r="E1541">
        <v>450343</v>
      </c>
      <c r="F1541">
        <v>302913</v>
      </c>
      <c r="G1541">
        <v>219833</v>
      </c>
      <c r="H1541">
        <v>6500</v>
      </c>
      <c r="I1541">
        <v>28200</v>
      </c>
      <c r="J1541">
        <v>5500</v>
      </c>
    </row>
    <row r="1542" spans="1:11">
      <c r="A1542" t="s">
        <v>75</v>
      </c>
      <c r="B1542">
        <v>21</v>
      </c>
      <c r="C1542">
        <v>24</v>
      </c>
      <c r="E1542">
        <v>119586</v>
      </c>
      <c r="G1542">
        <v>35152</v>
      </c>
    </row>
    <row r="1543" spans="1:11">
      <c r="A1543" t="s">
        <v>75</v>
      </c>
      <c r="B1543">
        <v>21</v>
      </c>
      <c r="C1543">
        <v>26</v>
      </c>
      <c r="D1543">
        <v>100</v>
      </c>
      <c r="E1543">
        <v>6760378</v>
      </c>
      <c r="F1543">
        <v>56364</v>
      </c>
      <c r="G1543">
        <v>2220415</v>
      </c>
      <c r="H1543">
        <v>89500</v>
      </c>
      <c r="I1543">
        <v>116000</v>
      </c>
      <c r="J1543">
        <v>10000</v>
      </c>
      <c r="K1543">
        <v>15000</v>
      </c>
    </row>
    <row r="1544" spans="1:11">
      <c r="A1544" t="s">
        <v>75</v>
      </c>
      <c r="B1544">
        <v>21</v>
      </c>
      <c r="C1544">
        <v>27</v>
      </c>
      <c r="D1544">
        <v>2500</v>
      </c>
      <c r="E1544">
        <v>10621859</v>
      </c>
      <c r="F1544">
        <v>9406479</v>
      </c>
      <c r="G1544">
        <v>9095843</v>
      </c>
      <c r="H1544">
        <v>107749</v>
      </c>
      <c r="I1544">
        <v>277200</v>
      </c>
      <c r="J1544">
        <v>5000</v>
      </c>
    </row>
    <row r="1545" spans="1:11">
      <c r="A1545" t="s">
        <v>75</v>
      </c>
      <c r="B1545">
        <v>21</v>
      </c>
      <c r="C1545">
        <v>31</v>
      </c>
      <c r="E1545">
        <v>512242</v>
      </c>
      <c r="F1545">
        <v>9385</v>
      </c>
      <c r="G1545">
        <v>149945</v>
      </c>
      <c r="H1545">
        <v>3000</v>
      </c>
      <c r="I1545">
        <v>6000</v>
      </c>
    </row>
    <row r="1546" spans="1:11">
      <c r="A1546" t="s">
        <v>75</v>
      </c>
      <c r="B1546">
        <v>21</v>
      </c>
      <c r="C1546">
        <v>32</v>
      </c>
      <c r="H1546">
        <v>50000</v>
      </c>
    </row>
    <row r="1547" spans="1:11">
      <c r="A1547" t="s">
        <v>75</v>
      </c>
      <c r="B1547">
        <v>21</v>
      </c>
      <c r="C1547">
        <v>33</v>
      </c>
      <c r="H1547">
        <v>60000</v>
      </c>
    </row>
    <row r="1548" spans="1:11">
      <c r="A1548" t="s">
        <v>75</v>
      </c>
      <c r="B1548">
        <v>21</v>
      </c>
      <c r="C1548">
        <v>34</v>
      </c>
      <c r="E1548">
        <v>185505</v>
      </c>
      <c r="G1548">
        <v>29010</v>
      </c>
    </row>
    <row r="1549" spans="1:11">
      <c r="A1549" t="s">
        <v>75</v>
      </c>
      <c r="B1549">
        <v>24</v>
      </c>
      <c r="C1549">
        <v>24</v>
      </c>
      <c r="E1549">
        <v>120128</v>
      </c>
      <c r="G1549">
        <v>36126</v>
      </c>
    </row>
    <row r="1550" spans="1:11">
      <c r="A1550" t="s">
        <v>75</v>
      </c>
      <c r="B1550">
        <v>24</v>
      </c>
      <c r="C1550">
        <v>27</v>
      </c>
      <c r="E1550">
        <v>2115430</v>
      </c>
      <c r="G1550">
        <v>659967</v>
      </c>
      <c r="I1550">
        <v>27000</v>
      </c>
    </row>
    <row r="1551" spans="1:11">
      <c r="A1551" t="s">
        <v>75</v>
      </c>
      <c r="B1551">
        <v>24</v>
      </c>
      <c r="C1551">
        <v>31</v>
      </c>
      <c r="E1551">
        <v>23974</v>
      </c>
      <c r="G1551">
        <v>3700</v>
      </c>
    </row>
    <row r="1552" spans="1:11">
      <c r="A1552" t="s">
        <v>181</v>
      </c>
      <c r="B1552">
        <v>21</v>
      </c>
      <c r="C1552">
        <v>21</v>
      </c>
      <c r="E1552">
        <v>8151</v>
      </c>
      <c r="F1552">
        <v>33422</v>
      </c>
      <c r="G1552">
        <v>22089</v>
      </c>
      <c r="H1552">
        <v>12000</v>
      </c>
      <c r="I1552">
        <v>5000</v>
      </c>
      <c r="J1552">
        <v>1200</v>
      </c>
    </row>
    <row r="1553" spans="1:10">
      <c r="A1553" t="s">
        <v>181</v>
      </c>
      <c r="B1553">
        <v>21</v>
      </c>
      <c r="C1553">
        <v>23</v>
      </c>
      <c r="E1553">
        <v>71912</v>
      </c>
      <c r="G1553">
        <v>18195</v>
      </c>
    </row>
    <row r="1554" spans="1:10">
      <c r="A1554" t="s">
        <v>181</v>
      </c>
      <c r="B1554">
        <v>21</v>
      </c>
      <c r="C1554">
        <v>26</v>
      </c>
      <c r="E1554">
        <v>161308</v>
      </c>
      <c r="G1554">
        <v>49197</v>
      </c>
      <c r="H1554">
        <v>5500</v>
      </c>
      <c r="I1554">
        <v>66000</v>
      </c>
    </row>
    <row r="1555" spans="1:10">
      <c r="A1555" t="s">
        <v>181</v>
      </c>
      <c r="B1555">
        <v>21</v>
      </c>
      <c r="C1555">
        <v>27</v>
      </c>
      <c r="E1555">
        <v>392734</v>
      </c>
      <c r="F1555">
        <v>335072</v>
      </c>
      <c r="G1555">
        <v>354801</v>
      </c>
      <c r="H1555">
        <v>18000</v>
      </c>
      <c r="I1555">
        <v>9250</v>
      </c>
    </row>
    <row r="1556" spans="1:10">
      <c r="A1556" t="s">
        <v>181</v>
      </c>
      <c r="B1556">
        <v>21</v>
      </c>
      <c r="C1556">
        <v>31</v>
      </c>
      <c r="I1556">
        <v>250</v>
      </c>
    </row>
    <row r="1557" spans="1:10">
      <c r="A1557" t="s">
        <v>181</v>
      </c>
      <c r="B1557">
        <v>21</v>
      </c>
      <c r="C1557">
        <v>32</v>
      </c>
      <c r="I1557">
        <v>2000</v>
      </c>
    </row>
    <row r="1558" spans="1:10">
      <c r="A1558" t="s">
        <v>181</v>
      </c>
      <c r="B1558">
        <v>21</v>
      </c>
      <c r="C1558">
        <v>35</v>
      </c>
      <c r="H1558">
        <v>10000</v>
      </c>
    </row>
    <row r="1559" spans="1:10">
      <c r="A1559" t="s">
        <v>181</v>
      </c>
      <c r="B1559">
        <v>24</v>
      </c>
      <c r="C1559">
        <v>21</v>
      </c>
      <c r="E1559">
        <v>59416</v>
      </c>
      <c r="G1559">
        <v>17403</v>
      </c>
    </row>
    <row r="1560" spans="1:10">
      <c r="A1560" t="s">
        <v>181</v>
      </c>
      <c r="B1560">
        <v>24</v>
      </c>
      <c r="C1560">
        <v>27</v>
      </c>
      <c r="E1560">
        <v>63986</v>
      </c>
      <c r="G1560">
        <v>27404</v>
      </c>
    </row>
    <row r="1561" spans="1:10">
      <c r="A1561" t="s">
        <v>81</v>
      </c>
      <c r="B1561">
        <v>21</v>
      </c>
      <c r="C1561">
        <v>21</v>
      </c>
      <c r="E1561">
        <v>513440</v>
      </c>
      <c r="F1561">
        <v>110056</v>
      </c>
      <c r="G1561">
        <v>183432</v>
      </c>
      <c r="H1561">
        <v>5500</v>
      </c>
      <c r="I1561">
        <v>4500</v>
      </c>
      <c r="J1561">
        <v>1000</v>
      </c>
    </row>
    <row r="1562" spans="1:10">
      <c r="A1562" t="s">
        <v>81</v>
      </c>
      <c r="B1562">
        <v>21</v>
      </c>
      <c r="C1562">
        <v>24</v>
      </c>
      <c r="E1562">
        <v>187720</v>
      </c>
      <c r="G1562">
        <v>61881</v>
      </c>
    </row>
    <row r="1563" spans="1:10">
      <c r="A1563" t="s">
        <v>81</v>
      </c>
      <c r="B1563">
        <v>21</v>
      </c>
      <c r="C1563">
        <v>25</v>
      </c>
      <c r="F1563">
        <v>139496</v>
      </c>
      <c r="G1563">
        <v>133744</v>
      </c>
    </row>
    <row r="1564" spans="1:10">
      <c r="A1564" t="s">
        <v>81</v>
      </c>
      <c r="B1564">
        <v>21</v>
      </c>
      <c r="C1564">
        <v>26</v>
      </c>
      <c r="E1564">
        <v>2692609</v>
      </c>
      <c r="G1564">
        <v>873506</v>
      </c>
      <c r="H1564">
        <v>6000</v>
      </c>
      <c r="I1564">
        <v>226000</v>
      </c>
      <c r="J1564">
        <v>3700</v>
      </c>
    </row>
    <row r="1565" spans="1:10">
      <c r="A1565" t="s">
        <v>81</v>
      </c>
      <c r="B1565">
        <v>21</v>
      </c>
      <c r="C1565">
        <v>27</v>
      </c>
      <c r="D1565">
        <v>5500</v>
      </c>
      <c r="E1565">
        <v>3598207</v>
      </c>
      <c r="F1565">
        <v>2575501</v>
      </c>
      <c r="G1565">
        <v>2847065</v>
      </c>
      <c r="H1565">
        <v>30312</v>
      </c>
      <c r="I1565">
        <v>558000</v>
      </c>
      <c r="J1565">
        <v>1500</v>
      </c>
    </row>
    <row r="1566" spans="1:10">
      <c r="A1566" t="s">
        <v>81</v>
      </c>
      <c r="B1566">
        <v>21</v>
      </c>
      <c r="C1566">
        <v>31</v>
      </c>
      <c r="E1566">
        <v>54290</v>
      </c>
      <c r="G1566">
        <v>5693</v>
      </c>
    </row>
    <row r="1567" spans="1:10">
      <c r="A1567" t="s">
        <v>81</v>
      </c>
      <c r="B1567">
        <v>21</v>
      </c>
      <c r="C1567">
        <v>34</v>
      </c>
      <c r="E1567">
        <v>89000</v>
      </c>
      <c r="G1567">
        <v>9333</v>
      </c>
    </row>
    <row r="1568" spans="1:10">
      <c r="A1568" t="s">
        <v>81</v>
      </c>
      <c r="B1568">
        <v>24</v>
      </c>
      <c r="C1568">
        <v>27</v>
      </c>
      <c r="E1568">
        <v>860825</v>
      </c>
      <c r="G1568">
        <v>289879</v>
      </c>
    </row>
    <row r="1569" spans="1:10">
      <c r="A1569" t="s">
        <v>81</v>
      </c>
      <c r="B1569">
        <v>24</v>
      </c>
      <c r="C1569">
        <v>31</v>
      </c>
      <c r="E1569">
        <v>22250</v>
      </c>
      <c r="G1569">
        <v>2333</v>
      </c>
    </row>
    <row r="1570" spans="1:10">
      <c r="A1570" t="s">
        <v>137</v>
      </c>
      <c r="B1570">
        <v>21</v>
      </c>
      <c r="C1570">
        <v>21</v>
      </c>
      <c r="E1570">
        <v>177212</v>
      </c>
      <c r="F1570">
        <v>59592</v>
      </c>
      <c r="G1570">
        <v>70411</v>
      </c>
      <c r="H1570">
        <v>2600</v>
      </c>
      <c r="I1570">
        <v>3700</v>
      </c>
      <c r="J1570">
        <v>1000</v>
      </c>
    </row>
    <row r="1571" spans="1:10">
      <c r="A1571" t="s">
        <v>137</v>
      </c>
      <c r="B1571">
        <v>21</v>
      </c>
      <c r="C1571">
        <v>25</v>
      </c>
      <c r="F1571">
        <v>118892</v>
      </c>
      <c r="G1571">
        <v>105545</v>
      </c>
      <c r="H1571">
        <v>1000</v>
      </c>
    </row>
    <row r="1572" spans="1:10">
      <c r="A1572" t="s">
        <v>137</v>
      </c>
      <c r="B1572">
        <v>21</v>
      </c>
      <c r="C1572">
        <v>26</v>
      </c>
      <c r="E1572">
        <v>1955855</v>
      </c>
      <c r="F1572">
        <v>199432</v>
      </c>
      <c r="G1572">
        <v>787467</v>
      </c>
      <c r="H1572">
        <v>30173</v>
      </c>
      <c r="I1572">
        <v>104000</v>
      </c>
      <c r="J1572">
        <v>5000</v>
      </c>
    </row>
    <row r="1573" spans="1:10">
      <c r="A1573" t="s">
        <v>137</v>
      </c>
      <c r="B1573">
        <v>21</v>
      </c>
      <c r="C1573">
        <v>27</v>
      </c>
      <c r="D1573">
        <v>2000</v>
      </c>
      <c r="E1573">
        <v>3363085</v>
      </c>
      <c r="F1573">
        <v>1376040</v>
      </c>
      <c r="G1573">
        <v>1992022</v>
      </c>
      <c r="H1573">
        <v>17000</v>
      </c>
      <c r="I1573">
        <v>10000</v>
      </c>
      <c r="J1573">
        <v>2500</v>
      </c>
    </row>
    <row r="1574" spans="1:10">
      <c r="A1574" t="s">
        <v>137</v>
      </c>
      <c r="B1574">
        <v>21</v>
      </c>
      <c r="C1574">
        <v>31</v>
      </c>
      <c r="E1574">
        <v>9260</v>
      </c>
      <c r="G1574">
        <v>716</v>
      </c>
      <c r="I1574">
        <v>4500</v>
      </c>
      <c r="J1574">
        <v>1000</v>
      </c>
    </row>
    <row r="1575" spans="1:10">
      <c r="A1575" t="s">
        <v>137</v>
      </c>
      <c r="B1575">
        <v>21</v>
      </c>
      <c r="C1575">
        <v>32</v>
      </c>
      <c r="H1575">
        <v>5000</v>
      </c>
    </row>
    <row r="1576" spans="1:10">
      <c r="A1576" t="s">
        <v>137</v>
      </c>
      <c r="B1576">
        <v>21</v>
      </c>
      <c r="C1576">
        <v>33</v>
      </c>
      <c r="H1576">
        <v>5000</v>
      </c>
    </row>
    <row r="1577" spans="1:10">
      <c r="A1577" t="s">
        <v>137</v>
      </c>
      <c r="B1577">
        <v>21</v>
      </c>
      <c r="C1577">
        <v>34</v>
      </c>
      <c r="E1577">
        <v>74942</v>
      </c>
      <c r="G1577">
        <v>25515</v>
      </c>
    </row>
    <row r="1578" spans="1:10">
      <c r="A1578" t="s">
        <v>137</v>
      </c>
      <c r="B1578">
        <v>24</v>
      </c>
      <c r="C1578">
        <v>27</v>
      </c>
      <c r="F1578">
        <v>485148</v>
      </c>
      <c r="G1578">
        <v>359942</v>
      </c>
    </row>
    <row r="1579" spans="1:10">
      <c r="A1579" t="s">
        <v>269</v>
      </c>
      <c r="B1579">
        <v>21</v>
      </c>
      <c r="C1579">
        <v>21</v>
      </c>
      <c r="E1579">
        <v>86003</v>
      </c>
      <c r="G1579">
        <v>27097</v>
      </c>
      <c r="H1579">
        <v>600</v>
      </c>
      <c r="I1579">
        <v>200</v>
      </c>
    </row>
    <row r="1580" spans="1:10">
      <c r="A1580" t="s">
        <v>269</v>
      </c>
      <c r="B1580">
        <v>21</v>
      </c>
      <c r="C1580">
        <v>26</v>
      </c>
      <c r="E1580">
        <v>86737</v>
      </c>
      <c r="G1580">
        <v>45678</v>
      </c>
      <c r="H1580">
        <v>2000</v>
      </c>
      <c r="I1580">
        <v>425000</v>
      </c>
    </row>
    <row r="1581" spans="1:10">
      <c r="A1581" t="s">
        <v>269</v>
      </c>
      <c r="B1581">
        <v>21</v>
      </c>
      <c r="C1581">
        <v>27</v>
      </c>
      <c r="E1581">
        <v>91213</v>
      </c>
      <c r="F1581">
        <v>163966</v>
      </c>
      <c r="G1581">
        <v>148523</v>
      </c>
      <c r="H1581">
        <v>4101</v>
      </c>
      <c r="I1581">
        <v>16984</v>
      </c>
      <c r="J1581">
        <v>1000</v>
      </c>
    </row>
    <row r="1582" spans="1:10">
      <c r="A1582" t="s">
        <v>269</v>
      </c>
      <c r="B1582">
        <v>21</v>
      </c>
      <c r="C1582">
        <v>31</v>
      </c>
      <c r="E1582">
        <v>1994</v>
      </c>
      <c r="F1582">
        <v>1999</v>
      </c>
      <c r="G1582">
        <v>687</v>
      </c>
      <c r="I1582">
        <v>3250</v>
      </c>
      <c r="J1582">
        <v>300</v>
      </c>
    </row>
    <row r="1583" spans="1:10">
      <c r="A1583" t="s">
        <v>269</v>
      </c>
      <c r="B1583">
        <v>21</v>
      </c>
      <c r="C1583">
        <v>32</v>
      </c>
      <c r="H1583">
        <v>500</v>
      </c>
    </row>
    <row r="1584" spans="1:10">
      <c r="A1584" t="s">
        <v>269</v>
      </c>
      <c r="B1584">
        <v>21</v>
      </c>
      <c r="C1584">
        <v>33</v>
      </c>
      <c r="H1584">
        <v>600</v>
      </c>
    </row>
    <row r="1585" spans="1:10">
      <c r="A1585" t="s">
        <v>269</v>
      </c>
      <c r="B1585">
        <v>24</v>
      </c>
      <c r="C1585">
        <v>27</v>
      </c>
      <c r="E1585">
        <v>96703</v>
      </c>
      <c r="F1585">
        <v>17719</v>
      </c>
      <c r="G1585">
        <v>43334</v>
      </c>
    </row>
    <row r="1586" spans="1:10">
      <c r="A1586" t="s">
        <v>613</v>
      </c>
      <c r="B1586">
        <v>21</v>
      </c>
      <c r="C1586">
        <v>21</v>
      </c>
      <c r="E1586">
        <v>155210</v>
      </c>
      <c r="F1586">
        <v>45158</v>
      </c>
      <c r="G1586">
        <v>63004</v>
      </c>
      <c r="I1586">
        <v>10000</v>
      </c>
      <c r="J1586">
        <v>1000</v>
      </c>
    </row>
    <row r="1587" spans="1:10">
      <c r="A1587" t="s">
        <v>613</v>
      </c>
      <c r="B1587">
        <v>21</v>
      </c>
      <c r="C1587">
        <v>23</v>
      </c>
      <c r="F1587">
        <v>16856</v>
      </c>
      <c r="G1587">
        <v>10565</v>
      </c>
    </row>
    <row r="1588" spans="1:10">
      <c r="A1588" t="s">
        <v>613</v>
      </c>
      <c r="B1588">
        <v>21</v>
      </c>
      <c r="C1588">
        <v>26</v>
      </c>
      <c r="E1588">
        <v>1350753</v>
      </c>
      <c r="F1588">
        <v>58314</v>
      </c>
      <c r="G1588">
        <v>462146</v>
      </c>
      <c r="H1588">
        <v>5000</v>
      </c>
      <c r="I1588">
        <v>240000</v>
      </c>
    </row>
    <row r="1589" spans="1:10">
      <c r="A1589" t="s">
        <v>613</v>
      </c>
      <c r="B1589">
        <v>21</v>
      </c>
      <c r="C1589">
        <v>27</v>
      </c>
      <c r="E1589">
        <v>1727238</v>
      </c>
      <c r="F1589">
        <v>1241198</v>
      </c>
      <c r="G1589">
        <v>1391197</v>
      </c>
      <c r="H1589">
        <v>145000</v>
      </c>
      <c r="I1589">
        <v>442000</v>
      </c>
      <c r="J1589">
        <v>3000</v>
      </c>
    </row>
    <row r="1590" spans="1:10">
      <c r="A1590" t="s">
        <v>613</v>
      </c>
      <c r="B1590">
        <v>21</v>
      </c>
      <c r="C1590">
        <v>31</v>
      </c>
      <c r="I1590">
        <v>2000</v>
      </c>
    </row>
    <row r="1591" spans="1:10">
      <c r="A1591" t="s">
        <v>613</v>
      </c>
      <c r="B1591">
        <v>21</v>
      </c>
      <c r="C1591">
        <v>32</v>
      </c>
      <c r="H1591">
        <v>25000</v>
      </c>
    </row>
    <row r="1592" spans="1:10">
      <c r="A1592" t="s">
        <v>613</v>
      </c>
      <c r="B1592">
        <v>21</v>
      </c>
      <c r="C1592">
        <v>34</v>
      </c>
      <c r="E1592">
        <v>48986</v>
      </c>
      <c r="G1592">
        <v>16031</v>
      </c>
    </row>
    <row r="1593" spans="1:10">
      <c r="A1593" t="s">
        <v>613</v>
      </c>
      <c r="B1593">
        <v>24</v>
      </c>
      <c r="C1593">
        <v>27</v>
      </c>
      <c r="E1593">
        <v>465355</v>
      </c>
      <c r="F1593">
        <v>111701</v>
      </c>
      <c r="G1593">
        <v>232318</v>
      </c>
    </row>
    <row r="1594" spans="1:10">
      <c r="A1594" t="s">
        <v>613</v>
      </c>
      <c r="B1594">
        <v>24</v>
      </c>
      <c r="C1594">
        <v>31</v>
      </c>
      <c r="E1594">
        <v>7541</v>
      </c>
      <c r="G1594">
        <v>2489</v>
      </c>
    </row>
    <row r="1595" spans="1:10">
      <c r="A1595" t="s">
        <v>131</v>
      </c>
      <c r="B1595">
        <v>21</v>
      </c>
      <c r="C1595">
        <v>21</v>
      </c>
      <c r="E1595">
        <v>217550</v>
      </c>
      <c r="F1595">
        <v>42505</v>
      </c>
      <c r="G1595">
        <v>45899</v>
      </c>
      <c r="H1595">
        <v>10250</v>
      </c>
      <c r="I1595">
        <v>500</v>
      </c>
      <c r="J1595">
        <v>1000</v>
      </c>
    </row>
    <row r="1596" spans="1:10">
      <c r="A1596" t="s">
        <v>131</v>
      </c>
      <c r="B1596">
        <v>21</v>
      </c>
      <c r="C1596">
        <v>25</v>
      </c>
      <c r="F1596">
        <v>48868</v>
      </c>
      <c r="G1596">
        <v>31209</v>
      </c>
    </row>
    <row r="1597" spans="1:10">
      <c r="A1597" t="s">
        <v>131</v>
      </c>
      <c r="B1597">
        <v>21</v>
      </c>
      <c r="C1597">
        <v>26</v>
      </c>
      <c r="E1597">
        <v>892973</v>
      </c>
      <c r="G1597">
        <v>293370</v>
      </c>
      <c r="H1597">
        <v>40000</v>
      </c>
      <c r="I1597">
        <v>2500</v>
      </c>
      <c r="J1597">
        <v>500</v>
      </c>
    </row>
    <row r="1598" spans="1:10">
      <c r="A1598" t="s">
        <v>131</v>
      </c>
      <c r="B1598">
        <v>21</v>
      </c>
      <c r="C1598">
        <v>27</v>
      </c>
      <c r="D1598">
        <v>1564</v>
      </c>
      <c r="E1598">
        <v>1425131</v>
      </c>
      <c r="F1598">
        <v>536788</v>
      </c>
      <c r="G1598">
        <v>891479</v>
      </c>
      <c r="H1598">
        <v>577500</v>
      </c>
      <c r="I1598">
        <v>318500</v>
      </c>
      <c r="J1598">
        <v>250</v>
      </c>
    </row>
    <row r="1599" spans="1:10">
      <c r="A1599" t="s">
        <v>131</v>
      </c>
      <c r="B1599">
        <v>21</v>
      </c>
      <c r="C1599">
        <v>31</v>
      </c>
      <c r="E1599">
        <v>36003</v>
      </c>
      <c r="G1599">
        <v>5992</v>
      </c>
      <c r="I1599">
        <v>4200</v>
      </c>
      <c r="J1599">
        <v>1200</v>
      </c>
    </row>
    <row r="1600" spans="1:10">
      <c r="A1600" t="s">
        <v>131</v>
      </c>
      <c r="B1600">
        <v>21</v>
      </c>
      <c r="C1600">
        <v>34</v>
      </c>
      <c r="E1600">
        <v>3316</v>
      </c>
      <c r="G1600">
        <v>536</v>
      </c>
    </row>
    <row r="1601" spans="1:10">
      <c r="A1601" t="s">
        <v>131</v>
      </c>
      <c r="B1601">
        <v>24</v>
      </c>
      <c r="C1601">
        <v>27</v>
      </c>
      <c r="E1601">
        <v>64608</v>
      </c>
      <c r="F1601">
        <v>232162</v>
      </c>
      <c r="G1601">
        <v>186269</v>
      </c>
    </row>
    <row r="1602" spans="1:10">
      <c r="A1602" t="s">
        <v>131</v>
      </c>
      <c r="B1602">
        <v>24</v>
      </c>
      <c r="C1602">
        <v>31</v>
      </c>
      <c r="E1602">
        <v>1033</v>
      </c>
      <c r="G1602">
        <v>173</v>
      </c>
    </row>
    <row r="1603" spans="1:10">
      <c r="A1603" t="s">
        <v>461</v>
      </c>
      <c r="B1603">
        <v>21</v>
      </c>
      <c r="C1603">
        <v>21</v>
      </c>
      <c r="E1603">
        <v>19658</v>
      </c>
      <c r="F1603">
        <v>19824</v>
      </c>
      <c r="G1603">
        <v>23029</v>
      </c>
    </row>
    <row r="1604" spans="1:10">
      <c r="A1604" t="s">
        <v>461</v>
      </c>
      <c r="B1604">
        <v>21</v>
      </c>
      <c r="C1604">
        <v>25</v>
      </c>
      <c r="F1604">
        <v>1864</v>
      </c>
      <c r="G1604">
        <v>1469</v>
      </c>
    </row>
    <row r="1605" spans="1:10">
      <c r="A1605" t="s">
        <v>461</v>
      </c>
      <c r="B1605">
        <v>21</v>
      </c>
      <c r="C1605">
        <v>26</v>
      </c>
      <c r="E1605">
        <v>568041</v>
      </c>
      <c r="F1605">
        <v>14201</v>
      </c>
      <c r="G1605">
        <v>200166</v>
      </c>
    </row>
    <row r="1606" spans="1:10">
      <c r="A1606" t="s">
        <v>461</v>
      </c>
      <c r="B1606">
        <v>21</v>
      </c>
      <c r="C1606">
        <v>27</v>
      </c>
      <c r="E1606">
        <v>892348</v>
      </c>
      <c r="F1606">
        <v>293276</v>
      </c>
      <c r="G1606">
        <v>531289</v>
      </c>
    </row>
    <row r="1607" spans="1:10">
      <c r="A1607" t="s">
        <v>461</v>
      </c>
      <c r="B1607">
        <v>24</v>
      </c>
      <c r="C1607">
        <v>27</v>
      </c>
      <c r="E1607">
        <v>11608</v>
      </c>
      <c r="F1607">
        <v>229268</v>
      </c>
      <c r="G1607">
        <v>175618</v>
      </c>
      <c r="I1607">
        <v>3561</v>
      </c>
    </row>
    <row r="1608" spans="1:10">
      <c r="A1608" t="s">
        <v>515</v>
      </c>
      <c r="B1608">
        <v>21</v>
      </c>
      <c r="C1608">
        <v>21</v>
      </c>
      <c r="E1608">
        <v>62710</v>
      </c>
      <c r="G1608">
        <v>24367</v>
      </c>
      <c r="H1608">
        <v>225</v>
      </c>
    </row>
    <row r="1609" spans="1:10">
      <c r="A1609" t="s">
        <v>515</v>
      </c>
      <c r="B1609">
        <v>21</v>
      </c>
      <c r="C1609">
        <v>26</v>
      </c>
      <c r="E1609">
        <v>150765</v>
      </c>
      <c r="G1609">
        <v>60143</v>
      </c>
      <c r="H1609">
        <v>1470</v>
      </c>
      <c r="I1609">
        <v>165620</v>
      </c>
    </row>
    <row r="1610" spans="1:10">
      <c r="A1610" t="s">
        <v>515</v>
      </c>
      <c r="B1610">
        <v>21</v>
      </c>
      <c r="C1610">
        <v>27</v>
      </c>
      <c r="E1610">
        <v>182212</v>
      </c>
      <c r="F1610">
        <v>411003</v>
      </c>
      <c r="G1610">
        <v>313264</v>
      </c>
      <c r="H1610">
        <v>85761</v>
      </c>
      <c r="J1610">
        <v>225</v>
      </c>
    </row>
    <row r="1611" spans="1:10">
      <c r="A1611" t="s">
        <v>515</v>
      </c>
      <c r="B1611">
        <v>21</v>
      </c>
      <c r="C1611">
        <v>33</v>
      </c>
      <c r="H1611">
        <v>1156</v>
      </c>
    </row>
    <row r="1612" spans="1:10">
      <c r="A1612" t="s">
        <v>515</v>
      </c>
      <c r="B1612">
        <v>21</v>
      </c>
      <c r="C1612">
        <v>34</v>
      </c>
      <c r="E1612">
        <v>5635</v>
      </c>
      <c r="G1612">
        <v>2126</v>
      </c>
    </row>
    <row r="1613" spans="1:10">
      <c r="A1613" t="s">
        <v>515</v>
      </c>
      <c r="B1613">
        <v>24</v>
      </c>
      <c r="C1613">
        <v>26</v>
      </c>
      <c r="I1613">
        <v>132921</v>
      </c>
    </row>
    <row r="1614" spans="1:10">
      <c r="A1614" t="s">
        <v>279</v>
      </c>
      <c r="B1614">
        <v>21</v>
      </c>
      <c r="C1614">
        <v>27</v>
      </c>
      <c r="E1614">
        <v>52633</v>
      </c>
      <c r="G1614">
        <v>17852</v>
      </c>
      <c r="H1614">
        <v>100</v>
      </c>
      <c r="I1614">
        <v>6793</v>
      </c>
    </row>
    <row r="1615" spans="1:10">
      <c r="A1615" t="s">
        <v>279</v>
      </c>
      <c r="B1615">
        <v>21</v>
      </c>
      <c r="C1615">
        <v>31</v>
      </c>
      <c r="I1615">
        <v>7950</v>
      </c>
    </row>
    <row r="1616" spans="1:10">
      <c r="A1616" t="s">
        <v>279</v>
      </c>
      <c r="B1616">
        <v>21</v>
      </c>
      <c r="C1616">
        <v>32</v>
      </c>
      <c r="I1616">
        <v>1089</v>
      </c>
    </row>
    <row r="1617" spans="1:9">
      <c r="A1617" t="s">
        <v>279</v>
      </c>
      <c r="B1617">
        <v>24</v>
      </c>
      <c r="C1617">
        <v>27</v>
      </c>
      <c r="E1617">
        <v>5263</v>
      </c>
      <c r="G1617">
        <v>1785</v>
      </c>
      <c r="I1617">
        <v>443</v>
      </c>
    </row>
    <row r="1618" spans="1:9">
      <c r="A1618" t="s">
        <v>423</v>
      </c>
      <c r="B1618">
        <v>21</v>
      </c>
      <c r="C1618">
        <v>24</v>
      </c>
      <c r="E1618">
        <v>21299</v>
      </c>
      <c r="G1618">
        <v>7668</v>
      </c>
    </row>
    <row r="1619" spans="1:9">
      <c r="A1619" t="s">
        <v>423</v>
      </c>
      <c r="B1619">
        <v>21</v>
      </c>
      <c r="C1619">
        <v>26</v>
      </c>
      <c r="H1619">
        <v>1664</v>
      </c>
      <c r="I1619">
        <v>234002</v>
      </c>
    </row>
    <row r="1620" spans="1:9">
      <c r="A1620" t="s">
        <v>423</v>
      </c>
      <c r="B1620">
        <v>21</v>
      </c>
      <c r="C1620">
        <v>27</v>
      </c>
      <c r="E1620">
        <v>85108</v>
      </c>
      <c r="F1620">
        <v>30000</v>
      </c>
      <c r="G1620">
        <v>41439</v>
      </c>
    </row>
    <row r="1621" spans="1:9">
      <c r="A1621" t="s">
        <v>423</v>
      </c>
      <c r="B1621">
        <v>24</v>
      </c>
      <c r="C1621">
        <v>27</v>
      </c>
      <c r="E1621">
        <v>37748</v>
      </c>
      <c r="G1621">
        <v>13589</v>
      </c>
    </row>
    <row r="1622" spans="1:9">
      <c r="A1622" t="s">
        <v>381</v>
      </c>
      <c r="B1622">
        <v>21</v>
      </c>
      <c r="C1622">
        <v>21</v>
      </c>
      <c r="E1622">
        <v>7380</v>
      </c>
      <c r="G1622">
        <v>3434</v>
      </c>
    </row>
    <row r="1623" spans="1:9">
      <c r="A1623" t="s">
        <v>381</v>
      </c>
      <c r="B1623">
        <v>21</v>
      </c>
      <c r="C1623">
        <v>26</v>
      </c>
      <c r="I1623">
        <v>7000</v>
      </c>
    </row>
    <row r="1624" spans="1:9">
      <c r="A1624" t="s">
        <v>381</v>
      </c>
      <c r="B1624">
        <v>21</v>
      </c>
      <c r="C1624">
        <v>27</v>
      </c>
      <c r="E1624">
        <v>63444</v>
      </c>
      <c r="F1624">
        <v>13130</v>
      </c>
      <c r="G1624">
        <v>35296</v>
      </c>
    </row>
    <row r="1625" spans="1:9">
      <c r="A1625" t="s">
        <v>381</v>
      </c>
      <c r="B1625">
        <v>24</v>
      </c>
      <c r="C1625">
        <v>26</v>
      </c>
      <c r="I1625">
        <v>13025</v>
      </c>
    </row>
    <row r="1626" spans="1:9">
      <c r="A1626" t="s">
        <v>83</v>
      </c>
      <c r="B1626">
        <v>21</v>
      </c>
      <c r="C1626">
        <v>21</v>
      </c>
      <c r="E1626">
        <v>110585</v>
      </c>
      <c r="F1626">
        <v>11869</v>
      </c>
      <c r="G1626">
        <v>41147</v>
      </c>
    </row>
    <row r="1627" spans="1:9">
      <c r="A1627" t="s">
        <v>83</v>
      </c>
      <c r="B1627">
        <v>21</v>
      </c>
      <c r="C1627">
        <v>26</v>
      </c>
      <c r="E1627">
        <v>190714</v>
      </c>
      <c r="G1627">
        <v>63733</v>
      </c>
      <c r="I1627">
        <v>155000</v>
      </c>
    </row>
    <row r="1628" spans="1:9">
      <c r="A1628" t="s">
        <v>83</v>
      </c>
      <c r="B1628">
        <v>21</v>
      </c>
      <c r="C1628">
        <v>27</v>
      </c>
      <c r="E1628">
        <v>355959</v>
      </c>
      <c r="F1628">
        <v>379260</v>
      </c>
      <c r="G1628">
        <v>347283</v>
      </c>
      <c r="H1628">
        <v>8155</v>
      </c>
      <c r="I1628">
        <v>123143</v>
      </c>
    </row>
    <row r="1629" spans="1:9">
      <c r="A1629" t="s">
        <v>83</v>
      </c>
      <c r="B1629">
        <v>21</v>
      </c>
      <c r="C1629">
        <v>31</v>
      </c>
      <c r="E1629">
        <v>5928</v>
      </c>
      <c r="G1629">
        <v>1016</v>
      </c>
    </row>
    <row r="1630" spans="1:9">
      <c r="A1630" t="s">
        <v>83</v>
      </c>
      <c r="B1630">
        <v>21</v>
      </c>
      <c r="C1630">
        <v>32</v>
      </c>
      <c r="F1630">
        <v>7564</v>
      </c>
      <c r="G1630">
        <v>2828</v>
      </c>
    </row>
    <row r="1631" spans="1:9">
      <c r="A1631" t="s">
        <v>83</v>
      </c>
      <c r="B1631">
        <v>21</v>
      </c>
      <c r="C1631">
        <v>34</v>
      </c>
      <c r="E1631">
        <v>8475</v>
      </c>
      <c r="G1631">
        <v>1441</v>
      </c>
    </row>
    <row r="1632" spans="1:9">
      <c r="A1632" t="s">
        <v>83</v>
      </c>
      <c r="B1632">
        <v>24</v>
      </c>
      <c r="C1632">
        <v>27</v>
      </c>
      <c r="E1632">
        <v>149486</v>
      </c>
      <c r="G1632">
        <v>52685</v>
      </c>
      <c r="H1632">
        <v>1593</v>
      </c>
    </row>
    <row r="1633" spans="1:10">
      <c r="A1633" t="s">
        <v>607</v>
      </c>
      <c r="B1633">
        <v>21</v>
      </c>
      <c r="C1633">
        <v>21</v>
      </c>
      <c r="E1633">
        <v>12011</v>
      </c>
      <c r="G1633">
        <v>2121</v>
      </c>
    </row>
    <row r="1634" spans="1:10">
      <c r="A1634" t="s">
        <v>607</v>
      </c>
      <c r="B1634">
        <v>21</v>
      </c>
      <c r="C1634">
        <v>26</v>
      </c>
      <c r="E1634">
        <v>168684</v>
      </c>
      <c r="G1634">
        <v>60197</v>
      </c>
    </row>
    <row r="1635" spans="1:10">
      <c r="A1635" t="s">
        <v>607</v>
      </c>
      <c r="B1635">
        <v>21</v>
      </c>
      <c r="C1635">
        <v>27</v>
      </c>
      <c r="E1635">
        <v>155124</v>
      </c>
      <c r="F1635">
        <v>221239</v>
      </c>
      <c r="G1635">
        <v>217763</v>
      </c>
      <c r="H1635">
        <v>28032</v>
      </c>
      <c r="I1635">
        <v>198280</v>
      </c>
    </row>
    <row r="1636" spans="1:10">
      <c r="A1636" t="s">
        <v>607</v>
      </c>
      <c r="B1636">
        <v>24</v>
      </c>
      <c r="C1636">
        <v>26</v>
      </c>
      <c r="E1636">
        <v>48464</v>
      </c>
      <c r="G1636">
        <v>16467</v>
      </c>
      <c r="H1636">
        <v>5000</v>
      </c>
      <c r="I1636">
        <v>29411</v>
      </c>
    </row>
    <row r="1637" spans="1:10">
      <c r="A1637" t="s">
        <v>607</v>
      </c>
      <c r="B1637">
        <v>29</v>
      </c>
      <c r="C1637">
        <v>27</v>
      </c>
      <c r="E1637">
        <v>81074</v>
      </c>
      <c r="G1637">
        <v>25547</v>
      </c>
      <c r="I1637">
        <v>10000</v>
      </c>
      <c r="J1637">
        <v>10000</v>
      </c>
    </row>
    <row r="1638" spans="1:10">
      <c r="A1638" t="s">
        <v>607</v>
      </c>
      <c r="B1638">
        <v>29</v>
      </c>
      <c r="C1638">
        <v>31</v>
      </c>
      <c r="J1638">
        <v>5150</v>
      </c>
    </row>
    <row r="1639" spans="1:10">
      <c r="A1639" t="s">
        <v>581</v>
      </c>
      <c r="B1639">
        <v>21</v>
      </c>
      <c r="C1639">
        <v>21</v>
      </c>
      <c r="E1639">
        <v>120012</v>
      </c>
      <c r="F1639">
        <v>11670</v>
      </c>
      <c r="G1639">
        <v>38358</v>
      </c>
      <c r="H1639">
        <v>50</v>
      </c>
      <c r="I1639">
        <v>1516</v>
      </c>
    </row>
    <row r="1640" spans="1:10">
      <c r="A1640" t="s">
        <v>581</v>
      </c>
      <c r="B1640">
        <v>21</v>
      </c>
      <c r="C1640">
        <v>23</v>
      </c>
      <c r="F1640">
        <v>50064</v>
      </c>
      <c r="G1640">
        <v>23829</v>
      </c>
      <c r="H1640">
        <v>1430</v>
      </c>
      <c r="I1640">
        <v>500</v>
      </c>
      <c r="J1640">
        <v>1616</v>
      </c>
    </row>
    <row r="1641" spans="1:10">
      <c r="A1641" t="s">
        <v>581</v>
      </c>
      <c r="B1641">
        <v>21</v>
      </c>
      <c r="C1641">
        <v>26</v>
      </c>
      <c r="E1641">
        <v>174482</v>
      </c>
      <c r="G1641">
        <v>59952</v>
      </c>
      <c r="H1641">
        <v>6293</v>
      </c>
      <c r="I1641">
        <v>297600</v>
      </c>
      <c r="J1641">
        <v>1200</v>
      </c>
    </row>
    <row r="1642" spans="1:10">
      <c r="A1642" t="s">
        <v>581</v>
      </c>
      <c r="B1642">
        <v>21</v>
      </c>
      <c r="C1642">
        <v>27</v>
      </c>
      <c r="E1642">
        <v>374984</v>
      </c>
      <c r="F1642">
        <v>232133</v>
      </c>
      <c r="G1642">
        <v>259057</v>
      </c>
      <c r="H1642">
        <v>6150</v>
      </c>
    </row>
    <row r="1643" spans="1:10">
      <c r="A1643" t="s">
        <v>581</v>
      </c>
      <c r="B1643">
        <v>21</v>
      </c>
      <c r="C1643">
        <v>31</v>
      </c>
      <c r="F1643">
        <v>2309</v>
      </c>
      <c r="G1643">
        <v>1047</v>
      </c>
      <c r="H1643">
        <v>300</v>
      </c>
      <c r="I1643">
        <v>3750</v>
      </c>
      <c r="J1643">
        <v>2500</v>
      </c>
    </row>
    <row r="1644" spans="1:10">
      <c r="A1644" t="s">
        <v>581</v>
      </c>
      <c r="B1644">
        <v>21</v>
      </c>
      <c r="C1644">
        <v>32</v>
      </c>
      <c r="H1644">
        <v>4900</v>
      </c>
    </row>
    <row r="1645" spans="1:10">
      <c r="A1645" t="s">
        <v>581</v>
      </c>
      <c r="B1645">
        <v>21</v>
      </c>
      <c r="C1645">
        <v>33</v>
      </c>
      <c r="H1645">
        <v>21740</v>
      </c>
    </row>
    <row r="1646" spans="1:10">
      <c r="A1646" t="s">
        <v>581</v>
      </c>
      <c r="B1646">
        <v>21</v>
      </c>
      <c r="C1646">
        <v>34</v>
      </c>
      <c r="E1646">
        <v>6879</v>
      </c>
      <c r="G1646">
        <v>1170</v>
      </c>
      <c r="H1646">
        <v>263</v>
      </c>
      <c r="I1646">
        <v>1750</v>
      </c>
      <c r="J1646">
        <v>1773</v>
      </c>
    </row>
    <row r="1647" spans="1:10">
      <c r="A1647" t="s">
        <v>581</v>
      </c>
      <c r="B1647">
        <v>24</v>
      </c>
      <c r="C1647">
        <v>26</v>
      </c>
      <c r="I1647">
        <v>1657</v>
      </c>
    </row>
    <row r="1648" spans="1:10">
      <c r="A1648" t="s">
        <v>581</v>
      </c>
      <c r="B1648">
        <v>24</v>
      </c>
      <c r="C1648">
        <v>27</v>
      </c>
      <c r="E1648">
        <v>86025</v>
      </c>
      <c r="F1648">
        <v>15146</v>
      </c>
      <c r="G1648">
        <v>38844</v>
      </c>
    </row>
    <row r="1649" spans="1:10">
      <c r="A1649" t="s">
        <v>581</v>
      </c>
      <c r="B1649">
        <v>24</v>
      </c>
      <c r="C1649">
        <v>31</v>
      </c>
      <c r="E1649">
        <v>1492</v>
      </c>
      <c r="F1649">
        <v>1303</v>
      </c>
      <c r="G1649">
        <v>775</v>
      </c>
      <c r="I1649">
        <v>71000</v>
      </c>
      <c r="J1649">
        <v>3000</v>
      </c>
    </row>
    <row r="1650" spans="1:10">
      <c r="A1650" t="s">
        <v>581</v>
      </c>
      <c r="B1650">
        <v>24</v>
      </c>
      <c r="C1650">
        <v>33</v>
      </c>
      <c r="H1650">
        <v>2500</v>
      </c>
    </row>
    <row r="1651" spans="1:10">
      <c r="A1651" t="s">
        <v>103</v>
      </c>
      <c r="B1651">
        <v>21</v>
      </c>
      <c r="C1651">
        <v>21</v>
      </c>
      <c r="E1651">
        <v>127524</v>
      </c>
      <c r="F1651">
        <v>148845</v>
      </c>
      <c r="G1651">
        <v>90800</v>
      </c>
      <c r="H1651">
        <v>63000</v>
      </c>
    </row>
    <row r="1652" spans="1:10">
      <c r="A1652" t="s">
        <v>103</v>
      </c>
      <c r="B1652">
        <v>21</v>
      </c>
      <c r="C1652">
        <v>26</v>
      </c>
      <c r="E1652">
        <v>435704</v>
      </c>
      <c r="F1652">
        <v>29220</v>
      </c>
      <c r="G1652">
        <v>160192</v>
      </c>
      <c r="I1652">
        <v>389000</v>
      </c>
    </row>
    <row r="1653" spans="1:10">
      <c r="A1653" t="s">
        <v>103</v>
      </c>
      <c r="B1653">
        <v>21</v>
      </c>
      <c r="C1653">
        <v>27</v>
      </c>
      <c r="E1653">
        <v>800285</v>
      </c>
      <c r="F1653">
        <v>796618</v>
      </c>
      <c r="G1653">
        <v>795876</v>
      </c>
      <c r="H1653">
        <v>31000</v>
      </c>
      <c r="I1653">
        <v>67000</v>
      </c>
    </row>
    <row r="1654" spans="1:10">
      <c r="A1654" t="s">
        <v>103</v>
      </c>
      <c r="B1654">
        <v>21</v>
      </c>
      <c r="C1654">
        <v>31</v>
      </c>
      <c r="I1654">
        <v>20000</v>
      </c>
    </row>
    <row r="1655" spans="1:10">
      <c r="A1655" t="s">
        <v>103</v>
      </c>
      <c r="B1655">
        <v>21</v>
      </c>
      <c r="C1655">
        <v>33</v>
      </c>
      <c r="H1655">
        <v>3500</v>
      </c>
    </row>
    <row r="1656" spans="1:10">
      <c r="A1656" t="s">
        <v>103</v>
      </c>
      <c r="B1656">
        <v>21</v>
      </c>
      <c r="C1656">
        <v>34</v>
      </c>
      <c r="E1656">
        <v>22161</v>
      </c>
      <c r="G1656">
        <v>3492</v>
      </c>
    </row>
    <row r="1657" spans="1:10">
      <c r="A1657" t="s">
        <v>103</v>
      </c>
      <c r="B1657">
        <v>24</v>
      </c>
      <c r="C1657">
        <v>26</v>
      </c>
      <c r="E1657">
        <v>126420</v>
      </c>
      <c r="G1657">
        <v>44731</v>
      </c>
    </row>
    <row r="1658" spans="1:10">
      <c r="A1658" t="s">
        <v>103</v>
      </c>
      <c r="B1658">
        <v>24</v>
      </c>
      <c r="C1658">
        <v>27</v>
      </c>
      <c r="E1658">
        <v>201710</v>
      </c>
      <c r="G1658">
        <v>73392</v>
      </c>
    </row>
    <row r="1659" spans="1:10">
      <c r="A1659" t="s">
        <v>103</v>
      </c>
      <c r="B1659">
        <v>24</v>
      </c>
      <c r="C1659">
        <v>31</v>
      </c>
      <c r="E1659">
        <v>7128</v>
      </c>
      <c r="G1659">
        <v>1123</v>
      </c>
    </row>
    <row r="1660" spans="1:10">
      <c r="A1660" t="s">
        <v>275</v>
      </c>
      <c r="B1660">
        <v>21</v>
      </c>
      <c r="C1660">
        <v>21</v>
      </c>
      <c r="E1660">
        <v>11000</v>
      </c>
      <c r="G1660">
        <v>1801</v>
      </c>
    </row>
    <row r="1661" spans="1:10">
      <c r="A1661" t="s">
        <v>275</v>
      </c>
      <c r="B1661">
        <v>21</v>
      </c>
      <c r="C1661">
        <v>26</v>
      </c>
      <c r="I1661">
        <v>65918</v>
      </c>
    </row>
    <row r="1662" spans="1:10">
      <c r="A1662" t="s">
        <v>275</v>
      </c>
      <c r="B1662">
        <v>21</v>
      </c>
      <c r="C1662">
        <v>27</v>
      </c>
      <c r="E1662">
        <v>38806</v>
      </c>
      <c r="F1662">
        <v>91985</v>
      </c>
      <c r="G1662">
        <v>91362</v>
      </c>
      <c r="H1662">
        <v>2350</v>
      </c>
      <c r="I1662">
        <v>2200</v>
      </c>
    </row>
    <row r="1663" spans="1:10">
      <c r="A1663" t="s">
        <v>275</v>
      </c>
      <c r="B1663">
        <v>21</v>
      </c>
      <c r="C1663">
        <v>32</v>
      </c>
      <c r="I1663">
        <v>1250</v>
      </c>
    </row>
    <row r="1664" spans="1:10">
      <c r="A1664" t="s">
        <v>275</v>
      </c>
      <c r="B1664">
        <v>21</v>
      </c>
      <c r="C1664">
        <v>33</v>
      </c>
      <c r="H1664">
        <v>400</v>
      </c>
    </row>
    <row r="1665" spans="1:9">
      <c r="A1665" t="s">
        <v>275</v>
      </c>
      <c r="B1665">
        <v>24</v>
      </c>
      <c r="C1665">
        <v>26</v>
      </c>
      <c r="I1665">
        <v>19622</v>
      </c>
    </row>
    <row r="1666" spans="1:9">
      <c r="A1666" t="s">
        <v>275</v>
      </c>
      <c r="B1666">
        <v>24</v>
      </c>
      <c r="C1666">
        <v>27</v>
      </c>
      <c r="E1666">
        <v>27868</v>
      </c>
      <c r="G1666">
        <v>11829</v>
      </c>
    </row>
    <row r="1667" spans="1:9">
      <c r="A1667" t="s">
        <v>541</v>
      </c>
      <c r="B1667">
        <v>21</v>
      </c>
      <c r="C1667">
        <v>21</v>
      </c>
      <c r="E1667">
        <v>16400</v>
      </c>
      <c r="G1667">
        <v>5807</v>
      </c>
    </row>
    <row r="1668" spans="1:9">
      <c r="A1668" t="s">
        <v>541</v>
      </c>
      <c r="B1668">
        <v>21</v>
      </c>
      <c r="C1668">
        <v>26</v>
      </c>
      <c r="I1668">
        <v>26914</v>
      </c>
    </row>
    <row r="1669" spans="1:9">
      <c r="A1669" t="s">
        <v>541</v>
      </c>
      <c r="B1669">
        <v>21</v>
      </c>
      <c r="C1669">
        <v>27</v>
      </c>
      <c r="E1669">
        <v>59478</v>
      </c>
      <c r="F1669">
        <v>31801</v>
      </c>
      <c r="G1669">
        <v>43077</v>
      </c>
      <c r="I1669">
        <v>1400</v>
      </c>
    </row>
    <row r="1670" spans="1:9">
      <c r="A1670" t="s">
        <v>541</v>
      </c>
      <c r="B1670">
        <v>21</v>
      </c>
      <c r="C1670">
        <v>33</v>
      </c>
      <c r="H1670">
        <v>200</v>
      </c>
    </row>
    <row r="1671" spans="1:9">
      <c r="A1671" t="s">
        <v>541</v>
      </c>
      <c r="B1671">
        <v>24</v>
      </c>
      <c r="C1671">
        <v>26</v>
      </c>
      <c r="I1671">
        <v>21350</v>
      </c>
    </row>
    <row r="1672" spans="1:9">
      <c r="A1672" t="s">
        <v>169</v>
      </c>
      <c r="B1672">
        <v>21</v>
      </c>
      <c r="C1672">
        <v>21</v>
      </c>
      <c r="E1672">
        <v>14729</v>
      </c>
      <c r="G1672">
        <v>5821</v>
      </c>
    </row>
    <row r="1673" spans="1:9">
      <c r="A1673" t="s">
        <v>169</v>
      </c>
      <c r="B1673">
        <v>21</v>
      </c>
      <c r="C1673">
        <v>26</v>
      </c>
      <c r="I1673">
        <v>24199</v>
      </c>
    </row>
    <row r="1674" spans="1:9">
      <c r="A1674" t="s">
        <v>169</v>
      </c>
      <c r="B1674">
        <v>21</v>
      </c>
      <c r="C1674">
        <v>27</v>
      </c>
      <c r="E1674">
        <v>9916</v>
      </c>
      <c r="F1674">
        <v>19934</v>
      </c>
      <c r="G1674">
        <v>17711</v>
      </c>
    </row>
    <row r="1675" spans="1:9">
      <c r="A1675" t="s">
        <v>169</v>
      </c>
      <c r="B1675">
        <v>24</v>
      </c>
      <c r="C1675">
        <v>26</v>
      </c>
      <c r="I1675">
        <v>9438</v>
      </c>
    </row>
    <row r="1676" spans="1:9">
      <c r="A1676" t="s">
        <v>99</v>
      </c>
      <c r="B1676">
        <v>21</v>
      </c>
      <c r="C1676">
        <v>21</v>
      </c>
      <c r="E1676">
        <v>15500</v>
      </c>
      <c r="G1676">
        <v>4604</v>
      </c>
    </row>
    <row r="1677" spans="1:9">
      <c r="A1677" t="s">
        <v>99</v>
      </c>
      <c r="B1677">
        <v>21</v>
      </c>
      <c r="C1677">
        <v>26</v>
      </c>
      <c r="I1677">
        <v>18639</v>
      </c>
    </row>
    <row r="1678" spans="1:9">
      <c r="A1678" t="s">
        <v>99</v>
      </c>
      <c r="B1678">
        <v>21</v>
      </c>
      <c r="C1678">
        <v>27</v>
      </c>
      <c r="E1678">
        <v>57945</v>
      </c>
      <c r="F1678">
        <v>64568</v>
      </c>
      <c r="G1678">
        <v>64223</v>
      </c>
      <c r="H1678">
        <v>1000</v>
      </c>
    </row>
    <row r="1679" spans="1:9">
      <c r="A1679" t="s">
        <v>99</v>
      </c>
      <c r="B1679">
        <v>21</v>
      </c>
      <c r="C1679">
        <v>34</v>
      </c>
      <c r="E1679">
        <v>1212</v>
      </c>
      <c r="G1679">
        <v>221</v>
      </c>
    </row>
    <row r="1680" spans="1:9">
      <c r="A1680" t="s">
        <v>99</v>
      </c>
      <c r="B1680">
        <v>24</v>
      </c>
      <c r="C1680">
        <v>26</v>
      </c>
      <c r="I1680">
        <v>33083</v>
      </c>
    </row>
    <row r="1681" spans="1:11">
      <c r="A1681" t="s">
        <v>99</v>
      </c>
      <c r="B1681">
        <v>29</v>
      </c>
      <c r="C1681">
        <v>26</v>
      </c>
      <c r="I1681">
        <v>11000</v>
      </c>
    </row>
    <row r="1682" spans="1:11">
      <c r="A1682" t="s">
        <v>293</v>
      </c>
      <c r="B1682">
        <v>21</v>
      </c>
      <c r="C1682">
        <v>21</v>
      </c>
      <c r="E1682">
        <v>3489</v>
      </c>
      <c r="G1682">
        <v>16412</v>
      </c>
      <c r="I1682">
        <v>30189</v>
      </c>
    </row>
    <row r="1683" spans="1:11">
      <c r="A1683" t="s">
        <v>293</v>
      </c>
      <c r="B1683">
        <v>21</v>
      </c>
      <c r="C1683">
        <v>23</v>
      </c>
      <c r="H1683">
        <v>410</v>
      </c>
    </row>
    <row r="1684" spans="1:11">
      <c r="A1684" t="s">
        <v>293</v>
      </c>
      <c r="B1684">
        <v>21</v>
      </c>
      <c r="C1684">
        <v>26</v>
      </c>
      <c r="I1684">
        <v>417523</v>
      </c>
    </row>
    <row r="1685" spans="1:11">
      <c r="A1685" t="s">
        <v>293</v>
      </c>
      <c r="B1685">
        <v>21</v>
      </c>
      <c r="C1685">
        <v>27</v>
      </c>
      <c r="E1685">
        <v>347473</v>
      </c>
      <c r="F1685">
        <v>194783</v>
      </c>
      <c r="G1685">
        <v>333607</v>
      </c>
      <c r="H1685">
        <v>44315</v>
      </c>
      <c r="I1685">
        <v>13266</v>
      </c>
      <c r="J1685">
        <v>15000</v>
      </c>
      <c r="K1685">
        <v>15000</v>
      </c>
    </row>
    <row r="1686" spans="1:11">
      <c r="A1686" t="s">
        <v>293</v>
      </c>
      <c r="B1686">
        <v>21</v>
      </c>
      <c r="C1686">
        <v>31</v>
      </c>
      <c r="H1686">
        <v>2000</v>
      </c>
      <c r="I1686">
        <v>1000</v>
      </c>
      <c r="J1686">
        <v>5000</v>
      </c>
    </row>
    <row r="1687" spans="1:11">
      <c r="A1687" t="s">
        <v>293</v>
      </c>
      <c r="B1687">
        <v>24</v>
      </c>
      <c r="C1687">
        <v>27</v>
      </c>
      <c r="E1687">
        <v>36577</v>
      </c>
      <c r="F1687">
        <v>55127</v>
      </c>
      <c r="G1687">
        <v>56194</v>
      </c>
      <c r="H1687">
        <v>1222</v>
      </c>
    </row>
    <row r="1688" spans="1:11">
      <c r="A1688" t="s">
        <v>357</v>
      </c>
      <c r="B1688">
        <v>21</v>
      </c>
      <c r="C1688">
        <v>21</v>
      </c>
      <c r="E1688">
        <v>22929</v>
      </c>
      <c r="G1688">
        <v>8456</v>
      </c>
    </row>
    <row r="1689" spans="1:11">
      <c r="A1689" t="s">
        <v>357</v>
      </c>
      <c r="B1689">
        <v>21</v>
      </c>
      <c r="C1689">
        <v>26</v>
      </c>
      <c r="E1689">
        <v>48835</v>
      </c>
      <c r="G1689">
        <v>18992</v>
      </c>
    </row>
    <row r="1690" spans="1:11">
      <c r="A1690" t="s">
        <v>357</v>
      </c>
      <c r="B1690">
        <v>21</v>
      </c>
      <c r="C1690">
        <v>27</v>
      </c>
      <c r="E1690">
        <v>123674</v>
      </c>
      <c r="F1690">
        <v>138243</v>
      </c>
      <c r="G1690">
        <v>169969</v>
      </c>
      <c r="H1690">
        <v>57025</v>
      </c>
      <c r="I1690">
        <v>5381</v>
      </c>
      <c r="J1690">
        <v>1140</v>
      </c>
    </row>
    <row r="1691" spans="1:11">
      <c r="A1691" t="s">
        <v>357</v>
      </c>
      <c r="B1691">
        <v>21</v>
      </c>
      <c r="C1691">
        <v>33</v>
      </c>
      <c r="H1691">
        <v>20000</v>
      </c>
    </row>
    <row r="1692" spans="1:11">
      <c r="A1692" t="s">
        <v>357</v>
      </c>
      <c r="B1692">
        <v>24</v>
      </c>
      <c r="C1692">
        <v>26</v>
      </c>
      <c r="I1692">
        <v>54744</v>
      </c>
    </row>
    <row r="1693" spans="1:11">
      <c r="A1693" t="s">
        <v>243</v>
      </c>
      <c r="B1693">
        <v>21</v>
      </c>
      <c r="C1693">
        <v>21</v>
      </c>
      <c r="E1693">
        <v>40032</v>
      </c>
      <c r="F1693">
        <v>23278</v>
      </c>
      <c r="G1693">
        <v>22834</v>
      </c>
      <c r="I1693">
        <v>500</v>
      </c>
      <c r="J1693">
        <v>400</v>
      </c>
    </row>
    <row r="1694" spans="1:11">
      <c r="A1694" t="s">
        <v>243</v>
      </c>
      <c r="B1694">
        <v>21</v>
      </c>
      <c r="C1694">
        <v>23</v>
      </c>
      <c r="F1694">
        <v>19844</v>
      </c>
      <c r="G1694">
        <v>16973</v>
      </c>
    </row>
    <row r="1695" spans="1:11">
      <c r="A1695" t="s">
        <v>243</v>
      </c>
      <c r="B1695">
        <v>21</v>
      </c>
      <c r="C1695">
        <v>26</v>
      </c>
      <c r="E1695">
        <v>40032</v>
      </c>
      <c r="F1695">
        <v>32123</v>
      </c>
      <c r="G1695">
        <v>35221</v>
      </c>
      <c r="I1695">
        <v>191300</v>
      </c>
    </row>
    <row r="1696" spans="1:11">
      <c r="A1696" t="s">
        <v>243</v>
      </c>
      <c r="B1696">
        <v>21</v>
      </c>
      <c r="C1696">
        <v>27</v>
      </c>
      <c r="E1696">
        <v>493491</v>
      </c>
      <c r="F1696">
        <v>660782</v>
      </c>
      <c r="G1696">
        <v>578630</v>
      </c>
    </row>
    <row r="1697" spans="1:10">
      <c r="A1697" t="s">
        <v>243</v>
      </c>
      <c r="B1697">
        <v>21</v>
      </c>
      <c r="C1697">
        <v>31</v>
      </c>
      <c r="E1697">
        <v>2779</v>
      </c>
      <c r="G1697">
        <v>437</v>
      </c>
    </row>
    <row r="1698" spans="1:10">
      <c r="A1698" t="s">
        <v>243</v>
      </c>
      <c r="B1698">
        <v>21</v>
      </c>
      <c r="C1698">
        <v>34</v>
      </c>
      <c r="E1698">
        <v>8368</v>
      </c>
      <c r="G1698">
        <v>1315</v>
      </c>
    </row>
    <row r="1699" spans="1:10">
      <c r="A1699" t="s">
        <v>243</v>
      </c>
      <c r="B1699">
        <v>24</v>
      </c>
      <c r="C1699">
        <v>27</v>
      </c>
      <c r="E1699">
        <v>42225</v>
      </c>
      <c r="F1699">
        <v>161133</v>
      </c>
      <c r="G1699">
        <v>112562</v>
      </c>
    </row>
    <row r="1700" spans="1:10">
      <c r="A1700" t="s">
        <v>641</v>
      </c>
      <c r="B1700">
        <v>21</v>
      </c>
      <c r="C1700">
        <v>21</v>
      </c>
      <c r="E1700">
        <v>444855</v>
      </c>
      <c r="F1700">
        <v>112814</v>
      </c>
      <c r="G1700">
        <v>165939</v>
      </c>
      <c r="H1700">
        <v>15000</v>
      </c>
      <c r="I1700">
        <v>36650</v>
      </c>
      <c r="J1700">
        <v>4000</v>
      </c>
    </row>
    <row r="1701" spans="1:10">
      <c r="A1701" t="s">
        <v>641</v>
      </c>
      <c r="B1701">
        <v>21</v>
      </c>
      <c r="C1701">
        <v>25</v>
      </c>
      <c r="F1701">
        <v>235034</v>
      </c>
      <c r="G1701">
        <v>181049</v>
      </c>
    </row>
    <row r="1702" spans="1:10">
      <c r="A1702" t="s">
        <v>641</v>
      </c>
      <c r="B1702">
        <v>21</v>
      </c>
      <c r="C1702">
        <v>26</v>
      </c>
      <c r="E1702">
        <v>2807655</v>
      </c>
      <c r="F1702">
        <v>117017</v>
      </c>
      <c r="G1702">
        <v>921777</v>
      </c>
      <c r="H1702">
        <v>43500</v>
      </c>
      <c r="I1702">
        <v>285000</v>
      </c>
      <c r="J1702">
        <v>3000</v>
      </c>
    </row>
    <row r="1703" spans="1:10">
      <c r="A1703" t="s">
        <v>641</v>
      </c>
      <c r="B1703">
        <v>21</v>
      </c>
      <c r="C1703">
        <v>27</v>
      </c>
      <c r="D1703">
        <v>5000</v>
      </c>
      <c r="E1703">
        <v>3709073</v>
      </c>
      <c r="F1703">
        <v>3932070</v>
      </c>
      <c r="G1703">
        <v>3834188</v>
      </c>
      <c r="H1703">
        <v>33995</v>
      </c>
      <c r="I1703">
        <v>1715700</v>
      </c>
      <c r="J1703">
        <v>12000</v>
      </c>
    </row>
    <row r="1704" spans="1:10">
      <c r="A1704" t="s">
        <v>641</v>
      </c>
      <c r="B1704">
        <v>21</v>
      </c>
      <c r="C1704">
        <v>31</v>
      </c>
      <c r="I1704">
        <v>17500</v>
      </c>
      <c r="J1704">
        <v>3000</v>
      </c>
    </row>
    <row r="1705" spans="1:10">
      <c r="A1705" t="s">
        <v>641</v>
      </c>
      <c r="B1705">
        <v>21</v>
      </c>
      <c r="C1705">
        <v>32</v>
      </c>
      <c r="H1705">
        <v>23000</v>
      </c>
      <c r="I1705">
        <v>500</v>
      </c>
    </row>
    <row r="1706" spans="1:10">
      <c r="A1706" t="s">
        <v>641</v>
      </c>
      <c r="B1706">
        <v>21</v>
      </c>
      <c r="C1706">
        <v>33</v>
      </c>
      <c r="H1706">
        <v>43000</v>
      </c>
      <c r="I1706">
        <v>5500</v>
      </c>
    </row>
    <row r="1707" spans="1:10">
      <c r="A1707" t="s">
        <v>641</v>
      </c>
      <c r="B1707">
        <v>24</v>
      </c>
      <c r="C1707">
        <v>27</v>
      </c>
      <c r="E1707">
        <v>833492</v>
      </c>
      <c r="G1707">
        <v>282650</v>
      </c>
    </row>
    <row r="1708" spans="1:10">
      <c r="A1708" t="s">
        <v>355</v>
      </c>
      <c r="B1708">
        <v>21</v>
      </c>
      <c r="C1708">
        <v>21</v>
      </c>
      <c r="E1708">
        <v>435635</v>
      </c>
      <c r="F1708">
        <v>138882</v>
      </c>
      <c r="G1708">
        <v>162789</v>
      </c>
      <c r="I1708">
        <v>2000</v>
      </c>
      <c r="J1708">
        <v>4500</v>
      </c>
    </row>
    <row r="1709" spans="1:10">
      <c r="A1709" t="s">
        <v>355</v>
      </c>
      <c r="B1709">
        <v>21</v>
      </c>
      <c r="C1709">
        <v>25</v>
      </c>
      <c r="F1709">
        <v>325471</v>
      </c>
      <c r="G1709">
        <v>204960</v>
      </c>
    </row>
    <row r="1710" spans="1:10">
      <c r="A1710" t="s">
        <v>355</v>
      </c>
      <c r="B1710">
        <v>21</v>
      </c>
      <c r="C1710">
        <v>26</v>
      </c>
      <c r="E1710">
        <v>10137752</v>
      </c>
      <c r="F1710">
        <v>468692</v>
      </c>
      <c r="G1710">
        <v>3251084</v>
      </c>
      <c r="H1710">
        <v>50650</v>
      </c>
      <c r="I1710">
        <v>733650</v>
      </c>
      <c r="J1710">
        <v>7500</v>
      </c>
    </row>
    <row r="1711" spans="1:10">
      <c r="A1711" t="s">
        <v>355</v>
      </c>
      <c r="B1711">
        <v>21</v>
      </c>
      <c r="C1711">
        <v>27</v>
      </c>
      <c r="D1711">
        <v>10700</v>
      </c>
      <c r="E1711">
        <v>13585007</v>
      </c>
      <c r="F1711">
        <v>11305442</v>
      </c>
      <c r="G1711">
        <v>11167178</v>
      </c>
      <c r="H1711">
        <v>61450</v>
      </c>
      <c r="I1711">
        <v>2945300</v>
      </c>
      <c r="J1711">
        <v>14000</v>
      </c>
    </row>
    <row r="1712" spans="1:10">
      <c r="A1712" t="s">
        <v>355</v>
      </c>
      <c r="B1712">
        <v>21</v>
      </c>
      <c r="C1712">
        <v>31</v>
      </c>
      <c r="E1712">
        <v>519395</v>
      </c>
      <c r="G1712">
        <v>84846</v>
      </c>
      <c r="I1712">
        <v>17500</v>
      </c>
    </row>
    <row r="1713" spans="1:10">
      <c r="A1713" t="s">
        <v>355</v>
      </c>
      <c r="B1713">
        <v>21</v>
      </c>
      <c r="C1713">
        <v>32</v>
      </c>
      <c r="H1713">
        <v>10000</v>
      </c>
    </row>
    <row r="1714" spans="1:10">
      <c r="A1714" t="s">
        <v>355</v>
      </c>
      <c r="B1714">
        <v>21</v>
      </c>
      <c r="C1714">
        <v>33</v>
      </c>
      <c r="H1714">
        <v>103160</v>
      </c>
      <c r="I1714">
        <v>75000</v>
      </c>
    </row>
    <row r="1715" spans="1:10">
      <c r="A1715" t="s">
        <v>355</v>
      </c>
      <c r="B1715">
        <v>21</v>
      </c>
      <c r="C1715">
        <v>34</v>
      </c>
      <c r="E1715">
        <v>385020</v>
      </c>
      <c r="G1715">
        <v>62919</v>
      </c>
    </row>
    <row r="1716" spans="1:10">
      <c r="A1716" t="s">
        <v>355</v>
      </c>
      <c r="B1716">
        <v>24</v>
      </c>
      <c r="C1716">
        <v>26</v>
      </c>
      <c r="F1716">
        <v>45921</v>
      </c>
      <c r="G1716">
        <v>23078</v>
      </c>
    </row>
    <row r="1717" spans="1:10">
      <c r="A1717" t="s">
        <v>355</v>
      </c>
      <c r="B1717">
        <v>24</v>
      </c>
      <c r="C1717">
        <v>27</v>
      </c>
      <c r="E1717">
        <v>1529689</v>
      </c>
      <c r="F1717">
        <v>265126</v>
      </c>
      <c r="G1717">
        <v>619478</v>
      </c>
      <c r="H1717">
        <v>2500</v>
      </c>
      <c r="I1717">
        <v>740950</v>
      </c>
    </row>
    <row r="1718" spans="1:10">
      <c r="A1718" t="s">
        <v>355</v>
      </c>
      <c r="B1718">
        <v>24</v>
      </c>
      <c r="C1718">
        <v>31</v>
      </c>
      <c r="H1718">
        <v>2500</v>
      </c>
      <c r="I1718">
        <v>2500</v>
      </c>
      <c r="J1718">
        <v>2500</v>
      </c>
    </row>
    <row r="1719" spans="1:10">
      <c r="A1719" t="s">
        <v>355</v>
      </c>
      <c r="B1719">
        <v>29</v>
      </c>
      <c r="C1719">
        <v>21</v>
      </c>
      <c r="I1719">
        <v>100000</v>
      </c>
    </row>
    <row r="1720" spans="1:10">
      <c r="A1720" t="s">
        <v>575</v>
      </c>
      <c r="B1720">
        <v>21</v>
      </c>
      <c r="C1720">
        <v>21</v>
      </c>
      <c r="E1720">
        <v>186719</v>
      </c>
      <c r="F1720">
        <v>227302</v>
      </c>
      <c r="G1720">
        <v>127131</v>
      </c>
      <c r="H1720">
        <v>6500</v>
      </c>
      <c r="I1720">
        <v>4000</v>
      </c>
    </row>
    <row r="1721" spans="1:10">
      <c r="A1721" t="s">
        <v>575</v>
      </c>
      <c r="B1721">
        <v>21</v>
      </c>
      <c r="C1721">
        <v>25</v>
      </c>
      <c r="F1721">
        <v>100828</v>
      </c>
      <c r="G1721">
        <v>56826</v>
      </c>
      <c r="J1721">
        <v>25000</v>
      </c>
    </row>
    <row r="1722" spans="1:10">
      <c r="A1722" t="s">
        <v>575</v>
      </c>
      <c r="B1722">
        <v>21</v>
      </c>
      <c r="C1722">
        <v>26</v>
      </c>
      <c r="E1722">
        <v>2475915</v>
      </c>
      <c r="F1722">
        <v>732503</v>
      </c>
      <c r="G1722">
        <v>1083428</v>
      </c>
      <c r="H1722">
        <v>29200</v>
      </c>
      <c r="I1722">
        <v>92600</v>
      </c>
      <c r="J1722">
        <v>2750</v>
      </c>
    </row>
    <row r="1723" spans="1:10">
      <c r="A1723" t="s">
        <v>575</v>
      </c>
      <c r="B1723">
        <v>21</v>
      </c>
      <c r="C1723">
        <v>27</v>
      </c>
      <c r="E1723">
        <v>4606750</v>
      </c>
      <c r="F1723">
        <v>3069561</v>
      </c>
      <c r="G1723">
        <v>3154715</v>
      </c>
      <c r="H1723">
        <v>118400</v>
      </c>
      <c r="I1723">
        <v>152000</v>
      </c>
      <c r="J1723">
        <v>1700</v>
      </c>
    </row>
    <row r="1724" spans="1:10">
      <c r="A1724" t="s">
        <v>575</v>
      </c>
      <c r="B1724">
        <v>21</v>
      </c>
      <c r="C1724">
        <v>31</v>
      </c>
      <c r="E1724">
        <v>268368</v>
      </c>
      <c r="G1724">
        <v>74665</v>
      </c>
    </row>
    <row r="1725" spans="1:10">
      <c r="A1725" t="s">
        <v>575</v>
      </c>
      <c r="B1725">
        <v>24</v>
      </c>
      <c r="C1725">
        <v>26</v>
      </c>
      <c r="E1725">
        <v>380984</v>
      </c>
      <c r="G1725">
        <v>124775</v>
      </c>
      <c r="H1725">
        <v>10000</v>
      </c>
      <c r="I1725">
        <v>580000</v>
      </c>
    </row>
    <row r="1726" spans="1:10">
      <c r="A1726" t="s">
        <v>575</v>
      </c>
      <c r="B1726">
        <v>24</v>
      </c>
      <c r="C1726">
        <v>27</v>
      </c>
      <c r="E1726">
        <v>204750</v>
      </c>
      <c r="F1726">
        <v>34373</v>
      </c>
      <c r="G1726">
        <v>93131</v>
      </c>
      <c r="H1726">
        <v>22500</v>
      </c>
      <c r="I1726">
        <v>123487</v>
      </c>
    </row>
    <row r="1727" spans="1:10">
      <c r="A1727" t="s">
        <v>575</v>
      </c>
      <c r="B1727">
        <v>24</v>
      </c>
      <c r="C1727">
        <v>31</v>
      </c>
      <c r="I1727">
        <v>30000</v>
      </c>
    </row>
    <row r="1728" spans="1:10">
      <c r="A1728" t="s">
        <v>575</v>
      </c>
      <c r="B1728">
        <v>24</v>
      </c>
      <c r="C1728">
        <v>32</v>
      </c>
      <c r="I1728">
        <v>6500</v>
      </c>
    </row>
    <row r="1729" spans="1:10">
      <c r="A1729" t="s">
        <v>575</v>
      </c>
      <c r="B1729">
        <v>24</v>
      </c>
      <c r="C1729">
        <v>33</v>
      </c>
      <c r="H1729">
        <v>15500</v>
      </c>
    </row>
    <row r="1730" spans="1:10">
      <c r="A1730" t="s">
        <v>375</v>
      </c>
      <c r="B1730">
        <v>21</v>
      </c>
      <c r="C1730">
        <v>21</v>
      </c>
      <c r="E1730">
        <v>418188</v>
      </c>
      <c r="F1730">
        <v>60175</v>
      </c>
      <c r="G1730">
        <v>130661</v>
      </c>
      <c r="H1730">
        <v>1000</v>
      </c>
      <c r="I1730">
        <v>3000</v>
      </c>
    </row>
    <row r="1731" spans="1:10">
      <c r="A1731" t="s">
        <v>375</v>
      </c>
      <c r="B1731">
        <v>21</v>
      </c>
      <c r="C1731">
        <v>23</v>
      </c>
      <c r="F1731">
        <v>31140</v>
      </c>
      <c r="G1731">
        <v>18855</v>
      </c>
    </row>
    <row r="1732" spans="1:10">
      <c r="A1732" t="s">
        <v>375</v>
      </c>
      <c r="B1732">
        <v>21</v>
      </c>
      <c r="C1732">
        <v>24</v>
      </c>
      <c r="E1732">
        <v>9975</v>
      </c>
      <c r="G1732">
        <v>3212</v>
      </c>
    </row>
    <row r="1733" spans="1:10">
      <c r="A1733" t="s">
        <v>375</v>
      </c>
      <c r="B1733">
        <v>21</v>
      </c>
      <c r="C1733">
        <v>25</v>
      </c>
      <c r="J1733">
        <v>250</v>
      </c>
    </row>
    <row r="1734" spans="1:10">
      <c r="A1734" t="s">
        <v>375</v>
      </c>
      <c r="B1734">
        <v>21</v>
      </c>
      <c r="C1734">
        <v>26</v>
      </c>
      <c r="E1734">
        <v>3689709</v>
      </c>
      <c r="F1734">
        <v>136636</v>
      </c>
      <c r="G1734">
        <v>1343863</v>
      </c>
      <c r="H1734">
        <v>32500</v>
      </c>
      <c r="I1734">
        <v>1122200</v>
      </c>
      <c r="J1734">
        <v>2100</v>
      </c>
    </row>
    <row r="1735" spans="1:10">
      <c r="A1735" t="s">
        <v>375</v>
      </c>
      <c r="B1735">
        <v>21</v>
      </c>
      <c r="C1735">
        <v>27</v>
      </c>
      <c r="E1735">
        <v>7645762</v>
      </c>
      <c r="F1735">
        <v>7817436</v>
      </c>
      <c r="G1735">
        <v>7860985</v>
      </c>
      <c r="H1735">
        <v>121000</v>
      </c>
      <c r="I1735">
        <v>2358655</v>
      </c>
      <c r="J1735">
        <v>6800</v>
      </c>
    </row>
    <row r="1736" spans="1:10">
      <c r="A1736" t="s">
        <v>375</v>
      </c>
      <c r="B1736">
        <v>21</v>
      </c>
      <c r="C1736">
        <v>31</v>
      </c>
      <c r="E1736">
        <v>237405</v>
      </c>
      <c r="G1736">
        <v>35707</v>
      </c>
    </row>
    <row r="1737" spans="1:10">
      <c r="A1737" t="s">
        <v>375</v>
      </c>
      <c r="B1737">
        <v>21</v>
      </c>
      <c r="C1737">
        <v>34</v>
      </c>
      <c r="E1737">
        <v>256476</v>
      </c>
      <c r="G1737">
        <v>38904</v>
      </c>
    </row>
    <row r="1738" spans="1:10">
      <c r="A1738" t="s">
        <v>375</v>
      </c>
      <c r="B1738">
        <v>24</v>
      </c>
      <c r="C1738">
        <v>21</v>
      </c>
      <c r="E1738">
        <v>96477</v>
      </c>
      <c r="G1738">
        <v>27245</v>
      </c>
    </row>
    <row r="1739" spans="1:10">
      <c r="A1739" t="s">
        <v>375</v>
      </c>
      <c r="B1739">
        <v>24</v>
      </c>
      <c r="C1739">
        <v>24</v>
      </c>
      <c r="E1739">
        <v>9975</v>
      </c>
      <c r="G1739">
        <v>3212</v>
      </c>
    </row>
    <row r="1740" spans="1:10">
      <c r="A1740" t="s">
        <v>375</v>
      </c>
      <c r="B1740">
        <v>24</v>
      </c>
      <c r="C1740">
        <v>27</v>
      </c>
      <c r="E1740">
        <v>988247</v>
      </c>
      <c r="F1740">
        <v>189562</v>
      </c>
      <c r="G1740">
        <v>449540</v>
      </c>
      <c r="H1740">
        <v>25750</v>
      </c>
      <c r="I1740">
        <v>329500</v>
      </c>
      <c r="J1740">
        <v>750</v>
      </c>
    </row>
    <row r="1741" spans="1:10">
      <c r="A1741" t="s">
        <v>375</v>
      </c>
      <c r="B1741">
        <v>24</v>
      </c>
      <c r="C1741">
        <v>31</v>
      </c>
      <c r="I1741">
        <v>1000</v>
      </c>
    </row>
    <row r="1742" spans="1:10">
      <c r="A1742" t="s">
        <v>441</v>
      </c>
      <c r="B1742">
        <v>21</v>
      </c>
      <c r="C1742">
        <v>21</v>
      </c>
      <c r="E1742">
        <v>95254</v>
      </c>
      <c r="F1742">
        <v>28829</v>
      </c>
      <c r="G1742">
        <v>44621</v>
      </c>
    </row>
    <row r="1743" spans="1:10">
      <c r="A1743" t="s">
        <v>441</v>
      </c>
      <c r="B1743">
        <v>21</v>
      </c>
      <c r="C1743">
        <v>26</v>
      </c>
      <c r="F1743">
        <v>143404</v>
      </c>
      <c r="G1743">
        <v>85968</v>
      </c>
      <c r="H1743">
        <v>4800</v>
      </c>
      <c r="I1743">
        <v>483000</v>
      </c>
    </row>
    <row r="1744" spans="1:10">
      <c r="A1744" t="s">
        <v>441</v>
      </c>
      <c r="B1744">
        <v>21</v>
      </c>
      <c r="C1744">
        <v>27</v>
      </c>
      <c r="E1744">
        <v>487156</v>
      </c>
      <c r="F1744">
        <v>346948</v>
      </c>
      <c r="G1744">
        <v>386111</v>
      </c>
      <c r="H1744">
        <v>10500</v>
      </c>
    </row>
    <row r="1745" spans="1:10">
      <c r="A1745" t="s">
        <v>441</v>
      </c>
      <c r="B1745">
        <v>21</v>
      </c>
      <c r="C1745">
        <v>31</v>
      </c>
      <c r="I1745">
        <v>1000</v>
      </c>
    </row>
    <row r="1746" spans="1:10">
      <c r="A1746" t="s">
        <v>441</v>
      </c>
      <c r="B1746">
        <v>21</v>
      </c>
      <c r="C1746">
        <v>32</v>
      </c>
      <c r="H1746">
        <v>1500</v>
      </c>
      <c r="I1746">
        <v>2500</v>
      </c>
    </row>
    <row r="1747" spans="1:10">
      <c r="A1747" t="s">
        <v>441</v>
      </c>
      <c r="B1747">
        <v>21</v>
      </c>
      <c r="C1747">
        <v>34</v>
      </c>
      <c r="E1747">
        <v>8030</v>
      </c>
      <c r="G1747">
        <v>1293</v>
      </c>
    </row>
    <row r="1748" spans="1:10">
      <c r="A1748" t="s">
        <v>441</v>
      </c>
      <c r="B1748">
        <v>24</v>
      </c>
      <c r="C1748">
        <v>26</v>
      </c>
      <c r="I1748">
        <v>210312</v>
      </c>
    </row>
    <row r="1749" spans="1:10">
      <c r="A1749" t="s">
        <v>203</v>
      </c>
      <c r="B1749">
        <v>21</v>
      </c>
      <c r="C1749">
        <v>26</v>
      </c>
      <c r="I1749">
        <v>240000</v>
      </c>
    </row>
    <row r="1750" spans="1:10">
      <c r="A1750" t="s">
        <v>203</v>
      </c>
      <c r="B1750">
        <v>21</v>
      </c>
      <c r="C1750">
        <v>27</v>
      </c>
      <c r="D1750">
        <v>10000</v>
      </c>
      <c r="E1750">
        <v>284497</v>
      </c>
      <c r="F1750">
        <v>310165</v>
      </c>
      <c r="G1750">
        <v>266821</v>
      </c>
      <c r="H1750">
        <v>3599</v>
      </c>
    </row>
    <row r="1751" spans="1:10">
      <c r="A1751" t="s">
        <v>203</v>
      </c>
      <c r="B1751">
        <v>21</v>
      </c>
      <c r="C1751">
        <v>29</v>
      </c>
      <c r="I1751">
        <v>354011</v>
      </c>
    </row>
    <row r="1752" spans="1:10">
      <c r="A1752" t="s">
        <v>203</v>
      </c>
      <c r="B1752">
        <v>24</v>
      </c>
      <c r="C1752">
        <v>26</v>
      </c>
      <c r="I1752">
        <v>103343</v>
      </c>
    </row>
    <row r="1753" spans="1:10">
      <c r="A1753" t="s">
        <v>465</v>
      </c>
      <c r="B1753">
        <v>21</v>
      </c>
      <c r="C1753">
        <v>21</v>
      </c>
      <c r="E1753">
        <v>112636</v>
      </c>
      <c r="F1753">
        <v>38906</v>
      </c>
      <c r="G1753">
        <v>43673</v>
      </c>
      <c r="H1753">
        <v>15000</v>
      </c>
      <c r="I1753">
        <v>100</v>
      </c>
    </row>
    <row r="1754" spans="1:10">
      <c r="A1754" t="s">
        <v>465</v>
      </c>
      <c r="B1754">
        <v>21</v>
      </c>
      <c r="C1754">
        <v>25</v>
      </c>
      <c r="I1754">
        <v>337022</v>
      </c>
    </row>
    <row r="1755" spans="1:10">
      <c r="A1755" t="s">
        <v>465</v>
      </c>
      <c r="B1755">
        <v>21</v>
      </c>
      <c r="C1755">
        <v>26</v>
      </c>
      <c r="E1755">
        <v>702713</v>
      </c>
      <c r="F1755">
        <v>110108</v>
      </c>
      <c r="G1755">
        <v>281288</v>
      </c>
      <c r="H1755">
        <v>23200</v>
      </c>
      <c r="I1755">
        <v>1634580</v>
      </c>
    </row>
    <row r="1756" spans="1:10">
      <c r="A1756" t="s">
        <v>465</v>
      </c>
      <c r="B1756">
        <v>21</v>
      </c>
      <c r="C1756">
        <v>27</v>
      </c>
      <c r="E1756">
        <v>1194999</v>
      </c>
      <c r="F1756">
        <v>1267264</v>
      </c>
      <c r="G1756">
        <v>1293628</v>
      </c>
      <c r="H1756">
        <v>20500</v>
      </c>
      <c r="I1756">
        <v>108169</v>
      </c>
      <c r="J1756">
        <v>300</v>
      </c>
    </row>
    <row r="1757" spans="1:10">
      <c r="A1757" t="s">
        <v>465</v>
      </c>
      <c r="B1757">
        <v>21</v>
      </c>
      <c r="C1757">
        <v>31</v>
      </c>
      <c r="H1757">
        <v>100</v>
      </c>
      <c r="I1757">
        <v>1000</v>
      </c>
      <c r="J1757">
        <v>200</v>
      </c>
    </row>
    <row r="1758" spans="1:10">
      <c r="A1758" t="s">
        <v>465</v>
      </c>
      <c r="B1758">
        <v>24</v>
      </c>
      <c r="C1758">
        <v>27</v>
      </c>
      <c r="E1758">
        <v>412924</v>
      </c>
      <c r="G1758">
        <v>136579</v>
      </c>
    </row>
    <row r="1759" spans="1:10">
      <c r="A1759" t="s">
        <v>557</v>
      </c>
      <c r="B1759">
        <v>21</v>
      </c>
      <c r="C1759">
        <v>21</v>
      </c>
      <c r="E1759">
        <v>72494</v>
      </c>
      <c r="F1759">
        <v>41236</v>
      </c>
      <c r="G1759">
        <v>32267</v>
      </c>
      <c r="H1759">
        <v>10000</v>
      </c>
      <c r="J1759">
        <v>500</v>
      </c>
    </row>
    <row r="1760" spans="1:10">
      <c r="A1760" t="s">
        <v>557</v>
      </c>
      <c r="B1760">
        <v>21</v>
      </c>
      <c r="C1760">
        <v>26</v>
      </c>
      <c r="E1760">
        <v>77611</v>
      </c>
      <c r="F1760">
        <v>49263</v>
      </c>
      <c r="G1760">
        <v>46181</v>
      </c>
      <c r="H1760">
        <v>191</v>
      </c>
      <c r="I1760">
        <v>367500</v>
      </c>
    </row>
    <row r="1761" spans="1:10">
      <c r="A1761" t="s">
        <v>557</v>
      </c>
      <c r="B1761">
        <v>21</v>
      </c>
      <c r="C1761">
        <v>27</v>
      </c>
      <c r="E1761">
        <v>650023</v>
      </c>
      <c r="F1761">
        <v>598782</v>
      </c>
      <c r="G1761">
        <v>596873</v>
      </c>
      <c r="H1761">
        <v>5000</v>
      </c>
      <c r="I1761">
        <v>338000</v>
      </c>
      <c r="J1761">
        <v>2000</v>
      </c>
    </row>
    <row r="1762" spans="1:10">
      <c r="A1762" t="s">
        <v>557</v>
      </c>
      <c r="B1762">
        <v>21</v>
      </c>
      <c r="C1762">
        <v>31</v>
      </c>
      <c r="I1762">
        <v>1500</v>
      </c>
      <c r="J1762">
        <v>2000</v>
      </c>
    </row>
    <row r="1763" spans="1:10">
      <c r="A1763" t="s">
        <v>557</v>
      </c>
      <c r="B1763">
        <v>21</v>
      </c>
      <c r="C1763">
        <v>33</v>
      </c>
      <c r="H1763">
        <v>8250</v>
      </c>
      <c r="I1763">
        <v>9000</v>
      </c>
    </row>
    <row r="1764" spans="1:10">
      <c r="A1764" t="s">
        <v>557</v>
      </c>
      <c r="B1764">
        <v>21</v>
      </c>
      <c r="C1764">
        <v>34</v>
      </c>
      <c r="E1764">
        <v>16925</v>
      </c>
      <c r="G1764">
        <v>2736</v>
      </c>
    </row>
    <row r="1765" spans="1:10">
      <c r="A1765" t="s">
        <v>557</v>
      </c>
      <c r="B1765">
        <v>24</v>
      </c>
      <c r="C1765">
        <v>27</v>
      </c>
      <c r="E1765">
        <v>33017</v>
      </c>
      <c r="F1765">
        <v>170906</v>
      </c>
      <c r="G1765">
        <v>111466</v>
      </c>
    </row>
    <row r="1766" spans="1:10">
      <c r="A1766" t="s">
        <v>589</v>
      </c>
      <c r="B1766">
        <v>21</v>
      </c>
      <c r="C1766">
        <v>27</v>
      </c>
      <c r="I1766">
        <v>1009116</v>
      </c>
    </row>
    <row r="1767" spans="1:10">
      <c r="A1767" t="s">
        <v>135</v>
      </c>
      <c r="B1767">
        <v>21</v>
      </c>
      <c r="C1767">
        <v>29</v>
      </c>
      <c r="I1767">
        <v>20000</v>
      </c>
    </row>
    <row r="1768" spans="1:10">
      <c r="A1768" t="s">
        <v>595</v>
      </c>
      <c r="B1768">
        <v>21</v>
      </c>
      <c r="C1768">
        <v>21</v>
      </c>
      <c r="E1768">
        <v>585270</v>
      </c>
      <c r="F1768">
        <v>85860</v>
      </c>
      <c r="G1768">
        <v>207359</v>
      </c>
    </row>
    <row r="1769" spans="1:10">
      <c r="A1769" t="s">
        <v>595</v>
      </c>
      <c r="B1769">
        <v>21</v>
      </c>
      <c r="C1769">
        <v>23</v>
      </c>
      <c r="F1769">
        <v>121473</v>
      </c>
      <c r="G1769">
        <v>62110</v>
      </c>
    </row>
    <row r="1770" spans="1:10">
      <c r="A1770" t="s">
        <v>595</v>
      </c>
      <c r="B1770">
        <v>21</v>
      </c>
      <c r="C1770">
        <v>24</v>
      </c>
      <c r="E1770">
        <v>133475</v>
      </c>
      <c r="F1770">
        <v>256175</v>
      </c>
      <c r="G1770">
        <v>174786</v>
      </c>
    </row>
    <row r="1771" spans="1:10">
      <c r="A1771" t="s">
        <v>595</v>
      </c>
      <c r="B1771">
        <v>21</v>
      </c>
      <c r="C1771">
        <v>25</v>
      </c>
      <c r="F1771">
        <v>179999</v>
      </c>
      <c r="G1771">
        <v>158626</v>
      </c>
    </row>
    <row r="1772" spans="1:10">
      <c r="A1772" t="s">
        <v>595</v>
      </c>
      <c r="B1772">
        <v>21</v>
      </c>
      <c r="C1772">
        <v>26</v>
      </c>
      <c r="E1772">
        <v>2071385</v>
      </c>
      <c r="F1772">
        <v>41792</v>
      </c>
      <c r="G1772">
        <v>735076</v>
      </c>
      <c r="H1772">
        <v>7000</v>
      </c>
      <c r="I1772">
        <v>612000</v>
      </c>
    </row>
    <row r="1773" spans="1:10">
      <c r="A1773" t="s">
        <v>595</v>
      </c>
      <c r="B1773">
        <v>21</v>
      </c>
      <c r="C1773">
        <v>27</v>
      </c>
      <c r="E1773">
        <v>3854678</v>
      </c>
      <c r="F1773">
        <v>1425753</v>
      </c>
      <c r="G1773">
        <v>2264758</v>
      </c>
      <c r="H1773">
        <v>96620</v>
      </c>
      <c r="I1773">
        <v>17000</v>
      </c>
      <c r="J1773">
        <v>12000</v>
      </c>
    </row>
    <row r="1774" spans="1:10">
      <c r="A1774" t="s">
        <v>595</v>
      </c>
      <c r="B1774">
        <v>21</v>
      </c>
      <c r="C1774">
        <v>31</v>
      </c>
      <c r="E1774">
        <v>4500</v>
      </c>
      <c r="F1774">
        <v>3448</v>
      </c>
      <c r="G1774">
        <v>1511</v>
      </c>
      <c r="I1774">
        <v>10000</v>
      </c>
      <c r="J1774">
        <v>2000</v>
      </c>
    </row>
    <row r="1775" spans="1:10">
      <c r="A1775" t="s">
        <v>595</v>
      </c>
      <c r="B1775">
        <v>21</v>
      </c>
      <c r="C1775">
        <v>33</v>
      </c>
      <c r="H1775">
        <v>11000</v>
      </c>
    </row>
    <row r="1776" spans="1:10">
      <c r="A1776" t="s">
        <v>595</v>
      </c>
      <c r="B1776">
        <v>21</v>
      </c>
      <c r="C1776">
        <v>34</v>
      </c>
      <c r="E1776">
        <v>91629</v>
      </c>
      <c r="G1776">
        <v>16447</v>
      </c>
    </row>
    <row r="1777" spans="1:10">
      <c r="A1777" t="s">
        <v>595</v>
      </c>
      <c r="B1777">
        <v>24</v>
      </c>
      <c r="C1777">
        <v>27</v>
      </c>
      <c r="F1777">
        <v>785725</v>
      </c>
      <c r="G1777">
        <v>554796</v>
      </c>
      <c r="H1777">
        <v>30000</v>
      </c>
    </row>
    <row r="1778" spans="1:10">
      <c r="A1778" t="s">
        <v>595</v>
      </c>
      <c r="B1778">
        <v>24</v>
      </c>
      <c r="C1778">
        <v>31</v>
      </c>
      <c r="I1778">
        <v>1000</v>
      </c>
    </row>
    <row r="1779" spans="1:10">
      <c r="A1779" t="s">
        <v>95</v>
      </c>
      <c r="B1779">
        <v>21</v>
      </c>
      <c r="C1779">
        <v>21</v>
      </c>
      <c r="E1779">
        <v>156517</v>
      </c>
      <c r="F1779">
        <v>56784</v>
      </c>
      <c r="G1779">
        <v>64433</v>
      </c>
    </row>
    <row r="1780" spans="1:10">
      <c r="A1780" t="s">
        <v>95</v>
      </c>
      <c r="B1780">
        <v>21</v>
      </c>
      <c r="C1780">
        <v>25</v>
      </c>
      <c r="F1780">
        <v>39698</v>
      </c>
      <c r="G1780">
        <v>37746</v>
      </c>
    </row>
    <row r="1781" spans="1:10">
      <c r="A1781" t="s">
        <v>95</v>
      </c>
      <c r="B1781">
        <v>21</v>
      </c>
      <c r="C1781">
        <v>26</v>
      </c>
      <c r="E1781">
        <v>162536</v>
      </c>
      <c r="F1781">
        <v>77748</v>
      </c>
      <c r="G1781">
        <v>88130</v>
      </c>
    </row>
    <row r="1782" spans="1:10">
      <c r="A1782" t="s">
        <v>95</v>
      </c>
      <c r="B1782">
        <v>21</v>
      </c>
      <c r="C1782">
        <v>27</v>
      </c>
      <c r="E1782">
        <v>1005300</v>
      </c>
      <c r="F1782">
        <v>569073</v>
      </c>
      <c r="G1782">
        <v>680278</v>
      </c>
      <c r="H1782">
        <v>589167</v>
      </c>
    </row>
    <row r="1783" spans="1:10">
      <c r="A1783" t="s">
        <v>95</v>
      </c>
      <c r="B1783">
        <v>21</v>
      </c>
      <c r="C1783">
        <v>31</v>
      </c>
      <c r="E1783">
        <v>17000</v>
      </c>
      <c r="F1783">
        <v>1500</v>
      </c>
      <c r="G1783">
        <v>3101</v>
      </c>
    </row>
    <row r="1784" spans="1:10">
      <c r="A1784" t="s">
        <v>95</v>
      </c>
      <c r="B1784">
        <v>21</v>
      </c>
      <c r="C1784">
        <v>34</v>
      </c>
      <c r="E1784">
        <v>18107</v>
      </c>
      <c r="G1784">
        <v>2918</v>
      </c>
    </row>
    <row r="1785" spans="1:10">
      <c r="A1785" t="s">
        <v>95</v>
      </c>
      <c r="B1785">
        <v>24</v>
      </c>
      <c r="C1785">
        <v>27</v>
      </c>
      <c r="F1785">
        <v>287484</v>
      </c>
      <c r="G1785">
        <v>172168</v>
      </c>
    </row>
    <row r="1786" spans="1:10">
      <c r="A1786" t="s">
        <v>567</v>
      </c>
      <c r="B1786">
        <v>21</v>
      </c>
      <c r="C1786">
        <v>21</v>
      </c>
      <c r="E1786">
        <v>109649</v>
      </c>
      <c r="G1786">
        <v>34061</v>
      </c>
    </row>
    <row r="1787" spans="1:10">
      <c r="A1787" t="s">
        <v>567</v>
      </c>
      <c r="B1787">
        <v>21</v>
      </c>
      <c r="C1787">
        <v>27</v>
      </c>
      <c r="F1787">
        <v>17800</v>
      </c>
      <c r="G1787">
        <v>12385</v>
      </c>
      <c r="I1787">
        <v>70000</v>
      </c>
    </row>
    <row r="1788" spans="1:10">
      <c r="A1788" t="s">
        <v>567</v>
      </c>
      <c r="B1788">
        <v>24</v>
      </c>
      <c r="C1788">
        <v>27</v>
      </c>
      <c r="I1788">
        <v>51200</v>
      </c>
    </row>
    <row r="1789" spans="1:10">
      <c r="A1789" t="s">
        <v>101</v>
      </c>
      <c r="B1789">
        <v>21</v>
      </c>
      <c r="C1789">
        <v>21</v>
      </c>
      <c r="E1789">
        <v>101730</v>
      </c>
      <c r="F1789">
        <v>10973</v>
      </c>
      <c r="G1789">
        <v>35565</v>
      </c>
      <c r="H1789">
        <v>1000</v>
      </c>
      <c r="I1789">
        <v>6000</v>
      </c>
      <c r="J1789">
        <v>1000</v>
      </c>
    </row>
    <row r="1790" spans="1:10">
      <c r="A1790" t="s">
        <v>101</v>
      </c>
      <c r="B1790">
        <v>21</v>
      </c>
      <c r="C1790">
        <v>26</v>
      </c>
      <c r="E1790">
        <v>118855</v>
      </c>
      <c r="G1790">
        <v>36285</v>
      </c>
      <c r="H1790">
        <v>6999</v>
      </c>
      <c r="I1790">
        <v>39380</v>
      </c>
      <c r="J1790">
        <v>1000</v>
      </c>
    </row>
    <row r="1791" spans="1:10">
      <c r="A1791" t="s">
        <v>101</v>
      </c>
      <c r="B1791">
        <v>21</v>
      </c>
      <c r="C1791">
        <v>27</v>
      </c>
      <c r="E1791">
        <v>490661</v>
      </c>
      <c r="F1791">
        <v>294457</v>
      </c>
      <c r="G1791">
        <v>379127</v>
      </c>
      <c r="H1791">
        <v>6000</v>
      </c>
      <c r="I1791">
        <v>16734</v>
      </c>
      <c r="J1791">
        <v>2400</v>
      </c>
    </row>
    <row r="1792" spans="1:10">
      <c r="A1792" t="s">
        <v>101</v>
      </c>
      <c r="B1792">
        <v>21</v>
      </c>
      <c r="C1792">
        <v>31</v>
      </c>
      <c r="E1792">
        <v>11455</v>
      </c>
      <c r="G1792">
        <v>1929</v>
      </c>
    </row>
    <row r="1793" spans="1:10">
      <c r="A1793" t="s">
        <v>101</v>
      </c>
      <c r="B1793">
        <v>21</v>
      </c>
      <c r="C1793">
        <v>34</v>
      </c>
      <c r="E1793">
        <v>9758</v>
      </c>
      <c r="G1793">
        <v>1644</v>
      </c>
    </row>
    <row r="1794" spans="1:10">
      <c r="A1794" t="s">
        <v>101</v>
      </c>
      <c r="B1794">
        <v>24</v>
      </c>
      <c r="C1794">
        <v>26</v>
      </c>
      <c r="I1794">
        <v>150000</v>
      </c>
      <c r="J1794">
        <v>3000</v>
      </c>
    </row>
    <row r="1795" spans="1:10">
      <c r="A1795" t="s">
        <v>101</v>
      </c>
      <c r="B1795">
        <v>24</v>
      </c>
      <c r="C1795">
        <v>27</v>
      </c>
      <c r="H1795">
        <v>15000</v>
      </c>
      <c r="J1795">
        <v>3000</v>
      </c>
    </row>
    <row r="1796" spans="1:10">
      <c r="A1796" t="s">
        <v>593</v>
      </c>
      <c r="B1796">
        <v>21</v>
      </c>
      <c r="C1796">
        <v>25</v>
      </c>
      <c r="F1796">
        <v>7505</v>
      </c>
      <c r="G1796">
        <v>5284</v>
      </c>
    </row>
    <row r="1797" spans="1:10">
      <c r="A1797" t="s">
        <v>593</v>
      </c>
      <c r="B1797">
        <v>21</v>
      </c>
      <c r="C1797">
        <v>26</v>
      </c>
      <c r="H1797">
        <v>200</v>
      </c>
    </row>
    <row r="1798" spans="1:10">
      <c r="A1798" t="s">
        <v>593</v>
      </c>
      <c r="B1798">
        <v>21</v>
      </c>
      <c r="C1798">
        <v>27</v>
      </c>
      <c r="E1798">
        <v>1050</v>
      </c>
      <c r="F1798">
        <v>16123</v>
      </c>
      <c r="G1798">
        <v>11444</v>
      </c>
      <c r="H1798">
        <v>400</v>
      </c>
    </row>
    <row r="1799" spans="1:10">
      <c r="A1799" t="s">
        <v>593</v>
      </c>
      <c r="B1799">
        <v>21</v>
      </c>
      <c r="C1799">
        <v>29</v>
      </c>
      <c r="I1799">
        <v>449381</v>
      </c>
    </row>
    <row r="1800" spans="1:10">
      <c r="A1800" t="s">
        <v>593</v>
      </c>
      <c r="B1800">
        <v>21</v>
      </c>
      <c r="C1800">
        <v>32</v>
      </c>
      <c r="H1800">
        <v>500</v>
      </c>
    </row>
    <row r="1801" spans="1:10">
      <c r="A1801" t="s">
        <v>421</v>
      </c>
      <c r="B1801">
        <v>21</v>
      </c>
      <c r="C1801">
        <v>26</v>
      </c>
      <c r="I1801">
        <v>125000</v>
      </c>
    </row>
    <row r="1802" spans="1:10">
      <c r="A1802" t="s">
        <v>421</v>
      </c>
      <c r="B1802">
        <v>21</v>
      </c>
      <c r="C1802">
        <v>27</v>
      </c>
      <c r="E1802">
        <v>156573</v>
      </c>
      <c r="F1802">
        <v>59112</v>
      </c>
      <c r="G1802">
        <v>96498</v>
      </c>
      <c r="H1802">
        <v>17500</v>
      </c>
      <c r="I1802">
        <v>35000</v>
      </c>
    </row>
    <row r="1803" spans="1:10">
      <c r="A1803" t="s">
        <v>421</v>
      </c>
      <c r="B1803">
        <v>21</v>
      </c>
      <c r="C1803">
        <v>31</v>
      </c>
      <c r="E1803">
        <v>2752</v>
      </c>
      <c r="G1803">
        <v>385</v>
      </c>
      <c r="J1803">
        <v>1000</v>
      </c>
    </row>
    <row r="1804" spans="1:10">
      <c r="A1804" t="s">
        <v>421</v>
      </c>
      <c r="B1804">
        <v>21</v>
      </c>
      <c r="C1804">
        <v>34</v>
      </c>
      <c r="E1804">
        <v>901</v>
      </c>
      <c r="G1804">
        <v>211</v>
      </c>
    </row>
    <row r="1805" spans="1:10">
      <c r="A1805" t="s">
        <v>421</v>
      </c>
      <c r="B1805">
        <v>24</v>
      </c>
      <c r="C1805">
        <v>26</v>
      </c>
      <c r="I1805">
        <v>55000</v>
      </c>
    </row>
    <row r="1806" spans="1:10">
      <c r="A1806" t="s">
        <v>32</v>
      </c>
      <c r="B1806">
        <v>21</v>
      </c>
      <c r="C1806">
        <v>21</v>
      </c>
      <c r="D1806">
        <v>1500</v>
      </c>
      <c r="E1806">
        <v>371041</v>
      </c>
      <c r="F1806">
        <v>342232</v>
      </c>
      <c r="G1806">
        <v>219867</v>
      </c>
      <c r="H1806">
        <v>7800</v>
      </c>
      <c r="I1806">
        <v>432343</v>
      </c>
    </row>
    <row r="1807" spans="1:10">
      <c r="A1807" t="s">
        <v>32</v>
      </c>
      <c r="B1807">
        <v>21</v>
      </c>
      <c r="C1807">
        <v>26</v>
      </c>
      <c r="E1807">
        <v>5344357</v>
      </c>
      <c r="F1807">
        <v>148282</v>
      </c>
      <c r="G1807">
        <v>1710167</v>
      </c>
      <c r="H1807">
        <v>37250</v>
      </c>
      <c r="I1807">
        <v>16000</v>
      </c>
      <c r="J1807">
        <v>2000</v>
      </c>
    </row>
    <row r="1808" spans="1:10">
      <c r="A1808" t="s">
        <v>32</v>
      </c>
      <c r="B1808">
        <v>21</v>
      </c>
      <c r="C1808">
        <v>27</v>
      </c>
      <c r="E1808">
        <v>10024577</v>
      </c>
      <c r="F1808">
        <v>8686934</v>
      </c>
      <c r="G1808">
        <v>8008653</v>
      </c>
      <c r="H1808">
        <v>23463</v>
      </c>
      <c r="I1808">
        <v>976900</v>
      </c>
      <c r="J1808">
        <v>1400</v>
      </c>
    </row>
    <row r="1809" spans="1:10">
      <c r="A1809" t="s">
        <v>32</v>
      </c>
      <c r="B1809">
        <v>21</v>
      </c>
      <c r="C1809">
        <v>31</v>
      </c>
      <c r="E1809">
        <v>41607</v>
      </c>
      <c r="G1809">
        <v>7822</v>
      </c>
      <c r="I1809">
        <v>108000</v>
      </c>
      <c r="J1809">
        <v>1000</v>
      </c>
    </row>
    <row r="1810" spans="1:10">
      <c r="A1810" t="s">
        <v>32</v>
      </c>
      <c r="B1810">
        <v>24</v>
      </c>
      <c r="C1810">
        <v>27</v>
      </c>
      <c r="E1810">
        <v>1971580</v>
      </c>
      <c r="G1810">
        <v>621810</v>
      </c>
      <c r="H1810">
        <v>-89346</v>
      </c>
    </row>
    <row r="1811" spans="1:10">
      <c r="A1811" t="s">
        <v>173</v>
      </c>
      <c r="B1811">
        <v>21</v>
      </c>
      <c r="C1811">
        <v>21</v>
      </c>
      <c r="E1811">
        <v>160477</v>
      </c>
      <c r="F1811">
        <v>135757</v>
      </c>
      <c r="G1811">
        <v>95620</v>
      </c>
      <c r="H1811">
        <v>24000</v>
      </c>
      <c r="I1811">
        <v>31200</v>
      </c>
      <c r="J1811">
        <v>1000</v>
      </c>
    </row>
    <row r="1812" spans="1:10">
      <c r="A1812" t="s">
        <v>173</v>
      </c>
      <c r="B1812">
        <v>21</v>
      </c>
      <c r="C1812">
        <v>25</v>
      </c>
      <c r="F1812">
        <v>83000</v>
      </c>
      <c r="G1812">
        <v>400</v>
      </c>
      <c r="H1812">
        <v>2000</v>
      </c>
    </row>
    <row r="1813" spans="1:10">
      <c r="A1813" t="s">
        <v>173</v>
      </c>
      <c r="B1813">
        <v>21</v>
      </c>
      <c r="C1813">
        <v>26</v>
      </c>
      <c r="E1813">
        <v>2097756</v>
      </c>
      <c r="F1813">
        <v>128929</v>
      </c>
      <c r="G1813">
        <v>743869</v>
      </c>
      <c r="H1813">
        <v>26500</v>
      </c>
      <c r="I1813">
        <v>5100</v>
      </c>
      <c r="J1813">
        <v>1000</v>
      </c>
    </row>
    <row r="1814" spans="1:10">
      <c r="A1814" t="s">
        <v>173</v>
      </c>
      <c r="B1814">
        <v>21</v>
      </c>
      <c r="C1814">
        <v>27</v>
      </c>
      <c r="D1814">
        <v>9000</v>
      </c>
      <c r="E1814">
        <v>4090842</v>
      </c>
      <c r="F1814">
        <v>2492705</v>
      </c>
      <c r="G1814">
        <v>2845379</v>
      </c>
      <c r="H1814">
        <v>63000</v>
      </c>
      <c r="I1814">
        <v>1569500</v>
      </c>
      <c r="J1814">
        <v>1900</v>
      </c>
    </row>
    <row r="1815" spans="1:10">
      <c r="A1815" t="s">
        <v>173</v>
      </c>
      <c r="B1815">
        <v>21</v>
      </c>
      <c r="C1815">
        <v>28</v>
      </c>
      <c r="F1815">
        <v>3000</v>
      </c>
      <c r="G1815">
        <v>600</v>
      </c>
    </row>
    <row r="1816" spans="1:10">
      <c r="A1816" t="s">
        <v>173</v>
      </c>
      <c r="B1816">
        <v>21</v>
      </c>
      <c r="C1816">
        <v>29</v>
      </c>
      <c r="I1816">
        <v>500000</v>
      </c>
    </row>
    <row r="1817" spans="1:10">
      <c r="A1817" t="s">
        <v>173</v>
      </c>
      <c r="B1817">
        <v>21</v>
      </c>
      <c r="C1817">
        <v>31</v>
      </c>
      <c r="E1817">
        <v>114029</v>
      </c>
      <c r="F1817">
        <v>4000</v>
      </c>
      <c r="G1817">
        <v>33014</v>
      </c>
      <c r="I1817">
        <v>28350</v>
      </c>
      <c r="J1817">
        <v>8000</v>
      </c>
    </row>
    <row r="1818" spans="1:10">
      <c r="A1818" t="s">
        <v>173</v>
      </c>
      <c r="B1818">
        <v>21</v>
      </c>
      <c r="C1818">
        <v>33</v>
      </c>
      <c r="H1818">
        <v>10000</v>
      </c>
      <c r="I1818">
        <v>6000</v>
      </c>
    </row>
    <row r="1819" spans="1:10">
      <c r="A1819" t="s">
        <v>173</v>
      </c>
      <c r="B1819">
        <v>21</v>
      </c>
      <c r="C1819">
        <v>34</v>
      </c>
      <c r="E1819">
        <v>103316</v>
      </c>
      <c r="G1819">
        <v>34637</v>
      </c>
    </row>
    <row r="1820" spans="1:10">
      <c r="A1820" t="s">
        <v>173</v>
      </c>
      <c r="B1820">
        <v>24</v>
      </c>
      <c r="C1820">
        <v>27</v>
      </c>
      <c r="F1820">
        <v>605401</v>
      </c>
      <c r="G1820">
        <v>337136</v>
      </c>
    </row>
    <row r="1821" spans="1:10">
      <c r="A1821" t="s">
        <v>173</v>
      </c>
      <c r="B1821">
        <v>24</v>
      </c>
      <c r="C1821">
        <v>31</v>
      </c>
      <c r="E1821">
        <v>67919</v>
      </c>
      <c r="G1821">
        <v>19544</v>
      </c>
    </row>
    <row r="1822" spans="1:10">
      <c r="A1822" t="s">
        <v>173</v>
      </c>
      <c r="B1822">
        <v>29</v>
      </c>
      <c r="C1822">
        <v>27</v>
      </c>
      <c r="F1822">
        <v>64471</v>
      </c>
      <c r="G1822">
        <v>40785</v>
      </c>
    </row>
    <row r="1823" spans="1:10">
      <c r="A1823" t="s">
        <v>41</v>
      </c>
      <c r="B1823">
        <v>21</v>
      </c>
      <c r="C1823">
        <v>21</v>
      </c>
      <c r="E1823">
        <v>152562</v>
      </c>
      <c r="F1823">
        <v>76035</v>
      </c>
      <c r="G1823">
        <v>68238</v>
      </c>
      <c r="H1823">
        <v>5000</v>
      </c>
      <c r="I1823">
        <v>12000</v>
      </c>
      <c r="J1823">
        <v>2000</v>
      </c>
    </row>
    <row r="1824" spans="1:10">
      <c r="A1824" t="s">
        <v>41</v>
      </c>
      <c r="B1824">
        <v>21</v>
      </c>
      <c r="C1824">
        <v>26</v>
      </c>
      <c r="E1824">
        <v>1066733</v>
      </c>
      <c r="F1824">
        <v>47409</v>
      </c>
      <c r="G1824">
        <v>363127</v>
      </c>
      <c r="H1824">
        <v>8005</v>
      </c>
      <c r="I1824">
        <v>22000</v>
      </c>
      <c r="J1824">
        <v>1500</v>
      </c>
    </row>
    <row r="1825" spans="1:10">
      <c r="A1825" t="s">
        <v>41</v>
      </c>
      <c r="B1825">
        <v>21</v>
      </c>
      <c r="C1825">
        <v>27</v>
      </c>
      <c r="D1825">
        <v>2000</v>
      </c>
      <c r="E1825">
        <v>1471986</v>
      </c>
      <c r="F1825">
        <v>1439711</v>
      </c>
      <c r="G1825">
        <v>1316093</v>
      </c>
      <c r="H1825">
        <v>10600</v>
      </c>
      <c r="I1825">
        <v>647200</v>
      </c>
    </row>
    <row r="1826" spans="1:10">
      <c r="A1826" t="s">
        <v>41</v>
      </c>
      <c r="B1826">
        <v>21</v>
      </c>
      <c r="C1826">
        <v>31</v>
      </c>
      <c r="I1826">
        <v>1500</v>
      </c>
      <c r="J1826">
        <v>800</v>
      </c>
    </row>
    <row r="1827" spans="1:10">
      <c r="A1827" t="s">
        <v>41</v>
      </c>
      <c r="B1827">
        <v>24</v>
      </c>
      <c r="C1827">
        <v>26</v>
      </c>
      <c r="E1827">
        <v>160740</v>
      </c>
      <c r="G1827">
        <v>59153</v>
      </c>
    </row>
    <row r="1828" spans="1:10">
      <c r="A1828" t="s">
        <v>41</v>
      </c>
      <c r="B1828">
        <v>24</v>
      </c>
      <c r="C1828">
        <v>27</v>
      </c>
      <c r="E1828">
        <v>181404</v>
      </c>
      <c r="F1828">
        <v>8351</v>
      </c>
      <c r="G1828">
        <v>63858</v>
      </c>
    </row>
    <row r="1829" spans="1:10">
      <c r="A1829" t="s">
        <v>283</v>
      </c>
      <c r="B1829">
        <v>21</v>
      </c>
      <c r="C1829">
        <v>21</v>
      </c>
      <c r="E1829">
        <v>192276</v>
      </c>
      <c r="F1829">
        <v>117921</v>
      </c>
      <c r="G1829">
        <v>98327</v>
      </c>
      <c r="H1829">
        <v>1000</v>
      </c>
      <c r="I1829">
        <v>1500</v>
      </c>
      <c r="J1829">
        <v>1500</v>
      </c>
    </row>
    <row r="1830" spans="1:10">
      <c r="A1830" t="s">
        <v>283</v>
      </c>
      <c r="B1830">
        <v>21</v>
      </c>
      <c r="C1830">
        <v>23</v>
      </c>
      <c r="F1830">
        <v>21966</v>
      </c>
      <c r="G1830">
        <v>20595</v>
      </c>
    </row>
    <row r="1831" spans="1:10">
      <c r="A1831" t="s">
        <v>283</v>
      </c>
      <c r="B1831">
        <v>21</v>
      </c>
      <c r="C1831">
        <v>25</v>
      </c>
      <c r="I1831">
        <v>2500</v>
      </c>
    </row>
    <row r="1832" spans="1:10">
      <c r="A1832" t="s">
        <v>283</v>
      </c>
      <c r="B1832">
        <v>21</v>
      </c>
      <c r="C1832">
        <v>26</v>
      </c>
      <c r="E1832">
        <v>1748444</v>
      </c>
      <c r="F1832">
        <v>66431</v>
      </c>
      <c r="G1832">
        <v>613880</v>
      </c>
      <c r="H1832">
        <v>14500</v>
      </c>
      <c r="I1832">
        <v>282500</v>
      </c>
    </row>
    <row r="1833" spans="1:10">
      <c r="A1833" t="s">
        <v>283</v>
      </c>
      <c r="B1833">
        <v>21</v>
      </c>
      <c r="C1833">
        <v>27</v>
      </c>
      <c r="E1833">
        <v>2248611</v>
      </c>
      <c r="F1833">
        <v>1766889</v>
      </c>
      <c r="G1833">
        <v>1840442</v>
      </c>
      <c r="H1833">
        <v>29000</v>
      </c>
      <c r="I1833">
        <v>341041</v>
      </c>
      <c r="J1833">
        <v>2500</v>
      </c>
    </row>
    <row r="1834" spans="1:10">
      <c r="A1834" t="s">
        <v>283</v>
      </c>
      <c r="B1834">
        <v>21</v>
      </c>
      <c r="C1834">
        <v>31</v>
      </c>
      <c r="E1834">
        <v>172043</v>
      </c>
      <c r="G1834">
        <v>27336</v>
      </c>
      <c r="H1834">
        <v>1500</v>
      </c>
      <c r="I1834">
        <v>3500</v>
      </c>
      <c r="J1834">
        <v>1000</v>
      </c>
    </row>
    <row r="1835" spans="1:10">
      <c r="A1835" t="s">
        <v>283</v>
      </c>
      <c r="B1835">
        <v>21</v>
      </c>
      <c r="C1835">
        <v>32</v>
      </c>
      <c r="H1835">
        <v>8000</v>
      </c>
    </row>
    <row r="1836" spans="1:10">
      <c r="A1836" t="s">
        <v>283</v>
      </c>
      <c r="B1836">
        <v>21</v>
      </c>
      <c r="C1836">
        <v>33</v>
      </c>
      <c r="H1836">
        <v>14750</v>
      </c>
    </row>
    <row r="1837" spans="1:10">
      <c r="A1837" t="s">
        <v>283</v>
      </c>
      <c r="B1837">
        <v>24</v>
      </c>
      <c r="C1837">
        <v>27</v>
      </c>
      <c r="E1837">
        <v>285330</v>
      </c>
      <c r="F1837">
        <v>258502</v>
      </c>
      <c r="G1837">
        <v>247071</v>
      </c>
      <c r="I1837">
        <v>150000</v>
      </c>
    </row>
    <row r="1838" spans="1:10">
      <c r="A1838" t="s">
        <v>283</v>
      </c>
      <c r="B1838">
        <v>24</v>
      </c>
      <c r="C1838">
        <v>31</v>
      </c>
      <c r="E1838">
        <v>7732</v>
      </c>
      <c r="G1838">
        <v>1239</v>
      </c>
    </row>
    <row r="1839" spans="1:10">
      <c r="A1839" t="s">
        <v>305</v>
      </c>
      <c r="B1839">
        <v>21</v>
      </c>
      <c r="C1839">
        <v>21</v>
      </c>
      <c r="E1839">
        <v>167055</v>
      </c>
      <c r="F1839">
        <v>71321</v>
      </c>
      <c r="G1839">
        <v>72331</v>
      </c>
    </row>
    <row r="1840" spans="1:10">
      <c r="A1840" t="s">
        <v>305</v>
      </c>
      <c r="B1840">
        <v>21</v>
      </c>
      <c r="C1840">
        <v>25</v>
      </c>
      <c r="F1840">
        <v>62138</v>
      </c>
      <c r="G1840">
        <v>51148</v>
      </c>
    </row>
    <row r="1841" spans="1:10">
      <c r="A1841" t="s">
        <v>305</v>
      </c>
      <c r="B1841">
        <v>21</v>
      </c>
      <c r="C1841">
        <v>26</v>
      </c>
      <c r="E1841">
        <v>699360</v>
      </c>
      <c r="F1841">
        <v>400</v>
      </c>
      <c r="G1841">
        <v>215698</v>
      </c>
      <c r="I1841">
        <v>86000</v>
      </c>
    </row>
    <row r="1842" spans="1:10">
      <c r="A1842" t="s">
        <v>305</v>
      </c>
      <c r="B1842">
        <v>21</v>
      </c>
      <c r="C1842">
        <v>27</v>
      </c>
      <c r="D1842">
        <v>531</v>
      </c>
      <c r="E1842">
        <v>950672</v>
      </c>
      <c r="F1842">
        <v>1050494</v>
      </c>
      <c r="G1842">
        <v>960490</v>
      </c>
      <c r="H1842">
        <v>11397</v>
      </c>
      <c r="I1842">
        <v>457864</v>
      </c>
      <c r="J1842">
        <v>20700</v>
      </c>
    </row>
    <row r="1843" spans="1:10">
      <c r="A1843" t="s">
        <v>305</v>
      </c>
      <c r="B1843">
        <v>21</v>
      </c>
      <c r="C1843">
        <v>31</v>
      </c>
      <c r="D1843">
        <v>600</v>
      </c>
      <c r="H1843">
        <v>1</v>
      </c>
      <c r="I1843">
        <v>4000</v>
      </c>
      <c r="J1843">
        <v>1600</v>
      </c>
    </row>
    <row r="1844" spans="1:10">
      <c r="A1844" t="s">
        <v>305</v>
      </c>
      <c r="B1844">
        <v>21</v>
      </c>
      <c r="C1844">
        <v>34</v>
      </c>
      <c r="E1844">
        <v>32321</v>
      </c>
      <c r="G1844">
        <v>10692</v>
      </c>
    </row>
    <row r="1845" spans="1:10">
      <c r="A1845" t="s">
        <v>305</v>
      </c>
      <c r="B1845">
        <v>24</v>
      </c>
      <c r="C1845">
        <v>27</v>
      </c>
      <c r="E1845">
        <v>238112</v>
      </c>
      <c r="F1845">
        <v>31858</v>
      </c>
      <c r="G1845">
        <v>90553</v>
      </c>
      <c r="H1845">
        <v>4</v>
      </c>
      <c r="I1845">
        <v>3</v>
      </c>
      <c r="J1845">
        <v>1</v>
      </c>
    </row>
    <row r="1846" spans="1:10">
      <c r="A1846" t="s">
        <v>305</v>
      </c>
      <c r="B1846">
        <v>24</v>
      </c>
      <c r="C1846">
        <v>31</v>
      </c>
      <c r="I1846">
        <v>1</v>
      </c>
    </row>
    <row r="1847" spans="1:10">
      <c r="A1847" t="s">
        <v>343</v>
      </c>
      <c r="B1847">
        <v>21</v>
      </c>
      <c r="C1847">
        <v>21</v>
      </c>
      <c r="E1847">
        <v>137297</v>
      </c>
      <c r="F1847">
        <v>42464</v>
      </c>
      <c r="G1847">
        <v>49662</v>
      </c>
    </row>
    <row r="1848" spans="1:10">
      <c r="A1848" t="s">
        <v>343</v>
      </c>
      <c r="B1848">
        <v>21</v>
      </c>
      <c r="C1848">
        <v>26</v>
      </c>
      <c r="E1848">
        <v>920392</v>
      </c>
      <c r="F1848">
        <v>74780</v>
      </c>
      <c r="G1848">
        <v>335482</v>
      </c>
      <c r="I1848">
        <v>200000</v>
      </c>
    </row>
    <row r="1849" spans="1:10">
      <c r="A1849" t="s">
        <v>343</v>
      </c>
      <c r="B1849">
        <v>21</v>
      </c>
      <c r="C1849">
        <v>27</v>
      </c>
      <c r="D1849">
        <v>6000</v>
      </c>
      <c r="E1849">
        <v>1288048</v>
      </c>
      <c r="F1849">
        <v>1130815</v>
      </c>
      <c r="G1849">
        <v>1136266</v>
      </c>
      <c r="H1849">
        <v>30000</v>
      </c>
      <c r="I1849">
        <v>117236</v>
      </c>
      <c r="J1849">
        <v>4000</v>
      </c>
    </row>
    <row r="1850" spans="1:10">
      <c r="A1850" t="s">
        <v>343</v>
      </c>
      <c r="B1850">
        <v>21</v>
      </c>
      <c r="C1850">
        <v>31</v>
      </c>
      <c r="E1850">
        <v>35950</v>
      </c>
      <c r="G1850">
        <v>5746</v>
      </c>
      <c r="I1850">
        <v>1500</v>
      </c>
      <c r="J1850">
        <v>500</v>
      </c>
    </row>
    <row r="1851" spans="1:10">
      <c r="A1851" t="s">
        <v>343</v>
      </c>
      <c r="B1851">
        <v>21</v>
      </c>
      <c r="C1851">
        <v>33</v>
      </c>
      <c r="H1851">
        <v>1499</v>
      </c>
    </row>
    <row r="1852" spans="1:10">
      <c r="A1852" t="s">
        <v>343</v>
      </c>
      <c r="B1852">
        <v>21</v>
      </c>
      <c r="C1852">
        <v>34</v>
      </c>
      <c r="E1852">
        <v>35379</v>
      </c>
      <c r="G1852">
        <v>12084</v>
      </c>
    </row>
    <row r="1853" spans="1:10">
      <c r="A1853" t="s">
        <v>343</v>
      </c>
      <c r="B1853">
        <v>24</v>
      </c>
      <c r="C1853">
        <v>27</v>
      </c>
      <c r="E1853">
        <v>224744</v>
      </c>
      <c r="F1853">
        <v>61856</v>
      </c>
      <c r="G1853">
        <v>123669</v>
      </c>
      <c r="H1853">
        <v>2629</v>
      </c>
    </row>
    <row r="1854" spans="1:10">
      <c r="A1854" t="s">
        <v>343</v>
      </c>
      <c r="B1854">
        <v>24</v>
      </c>
      <c r="C1854">
        <v>31</v>
      </c>
      <c r="E1854">
        <v>3620</v>
      </c>
      <c r="G1854">
        <v>583</v>
      </c>
    </row>
    <row r="1855" spans="1:10">
      <c r="A1855" t="s">
        <v>323</v>
      </c>
      <c r="B1855">
        <v>21</v>
      </c>
      <c r="C1855">
        <v>21</v>
      </c>
      <c r="E1855">
        <v>140310</v>
      </c>
      <c r="F1855">
        <v>82060</v>
      </c>
      <c r="G1855">
        <v>76410</v>
      </c>
    </row>
    <row r="1856" spans="1:10">
      <c r="A1856" t="s">
        <v>323</v>
      </c>
      <c r="B1856">
        <v>21</v>
      </c>
      <c r="C1856">
        <v>25</v>
      </c>
      <c r="F1856">
        <v>16084</v>
      </c>
      <c r="G1856">
        <v>8969</v>
      </c>
    </row>
    <row r="1857" spans="1:10">
      <c r="A1857" t="s">
        <v>323</v>
      </c>
      <c r="B1857">
        <v>21</v>
      </c>
      <c r="C1857">
        <v>26</v>
      </c>
      <c r="E1857">
        <v>695427</v>
      </c>
      <c r="G1857">
        <v>260788</v>
      </c>
      <c r="H1857">
        <v>5250</v>
      </c>
      <c r="I1857">
        <v>266500</v>
      </c>
    </row>
    <row r="1858" spans="1:10">
      <c r="A1858" t="s">
        <v>323</v>
      </c>
      <c r="B1858">
        <v>21</v>
      </c>
      <c r="C1858">
        <v>27</v>
      </c>
      <c r="E1858">
        <v>1787821</v>
      </c>
      <c r="F1858">
        <v>887794</v>
      </c>
      <c r="G1858">
        <v>1147369</v>
      </c>
      <c r="H1858">
        <v>11025</v>
      </c>
    </row>
    <row r="1859" spans="1:10">
      <c r="A1859" t="s">
        <v>323</v>
      </c>
      <c r="B1859">
        <v>21</v>
      </c>
      <c r="C1859">
        <v>29</v>
      </c>
      <c r="I1859">
        <v>330750</v>
      </c>
    </row>
    <row r="1860" spans="1:10">
      <c r="A1860" t="s">
        <v>323</v>
      </c>
      <c r="B1860">
        <v>24</v>
      </c>
      <c r="C1860">
        <v>27</v>
      </c>
      <c r="E1860">
        <v>134488</v>
      </c>
      <c r="F1860">
        <v>8562</v>
      </c>
      <c r="G1860">
        <v>126974</v>
      </c>
    </row>
    <row r="1861" spans="1:10">
      <c r="A1861" t="s">
        <v>323</v>
      </c>
      <c r="B1861">
        <v>29</v>
      </c>
      <c r="C1861">
        <v>27</v>
      </c>
      <c r="I1861">
        <v>17803</v>
      </c>
    </row>
    <row r="1862" spans="1:10">
      <c r="A1862" t="s">
        <v>615</v>
      </c>
      <c r="B1862">
        <v>21</v>
      </c>
      <c r="C1862">
        <v>26</v>
      </c>
      <c r="H1862">
        <v>2626</v>
      </c>
      <c r="I1862">
        <v>90102</v>
      </c>
    </row>
    <row r="1863" spans="1:10">
      <c r="A1863" t="s">
        <v>615</v>
      </c>
      <c r="B1863">
        <v>21</v>
      </c>
      <c r="C1863">
        <v>27</v>
      </c>
      <c r="E1863">
        <v>66558</v>
      </c>
      <c r="F1863">
        <v>73404</v>
      </c>
      <c r="G1863">
        <v>50386</v>
      </c>
    </row>
    <row r="1864" spans="1:10">
      <c r="A1864" t="s">
        <v>615</v>
      </c>
      <c r="B1864">
        <v>24</v>
      </c>
      <c r="C1864">
        <v>27</v>
      </c>
      <c r="E1864">
        <v>16639</v>
      </c>
      <c r="G1864">
        <v>5990</v>
      </c>
    </row>
    <row r="1865" spans="1:10">
      <c r="A1865" t="s">
        <v>255</v>
      </c>
      <c r="B1865">
        <v>21</v>
      </c>
      <c r="C1865">
        <v>24</v>
      </c>
      <c r="E1865">
        <v>7230</v>
      </c>
      <c r="G1865">
        <v>32</v>
      </c>
    </row>
    <row r="1866" spans="1:10">
      <c r="A1866" t="s">
        <v>255</v>
      </c>
      <c r="B1866">
        <v>21</v>
      </c>
      <c r="C1866">
        <v>27</v>
      </c>
      <c r="E1866">
        <v>77436</v>
      </c>
      <c r="G1866">
        <v>48040</v>
      </c>
      <c r="H1866">
        <v>4500</v>
      </c>
      <c r="I1866">
        <v>80500</v>
      </c>
    </row>
    <row r="1867" spans="1:10">
      <c r="A1867" t="s">
        <v>255</v>
      </c>
      <c r="B1867">
        <v>21</v>
      </c>
      <c r="C1867">
        <v>32</v>
      </c>
      <c r="H1867">
        <v>500</v>
      </c>
    </row>
    <row r="1868" spans="1:10">
      <c r="A1868" t="s">
        <v>255</v>
      </c>
      <c r="B1868">
        <v>21</v>
      </c>
      <c r="C1868">
        <v>33</v>
      </c>
      <c r="H1868">
        <v>1500</v>
      </c>
    </row>
    <row r="1869" spans="1:10">
      <c r="A1869" t="s">
        <v>255</v>
      </c>
      <c r="B1869">
        <v>24</v>
      </c>
      <c r="C1869">
        <v>27</v>
      </c>
      <c r="H1869">
        <v>500</v>
      </c>
      <c r="I1869">
        <v>18800</v>
      </c>
    </row>
    <row r="1870" spans="1:10">
      <c r="A1870" t="s">
        <v>255</v>
      </c>
      <c r="B1870">
        <v>24</v>
      </c>
      <c r="C1870">
        <v>32</v>
      </c>
      <c r="H1870">
        <v>32</v>
      </c>
    </row>
    <row r="1871" spans="1:10">
      <c r="A1871" t="s">
        <v>267</v>
      </c>
      <c r="B1871">
        <v>21</v>
      </c>
      <c r="C1871">
        <v>26</v>
      </c>
      <c r="I1871">
        <v>14000</v>
      </c>
      <c r="J1871">
        <v>500</v>
      </c>
    </row>
    <row r="1872" spans="1:10">
      <c r="A1872" t="s">
        <v>267</v>
      </c>
      <c r="B1872">
        <v>21</v>
      </c>
      <c r="C1872">
        <v>27</v>
      </c>
      <c r="E1872">
        <v>64552</v>
      </c>
      <c r="F1872">
        <v>10530</v>
      </c>
      <c r="G1872">
        <v>24282</v>
      </c>
      <c r="H1872">
        <v>800</v>
      </c>
      <c r="I1872">
        <v>335</v>
      </c>
    </row>
    <row r="1873" spans="1:10">
      <c r="A1873" t="s">
        <v>267</v>
      </c>
      <c r="B1873">
        <v>24</v>
      </c>
      <c r="C1873">
        <v>26</v>
      </c>
      <c r="I1873">
        <v>5300</v>
      </c>
    </row>
    <row r="1874" spans="1:10">
      <c r="A1874" t="s">
        <v>555</v>
      </c>
      <c r="B1874">
        <v>21</v>
      </c>
      <c r="C1874">
        <v>26</v>
      </c>
      <c r="I1874">
        <v>33254</v>
      </c>
    </row>
    <row r="1875" spans="1:10">
      <c r="A1875" t="s">
        <v>555</v>
      </c>
      <c r="B1875">
        <v>21</v>
      </c>
      <c r="C1875">
        <v>27</v>
      </c>
      <c r="E1875">
        <v>151245</v>
      </c>
      <c r="F1875">
        <v>168130</v>
      </c>
      <c r="G1875">
        <v>164457</v>
      </c>
      <c r="H1875">
        <v>8400</v>
      </c>
      <c r="I1875">
        <v>30000</v>
      </c>
    </row>
    <row r="1876" spans="1:10">
      <c r="A1876" t="s">
        <v>555</v>
      </c>
      <c r="B1876">
        <v>21</v>
      </c>
      <c r="C1876">
        <v>34</v>
      </c>
      <c r="E1876">
        <v>3263</v>
      </c>
      <c r="G1876">
        <v>535</v>
      </c>
    </row>
    <row r="1877" spans="1:10">
      <c r="A1877" t="s">
        <v>555</v>
      </c>
      <c r="B1877">
        <v>24</v>
      </c>
      <c r="C1877">
        <v>26</v>
      </c>
      <c r="I1877">
        <v>40473</v>
      </c>
    </row>
    <row r="1878" spans="1:10">
      <c r="A1878" t="s">
        <v>427</v>
      </c>
      <c r="B1878">
        <v>21</v>
      </c>
      <c r="C1878">
        <v>21</v>
      </c>
      <c r="E1878">
        <v>188132</v>
      </c>
      <c r="F1878">
        <v>95124</v>
      </c>
      <c r="G1878">
        <v>86155</v>
      </c>
      <c r="H1878">
        <v>200</v>
      </c>
      <c r="I1878">
        <v>500</v>
      </c>
      <c r="J1878">
        <v>600</v>
      </c>
    </row>
    <row r="1879" spans="1:10">
      <c r="A1879" t="s">
        <v>427</v>
      </c>
      <c r="B1879">
        <v>21</v>
      </c>
      <c r="C1879">
        <v>25</v>
      </c>
      <c r="F1879">
        <v>92118</v>
      </c>
      <c r="G1879">
        <v>51777</v>
      </c>
    </row>
    <row r="1880" spans="1:10">
      <c r="A1880" t="s">
        <v>427</v>
      </c>
      <c r="B1880">
        <v>21</v>
      </c>
      <c r="C1880">
        <v>26</v>
      </c>
      <c r="E1880">
        <v>848009</v>
      </c>
      <c r="G1880">
        <v>281042</v>
      </c>
      <c r="H1880">
        <v>1000</v>
      </c>
      <c r="I1880">
        <v>99500</v>
      </c>
    </row>
    <row r="1881" spans="1:10">
      <c r="A1881" t="s">
        <v>427</v>
      </c>
      <c r="B1881">
        <v>21</v>
      </c>
      <c r="C1881">
        <v>27</v>
      </c>
      <c r="D1881">
        <v>1700</v>
      </c>
      <c r="E1881">
        <v>1229382</v>
      </c>
      <c r="F1881">
        <v>1029378</v>
      </c>
      <c r="G1881">
        <v>1089728</v>
      </c>
      <c r="H1881">
        <v>4500</v>
      </c>
      <c r="I1881">
        <v>49633</v>
      </c>
      <c r="J1881">
        <v>500</v>
      </c>
    </row>
    <row r="1882" spans="1:10">
      <c r="A1882" t="s">
        <v>427</v>
      </c>
      <c r="B1882">
        <v>21</v>
      </c>
      <c r="C1882">
        <v>31</v>
      </c>
      <c r="E1882">
        <v>46250</v>
      </c>
      <c r="F1882">
        <v>5001</v>
      </c>
      <c r="G1882">
        <v>7976</v>
      </c>
      <c r="H1882">
        <v>200</v>
      </c>
    </row>
    <row r="1883" spans="1:10">
      <c r="A1883" t="s">
        <v>427</v>
      </c>
      <c r="B1883">
        <v>21</v>
      </c>
      <c r="C1883">
        <v>33</v>
      </c>
      <c r="H1883">
        <v>3000</v>
      </c>
      <c r="I1883">
        <v>2650</v>
      </c>
    </row>
    <row r="1884" spans="1:10">
      <c r="A1884" t="s">
        <v>427</v>
      </c>
      <c r="B1884">
        <v>21</v>
      </c>
      <c r="C1884">
        <v>34</v>
      </c>
      <c r="E1884">
        <v>33564</v>
      </c>
      <c r="G1884">
        <v>5279</v>
      </c>
    </row>
    <row r="1885" spans="1:10">
      <c r="A1885" t="s">
        <v>427</v>
      </c>
      <c r="B1885">
        <v>24</v>
      </c>
      <c r="C1885">
        <v>27</v>
      </c>
      <c r="E1885">
        <v>357298</v>
      </c>
      <c r="G1885">
        <v>135452</v>
      </c>
      <c r="H1885">
        <v>6794</v>
      </c>
      <c r="I1885">
        <v>9975</v>
      </c>
    </row>
    <row r="1886" spans="1:10">
      <c r="A1886" t="s">
        <v>427</v>
      </c>
      <c r="B1886">
        <v>24</v>
      </c>
      <c r="C1886">
        <v>31</v>
      </c>
      <c r="E1886">
        <v>13221</v>
      </c>
      <c r="G1886">
        <v>2069</v>
      </c>
    </row>
    <row r="1887" spans="1:10">
      <c r="A1887" t="s">
        <v>93</v>
      </c>
      <c r="B1887">
        <v>21</v>
      </c>
      <c r="C1887">
        <v>21</v>
      </c>
      <c r="E1887">
        <v>39181</v>
      </c>
      <c r="F1887">
        <v>41390</v>
      </c>
      <c r="G1887">
        <v>33034</v>
      </c>
    </row>
    <row r="1888" spans="1:10">
      <c r="A1888" t="s">
        <v>93</v>
      </c>
      <c r="B1888">
        <v>21</v>
      </c>
      <c r="C1888">
        <v>26</v>
      </c>
      <c r="E1888">
        <v>74067</v>
      </c>
      <c r="G1888">
        <v>27636</v>
      </c>
      <c r="H1888">
        <v>2500</v>
      </c>
      <c r="I1888">
        <v>105000</v>
      </c>
    </row>
    <row r="1889" spans="1:10">
      <c r="A1889" t="s">
        <v>93</v>
      </c>
      <c r="B1889">
        <v>21</v>
      </c>
      <c r="C1889">
        <v>27</v>
      </c>
      <c r="D1889">
        <v>750</v>
      </c>
      <c r="E1889">
        <v>197771</v>
      </c>
      <c r="F1889">
        <v>183852</v>
      </c>
      <c r="G1889">
        <v>203300</v>
      </c>
      <c r="H1889">
        <v>11500</v>
      </c>
      <c r="I1889">
        <v>19000</v>
      </c>
    </row>
    <row r="1890" spans="1:10">
      <c r="A1890" t="s">
        <v>93</v>
      </c>
      <c r="B1890">
        <v>21</v>
      </c>
      <c r="C1890">
        <v>31</v>
      </c>
      <c r="I1890">
        <v>2000</v>
      </c>
      <c r="J1890">
        <v>2500</v>
      </c>
    </row>
    <row r="1891" spans="1:10">
      <c r="A1891" t="s">
        <v>93</v>
      </c>
      <c r="B1891">
        <v>21</v>
      </c>
      <c r="C1891">
        <v>34</v>
      </c>
      <c r="E1891">
        <v>2767</v>
      </c>
      <c r="G1891">
        <v>436</v>
      </c>
    </row>
    <row r="1892" spans="1:10">
      <c r="A1892" t="s">
        <v>93</v>
      </c>
      <c r="B1892">
        <v>24</v>
      </c>
      <c r="C1892">
        <v>27</v>
      </c>
      <c r="F1892">
        <v>56393</v>
      </c>
      <c r="G1892">
        <v>53400</v>
      </c>
      <c r="I1892">
        <v>4344</v>
      </c>
    </row>
    <row r="1893" spans="1:10">
      <c r="A1893" t="s">
        <v>399</v>
      </c>
      <c r="B1893">
        <v>21</v>
      </c>
      <c r="C1893">
        <v>26</v>
      </c>
      <c r="I1893">
        <v>50000</v>
      </c>
    </row>
    <row r="1894" spans="1:10">
      <c r="A1894" t="s">
        <v>399</v>
      </c>
      <c r="B1894">
        <v>21</v>
      </c>
      <c r="C1894">
        <v>27</v>
      </c>
      <c r="E1894">
        <v>82861</v>
      </c>
      <c r="F1894">
        <v>122994</v>
      </c>
      <c r="G1894">
        <v>97239</v>
      </c>
      <c r="H1894">
        <v>2250</v>
      </c>
    </row>
    <row r="1895" spans="1:10">
      <c r="A1895" t="s">
        <v>399</v>
      </c>
      <c r="B1895">
        <v>21</v>
      </c>
      <c r="C1895">
        <v>31</v>
      </c>
      <c r="I1895">
        <v>1500</v>
      </c>
    </row>
    <row r="1896" spans="1:10">
      <c r="A1896" t="s">
        <v>399</v>
      </c>
      <c r="B1896">
        <v>24</v>
      </c>
      <c r="C1896">
        <v>26</v>
      </c>
      <c r="I1896">
        <v>47926</v>
      </c>
    </row>
    <row r="1897" spans="1:10">
      <c r="A1897" t="s">
        <v>183</v>
      </c>
      <c r="B1897">
        <v>21</v>
      </c>
      <c r="C1897">
        <v>26</v>
      </c>
      <c r="I1897">
        <v>26000</v>
      </c>
    </row>
    <row r="1898" spans="1:10">
      <c r="A1898" t="s">
        <v>183</v>
      </c>
      <c r="B1898">
        <v>21</v>
      </c>
      <c r="C1898">
        <v>27</v>
      </c>
      <c r="E1898">
        <v>73705</v>
      </c>
      <c r="F1898">
        <v>97592</v>
      </c>
      <c r="G1898">
        <v>92041</v>
      </c>
      <c r="H1898">
        <v>2500</v>
      </c>
      <c r="I1898">
        <v>3000</v>
      </c>
    </row>
    <row r="1899" spans="1:10">
      <c r="A1899" t="s">
        <v>183</v>
      </c>
      <c r="B1899">
        <v>24</v>
      </c>
      <c r="C1899">
        <v>26</v>
      </c>
      <c r="I1899">
        <v>34000</v>
      </c>
    </row>
    <row r="1900" spans="1:10">
      <c r="A1900" t="s">
        <v>529</v>
      </c>
      <c r="B1900">
        <v>21</v>
      </c>
      <c r="C1900">
        <v>21</v>
      </c>
      <c r="E1900">
        <v>2416</v>
      </c>
      <c r="G1900">
        <v>396</v>
      </c>
    </row>
    <row r="1901" spans="1:10">
      <c r="A1901" t="s">
        <v>529</v>
      </c>
      <c r="B1901">
        <v>21</v>
      </c>
      <c r="C1901">
        <v>26</v>
      </c>
      <c r="I1901">
        <v>35000</v>
      </c>
    </row>
    <row r="1902" spans="1:10">
      <c r="A1902" t="s">
        <v>529</v>
      </c>
      <c r="B1902">
        <v>21</v>
      </c>
      <c r="C1902">
        <v>27</v>
      </c>
      <c r="E1902">
        <v>74224</v>
      </c>
      <c r="F1902">
        <v>23353</v>
      </c>
      <c r="G1902">
        <v>46872</v>
      </c>
    </row>
    <row r="1903" spans="1:10">
      <c r="A1903" t="s">
        <v>529</v>
      </c>
      <c r="B1903">
        <v>24</v>
      </c>
      <c r="C1903">
        <v>26</v>
      </c>
      <c r="I1903">
        <v>10000</v>
      </c>
    </row>
    <row r="1904" spans="1:10">
      <c r="A1904" t="s">
        <v>97</v>
      </c>
      <c r="B1904">
        <v>21</v>
      </c>
      <c r="C1904">
        <v>21</v>
      </c>
      <c r="E1904">
        <v>10525</v>
      </c>
      <c r="G1904">
        <v>3287</v>
      </c>
    </row>
    <row r="1905" spans="1:11">
      <c r="A1905" t="s">
        <v>97</v>
      </c>
      <c r="B1905">
        <v>21</v>
      </c>
      <c r="C1905">
        <v>27</v>
      </c>
      <c r="E1905">
        <v>121462</v>
      </c>
      <c r="F1905">
        <v>84720</v>
      </c>
      <c r="G1905">
        <v>106251</v>
      </c>
      <c r="H1905">
        <v>3000</v>
      </c>
      <c r="I1905">
        <v>92000</v>
      </c>
      <c r="J1905">
        <v>100</v>
      </c>
      <c r="K1905">
        <v>1750</v>
      </c>
    </row>
    <row r="1906" spans="1:11">
      <c r="A1906" t="s">
        <v>97</v>
      </c>
      <c r="B1906">
        <v>24</v>
      </c>
      <c r="C1906">
        <v>26</v>
      </c>
      <c r="I1906">
        <v>40000</v>
      </c>
    </row>
    <row r="1907" spans="1:11">
      <c r="A1907" t="s">
        <v>153</v>
      </c>
      <c r="B1907">
        <v>21</v>
      </c>
      <c r="C1907">
        <v>26</v>
      </c>
      <c r="I1907">
        <v>6000</v>
      </c>
    </row>
    <row r="1908" spans="1:11">
      <c r="A1908" t="s">
        <v>153</v>
      </c>
      <c r="B1908">
        <v>21</v>
      </c>
      <c r="C1908">
        <v>27</v>
      </c>
      <c r="E1908">
        <v>96691</v>
      </c>
      <c r="F1908">
        <v>48115</v>
      </c>
      <c r="G1908">
        <v>66585</v>
      </c>
      <c r="H1908">
        <v>1000</v>
      </c>
      <c r="I1908">
        <v>18250</v>
      </c>
      <c r="J1908">
        <v>200</v>
      </c>
    </row>
    <row r="1909" spans="1:11">
      <c r="A1909" t="s">
        <v>153</v>
      </c>
      <c r="B1909">
        <v>24</v>
      </c>
      <c r="C1909">
        <v>26</v>
      </c>
      <c r="I1909">
        <v>20000</v>
      </c>
    </row>
    <row r="1910" spans="1:11">
      <c r="A1910" t="s">
        <v>469</v>
      </c>
      <c r="B1910">
        <v>21</v>
      </c>
      <c r="C1910">
        <v>21</v>
      </c>
      <c r="E1910">
        <v>15000</v>
      </c>
      <c r="G1910">
        <v>3974</v>
      </c>
    </row>
    <row r="1911" spans="1:11">
      <c r="A1911" t="s">
        <v>469</v>
      </c>
      <c r="B1911">
        <v>21</v>
      </c>
      <c r="C1911">
        <v>26</v>
      </c>
      <c r="I1911">
        <v>25000</v>
      </c>
    </row>
    <row r="1912" spans="1:11">
      <c r="A1912" t="s">
        <v>469</v>
      </c>
      <c r="B1912">
        <v>21</v>
      </c>
      <c r="C1912">
        <v>27</v>
      </c>
      <c r="E1912">
        <v>50857</v>
      </c>
      <c r="F1912">
        <v>109915</v>
      </c>
      <c r="G1912">
        <v>114066</v>
      </c>
      <c r="H1912">
        <v>2200</v>
      </c>
      <c r="I1912">
        <v>32500</v>
      </c>
      <c r="J1912">
        <v>200</v>
      </c>
    </row>
    <row r="1913" spans="1:11">
      <c r="A1913" t="s">
        <v>469</v>
      </c>
      <c r="B1913">
        <v>24</v>
      </c>
      <c r="C1913">
        <v>26</v>
      </c>
      <c r="I1913">
        <v>30000</v>
      </c>
    </row>
    <row r="1914" spans="1:11">
      <c r="A1914" t="s">
        <v>473</v>
      </c>
      <c r="B1914">
        <v>21</v>
      </c>
      <c r="C1914">
        <v>21</v>
      </c>
      <c r="E1914">
        <v>24435</v>
      </c>
      <c r="G1914">
        <v>6465</v>
      </c>
    </row>
    <row r="1915" spans="1:11">
      <c r="A1915" t="s">
        <v>473</v>
      </c>
      <c r="B1915">
        <v>21</v>
      </c>
      <c r="C1915">
        <v>26</v>
      </c>
      <c r="I1915">
        <v>43500</v>
      </c>
    </row>
    <row r="1916" spans="1:11">
      <c r="A1916" t="s">
        <v>473</v>
      </c>
      <c r="B1916">
        <v>21</v>
      </c>
      <c r="C1916">
        <v>27</v>
      </c>
      <c r="E1916">
        <v>73128</v>
      </c>
      <c r="F1916">
        <v>89773</v>
      </c>
      <c r="G1916">
        <v>74031</v>
      </c>
      <c r="H1916">
        <v>2200</v>
      </c>
    </row>
    <row r="1917" spans="1:11">
      <c r="A1917" t="s">
        <v>473</v>
      </c>
      <c r="B1917">
        <v>24</v>
      </c>
      <c r="C1917">
        <v>26</v>
      </c>
      <c r="I1917">
        <v>34200</v>
      </c>
    </row>
    <row r="1918" spans="1:11">
      <c r="A1918" t="s">
        <v>473</v>
      </c>
      <c r="B1918">
        <v>24</v>
      </c>
      <c r="C1918">
        <v>27</v>
      </c>
      <c r="I1918">
        <v>1000</v>
      </c>
    </row>
    <row r="1919" spans="1:11">
      <c r="A1919" t="s">
        <v>363</v>
      </c>
      <c r="B1919">
        <v>21</v>
      </c>
      <c r="C1919">
        <v>21</v>
      </c>
      <c r="E1919">
        <v>50000</v>
      </c>
      <c r="G1919">
        <v>11117</v>
      </c>
    </row>
    <row r="1920" spans="1:11">
      <c r="A1920" t="s">
        <v>363</v>
      </c>
      <c r="B1920">
        <v>21</v>
      </c>
      <c r="C1920">
        <v>26</v>
      </c>
      <c r="I1920">
        <v>15000</v>
      </c>
    </row>
    <row r="1921" spans="1:10">
      <c r="A1921" t="s">
        <v>363</v>
      </c>
      <c r="B1921">
        <v>21</v>
      </c>
      <c r="C1921">
        <v>27</v>
      </c>
      <c r="E1921">
        <v>90730</v>
      </c>
      <c r="F1921">
        <v>38241</v>
      </c>
      <c r="G1921">
        <v>53757</v>
      </c>
      <c r="H1921">
        <v>3000</v>
      </c>
      <c r="I1921">
        <v>20000</v>
      </c>
    </row>
    <row r="1922" spans="1:10">
      <c r="A1922" t="s">
        <v>363</v>
      </c>
      <c r="B1922">
        <v>21</v>
      </c>
      <c r="C1922">
        <v>32</v>
      </c>
      <c r="H1922">
        <v>2000</v>
      </c>
    </row>
    <row r="1923" spans="1:10">
      <c r="A1923" t="s">
        <v>363</v>
      </c>
      <c r="B1923">
        <v>24</v>
      </c>
      <c r="C1923">
        <v>26</v>
      </c>
      <c r="I1923">
        <v>30000</v>
      </c>
    </row>
    <row r="1924" spans="1:10">
      <c r="A1924" t="s">
        <v>577</v>
      </c>
      <c r="B1924">
        <v>21</v>
      </c>
      <c r="C1924">
        <v>21</v>
      </c>
      <c r="E1924">
        <v>1000</v>
      </c>
      <c r="G1924">
        <v>1325</v>
      </c>
    </row>
    <row r="1925" spans="1:10">
      <c r="A1925" t="s">
        <v>577</v>
      </c>
      <c r="B1925">
        <v>21</v>
      </c>
      <c r="C1925">
        <v>25</v>
      </c>
      <c r="H1925">
        <v>300</v>
      </c>
    </row>
    <row r="1926" spans="1:10">
      <c r="A1926" t="s">
        <v>577</v>
      </c>
      <c r="B1926">
        <v>21</v>
      </c>
      <c r="C1926">
        <v>26</v>
      </c>
      <c r="E1926">
        <v>58016</v>
      </c>
      <c r="F1926">
        <v>24568</v>
      </c>
      <c r="G1926">
        <v>72151</v>
      </c>
      <c r="I1926">
        <v>107000</v>
      </c>
    </row>
    <row r="1927" spans="1:10">
      <c r="A1927" t="s">
        <v>577</v>
      </c>
      <c r="B1927">
        <v>21</v>
      </c>
      <c r="C1927">
        <v>27</v>
      </c>
      <c r="E1927">
        <v>239208</v>
      </c>
      <c r="F1927">
        <v>139262</v>
      </c>
      <c r="G1927">
        <v>204965</v>
      </c>
      <c r="H1927">
        <v>8500</v>
      </c>
      <c r="I1927">
        <v>7850</v>
      </c>
    </row>
    <row r="1928" spans="1:10">
      <c r="A1928" t="s">
        <v>577</v>
      </c>
      <c r="B1928">
        <v>21</v>
      </c>
      <c r="C1928">
        <v>31</v>
      </c>
      <c r="E1928">
        <v>2854</v>
      </c>
      <c r="G1928">
        <v>822</v>
      </c>
      <c r="I1928">
        <v>20000</v>
      </c>
      <c r="J1928">
        <v>3000</v>
      </c>
    </row>
    <row r="1929" spans="1:10">
      <c r="A1929" t="s">
        <v>577</v>
      </c>
      <c r="B1929">
        <v>21</v>
      </c>
      <c r="C1929">
        <v>32</v>
      </c>
      <c r="H1929">
        <v>1250</v>
      </c>
    </row>
    <row r="1930" spans="1:10">
      <c r="A1930" t="s">
        <v>577</v>
      </c>
      <c r="B1930">
        <v>21</v>
      </c>
      <c r="C1930">
        <v>34</v>
      </c>
      <c r="E1930">
        <v>6909</v>
      </c>
      <c r="G1930">
        <v>1456</v>
      </c>
      <c r="I1930">
        <v>3000</v>
      </c>
    </row>
    <row r="1931" spans="1:10">
      <c r="A1931" t="s">
        <v>577</v>
      </c>
      <c r="B1931">
        <v>24</v>
      </c>
      <c r="C1931">
        <v>21</v>
      </c>
      <c r="H1931">
        <v>5000</v>
      </c>
    </row>
    <row r="1932" spans="1:10">
      <c r="A1932" t="s">
        <v>577</v>
      </c>
      <c r="B1932">
        <v>24</v>
      </c>
      <c r="C1932">
        <v>26</v>
      </c>
      <c r="G1932">
        <v>1500</v>
      </c>
    </row>
    <row r="1933" spans="1:10">
      <c r="A1933" t="s">
        <v>577</v>
      </c>
      <c r="B1933">
        <v>24</v>
      </c>
      <c r="C1933">
        <v>27</v>
      </c>
      <c r="E1933">
        <v>500</v>
      </c>
      <c r="F1933">
        <v>23115</v>
      </c>
      <c r="G1933">
        <v>16463</v>
      </c>
      <c r="H1933">
        <v>75000</v>
      </c>
    </row>
    <row r="1934" spans="1:10">
      <c r="A1934" t="s">
        <v>331</v>
      </c>
      <c r="B1934">
        <v>21</v>
      </c>
      <c r="C1934">
        <v>21</v>
      </c>
      <c r="E1934">
        <v>158810</v>
      </c>
      <c r="F1934">
        <v>36485</v>
      </c>
      <c r="G1934">
        <v>56907</v>
      </c>
      <c r="H1934">
        <v>1000</v>
      </c>
      <c r="I1934">
        <v>1966</v>
      </c>
    </row>
    <row r="1935" spans="1:10">
      <c r="A1935" t="s">
        <v>331</v>
      </c>
      <c r="B1935">
        <v>21</v>
      </c>
      <c r="C1935">
        <v>26</v>
      </c>
      <c r="E1935">
        <v>222489</v>
      </c>
      <c r="F1935">
        <v>88324</v>
      </c>
      <c r="G1935">
        <v>115903</v>
      </c>
      <c r="H1935">
        <v>3000</v>
      </c>
      <c r="I1935">
        <v>750</v>
      </c>
      <c r="J1935">
        <v>125</v>
      </c>
    </row>
    <row r="1936" spans="1:10">
      <c r="A1936" t="s">
        <v>331</v>
      </c>
      <c r="B1936">
        <v>21</v>
      </c>
      <c r="C1936">
        <v>27</v>
      </c>
      <c r="D1936">
        <v>5000</v>
      </c>
      <c r="E1936">
        <v>559603</v>
      </c>
      <c r="F1936">
        <v>238373</v>
      </c>
      <c r="G1936">
        <v>344868</v>
      </c>
      <c r="H1936">
        <v>73350</v>
      </c>
      <c r="I1936">
        <v>187360</v>
      </c>
    </row>
    <row r="1937" spans="1:10">
      <c r="A1937" t="s">
        <v>331</v>
      </c>
      <c r="B1937">
        <v>21</v>
      </c>
      <c r="C1937">
        <v>29</v>
      </c>
      <c r="I1937">
        <v>125000</v>
      </c>
    </row>
    <row r="1938" spans="1:10">
      <c r="A1938" t="s">
        <v>331</v>
      </c>
      <c r="B1938">
        <v>21</v>
      </c>
      <c r="C1938">
        <v>31</v>
      </c>
      <c r="I1938">
        <v>5000</v>
      </c>
      <c r="J1938">
        <v>5000</v>
      </c>
    </row>
    <row r="1939" spans="1:10">
      <c r="A1939" t="s">
        <v>331</v>
      </c>
      <c r="B1939">
        <v>21</v>
      </c>
      <c r="C1939">
        <v>34</v>
      </c>
      <c r="E1939">
        <v>10810</v>
      </c>
      <c r="G1939">
        <v>1692</v>
      </c>
    </row>
    <row r="1940" spans="1:10">
      <c r="A1940" t="s">
        <v>331</v>
      </c>
      <c r="B1940">
        <v>24</v>
      </c>
      <c r="C1940">
        <v>27</v>
      </c>
      <c r="F1940">
        <v>227185</v>
      </c>
      <c r="G1940">
        <v>110694</v>
      </c>
    </row>
    <row r="1941" spans="1:10">
      <c r="A1941" t="s">
        <v>639</v>
      </c>
      <c r="B1941">
        <v>21</v>
      </c>
      <c r="C1941">
        <v>21</v>
      </c>
      <c r="E1941">
        <v>828967</v>
      </c>
      <c r="F1941">
        <v>343665</v>
      </c>
      <c r="G1941">
        <v>363506</v>
      </c>
      <c r="H1941">
        <v>17501</v>
      </c>
      <c r="I1941">
        <v>32500</v>
      </c>
      <c r="J1941">
        <v>4400</v>
      </c>
    </row>
    <row r="1942" spans="1:10">
      <c r="A1942" t="s">
        <v>639</v>
      </c>
      <c r="B1942">
        <v>21</v>
      </c>
      <c r="C1942">
        <v>23</v>
      </c>
      <c r="E1942">
        <v>193382</v>
      </c>
      <c r="F1942">
        <v>70195</v>
      </c>
      <c r="G1942">
        <v>82946</v>
      </c>
      <c r="H1942">
        <v>3500</v>
      </c>
      <c r="I1942">
        <v>1000</v>
      </c>
      <c r="J1942">
        <v>3300</v>
      </c>
    </row>
    <row r="1943" spans="1:10">
      <c r="A1943" t="s">
        <v>639</v>
      </c>
      <c r="B1943">
        <v>21</v>
      </c>
      <c r="C1943">
        <v>25</v>
      </c>
      <c r="F1943">
        <v>62650</v>
      </c>
      <c r="G1943">
        <v>27681</v>
      </c>
    </row>
    <row r="1944" spans="1:10">
      <c r="A1944" t="s">
        <v>639</v>
      </c>
      <c r="B1944">
        <v>21</v>
      </c>
      <c r="C1944">
        <v>26</v>
      </c>
      <c r="E1944">
        <v>5246976</v>
      </c>
      <c r="F1944">
        <v>1792598</v>
      </c>
      <c r="G1944">
        <v>2388160</v>
      </c>
      <c r="H1944">
        <v>68000</v>
      </c>
      <c r="I1944">
        <v>1915000</v>
      </c>
      <c r="J1944">
        <v>13500</v>
      </c>
    </row>
    <row r="1945" spans="1:10">
      <c r="A1945" t="s">
        <v>639</v>
      </c>
      <c r="B1945">
        <v>21</v>
      </c>
      <c r="C1945">
        <v>27</v>
      </c>
      <c r="D1945">
        <v>7000</v>
      </c>
      <c r="E1945">
        <v>11016082</v>
      </c>
      <c r="F1945">
        <v>8286228</v>
      </c>
      <c r="G1945">
        <v>8245637</v>
      </c>
      <c r="H1945">
        <v>175000</v>
      </c>
      <c r="I1945">
        <v>327100</v>
      </c>
      <c r="J1945">
        <v>16500</v>
      </c>
    </row>
    <row r="1946" spans="1:10">
      <c r="A1946" t="s">
        <v>639</v>
      </c>
      <c r="B1946">
        <v>21</v>
      </c>
      <c r="C1946">
        <v>31</v>
      </c>
      <c r="E1946">
        <v>124352</v>
      </c>
      <c r="G1946">
        <v>37488</v>
      </c>
      <c r="I1946">
        <v>9000</v>
      </c>
      <c r="J1946">
        <v>2000</v>
      </c>
    </row>
    <row r="1947" spans="1:10">
      <c r="A1947" t="s">
        <v>639</v>
      </c>
      <c r="B1947">
        <v>21</v>
      </c>
      <c r="C1947">
        <v>32</v>
      </c>
      <c r="H1947">
        <v>10000</v>
      </c>
    </row>
    <row r="1948" spans="1:10">
      <c r="A1948" t="s">
        <v>639</v>
      </c>
      <c r="B1948">
        <v>21</v>
      </c>
      <c r="C1948">
        <v>33</v>
      </c>
      <c r="H1948">
        <v>43000</v>
      </c>
    </row>
    <row r="1949" spans="1:10">
      <c r="A1949" t="s">
        <v>639</v>
      </c>
      <c r="B1949">
        <v>21</v>
      </c>
      <c r="C1949">
        <v>34</v>
      </c>
      <c r="E1949">
        <v>221210</v>
      </c>
      <c r="G1949">
        <v>36431</v>
      </c>
    </row>
    <row r="1950" spans="1:10">
      <c r="A1950" t="s">
        <v>639</v>
      </c>
      <c r="B1950">
        <v>24</v>
      </c>
      <c r="C1950">
        <v>26</v>
      </c>
      <c r="E1950">
        <v>169687</v>
      </c>
      <c r="G1950">
        <v>55444</v>
      </c>
    </row>
    <row r="1951" spans="1:10">
      <c r="A1951" t="s">
        <v>639</v>
      </c>
      <c r="B1951">
        <v>24</v>
      </c>
      <c r="C1951">
        <v>27</v>
      </c>
      <c r="E1951">
        <v>1015479</v>
      </c>
      <c r="F1951">
        <v>2264016</v>
      </c>
      <c r="G1951">
        <v>1580632</v>
      </c>
      <c r="H1951">
        <v>1500</v>
      </c>
    </row>
    <row r="1952" spans="1:10">
      <c r="A1952" t="s">
        <v>639</v>
      </c>
      <c r="B1952">
        <v>24</v>
      </c>
      <c r="C1952">
        <v>31</v>
      </c>
      <c r="E1952">
        <v>16289</v>
      </c>
      <c r="G1952">
        <v>2687</v>
      </c>
      <c r="H1952">
        <v>47535</v>
      </c>
      <c r="I1952">
        <v>865</v>
      </c>
      <c r="J1952">
        <v>3500</v>
      </c>
    </row>
    <row r="1953" spans="1:10">
      <c r="A1953" t="s">
        <v>139</v>
      </c>
      <c r="B1953">
        <v>21</v>
      </c>
      <c r="C1953">
        <v>21</v>
      </c>
      <c r="E1953">
        <v>232268</v>
      </c>
      <c r="F1953">
        <v>69555</v>
      </c>
      <c r="G1953">
        <v>86245</v>
      </c>
      <c r="I1953">
        <v>3400</v>
      </c>
    </row>
    <row r="1954" spans="1:10">
      <c r="A1954" t="s">
        <v>139</v>
      </c>
      <c r="B1954">
        <v>21</v>
      </c>
      <c r="C1954">
        <v>26</v>
      </c>
      <c r="E1954">
        <v>768091</v>
      </c>
      <c r="F1954">
        <v>144465</v>
      </c>
      <c r="G1954">
        <v>349562</v>
      </c>
      <c r="H1954">
        <v>5000</v>
      </c>
      <c r="I1954">
        <v>1066162</v>
      </c>
    </row>
    <row r="1955" spans="1:10">
      <c r="A1955" t="s">
        <v>139</v>
      </c>
      <c r="B1955">
        <v>21</v>
      </c>
      <c r="C1955">
        <v>27</v>
      </c>
      <c r="E1955">
        <v>1542883</v>
      </c>
      <c r="F1955">
        <v>389591</v>
      </c>
      <c r="G1955">
        <v>786509</v>
      </c>
      <c r="H1955">
        <v>5000</v>
      </c>
      <c r="I1955">
        <v>492160</v>
      </c>
    </row>
    <row r="1956" spans="1:10">
      <c r="A1956" t="s">
        <v>139</v>
      </c>
      <c r="B1956">
        <v>21</v>
      </c>
      <c r="C1956">
        <v>31</v>
      </c>
      <c r="E1956">
        <v>62654</v>
      </c>
      <c r="G1956">
        <v>10131</v>
      </c>
    </row>
    <row r="1957" spans="1:10">
      <c r="A1957" t="s">
        <v>139</v>
      </c>
      <c r="B1957">
        <v>24</v>
      </c>
      <c r="C1957">
        <v>21</v>
      </c>
      <c r="E1957">
        <v>24905</v>
      </c>
      <c r="G1957">
        <v>6087</v>
      </c>
    </row>
    <row r="1958" spans="1:10">
      <c r="A1958" t="s">
        <v>139</v>
      </c>
      <c r="B1958">
        <v>24</v>
      </c>
      <c r="C1958">
        <v>26</v>
      </c>
      <c r="E1958">
        <v>3859</v>
      </c>
      <c r="G1958">
        <v>1139</v>
      </c>
      <c r="H1958">
        <v>20000</v>
      </c>
    </row>
    <row r="1959" spans="1:10">
      <c r="A1959" t="s">
        <v>139</v>
      </c>
      <c r="B1959">
        <v>24</v>
      </c>
      <c r="C1959">
        <v>27</v>
      </c>
      <c r="E1959">
        <v>3214</v>
      </c>
      <c r="F1959">
        <v>352326</v>
      </c>
      <c r="G1959">
        <v>246967</v>
      </c>
      <c r="H1959">
        <v>52290</v>
      </c>
    </row>
    <row r="1960" spans="1:10">
      <c r="A1960" t="s">
        <v>139</v>
      </c>
      <c r="B1960">
        <v>24</v>
      </c>
      <c r="C1960">
        <v>31</v>
      </c>
      <c r="E1960">
        <v>88</v>
      </c>
      <c r="G1960">
        <v>14</v>
      </c>
      <c r="I1960">
        <v>5450</v>
      </c>
      <c r="J1960">
        <v>2000</v>
      </c>
    </row>
    <row r="1961" spans="1:10">
      <c r="A1961" t="s">
        <v>483</v>
      </c>
      <c r="B1961">
        <v>21</v>
      </c>
      <c r="C1961">
        <v>21</v>
      </c>
      <c r="E1961">
        <v>161531</v>
      </c>
      <c r="F1961">
        <v>58473</v>
      </c>
      <c r="G1961">
        <v>66959</v>
      </c>
      <c r="H1961">
        <v>3500</v>
      </c>
      <c r="I1961">
        <v>2000</v>
      </c>
      <c r="J1961">
        <v>1000</v>
      </c>
    </row>
    <row r="1962" spans="1:10">
      <c r="A1962" t="s">
        <v>483</v>
      </c>
      <c r="B1962">
        <v>21</v>
      </c>
      <c r="C1962">
        <v>26</v>
      </c>
      <c r="E1962">
        <v>1079841</v>
      </c>
      <c r="F1962">
        <v>220712</v>
      </c>
      <c r="G1962">
        <v>450293</v>
      </c>
      <c r="H1962">
        <v>11000</v>
      </c>
      <c r="I1962">
        <v>480988</v>
      </c>
    </row>
    <row r="1963" spans="1:10">
      <c r="A1963" t="s">
        <v>483</v>
      </c>
      <c r="B1963">
        <v>21</v>
      </c>
      <c r="C1963">
        <v>27</v>
      </c>
      <c r="E1963">
        <v>2062833</v>
      </c>
      <c r="F1963">
        <v>1028621</v>
      </c>
      <c r="G1963">
        <v>1409995</v>
      </c>
      <c r="H1963">
        <v>11000</v>
      </c>
      <c r="I1963">
        <v>76800</v>
      </c>
    </row>
    <row r="1964" spans="1:10">
      <c r="A1964" t="s">
        <v>483</v>
      </c>
      <c r="B1964">
        <v>21</v>
      </c>
      <c r="C1964">
        <v>31</v>
      </c>
      <c r="H1964">
        <v>1000</v>
      </c>
    </row>
    <row r="1965" spans="1:10">
      <c r="A1965" t="s">
        <v>483</v>
      </c>
      <c r="B1965">
        <v>21</v>
      </c>
      <c r="C1965">
        <v>33</v>
      </c>
      <c r="H1965">
        <v>9000</v>
      </c>
    </row>
    <row r="1966" spans="1:10">
      <c r="A1966" t="s">
        <v>483</v>
      </c>
      <c r="B1966">
        <v>24</v>
      </c>
      <c r="C1966">
        <v>26</v>
      </c>
      <c r="F1966">
        <v>62675</v>
      </c>
      <c r="G1966">
        <v>41689</v>
      </c>
    </row>
    <row r="1967" spans="1:10">
      <c r="A1967" t="s">
        <v>483</v>
      </c>
      <c r="B1967">
        <v>24</v>
      </c>
      <c r="C1967">
        <v>27</v>
      </c>
      <c r="F1967">
        <v>419147</v>
      </c>
      <c r="G1967">
        <v>298423</v>
      </c>
    </row>
    <row r="1968" spans="1:10">
      <c r="A1968" t="s">
        <v>483</v>
      </c>
      <c r="B1968">
        <v>26</v>
      </c>
      <c r="C1968">
        <v>21</v>
      </c>
      <c r="E1968">
        <v>29856</v>
      </c>
      <c r="G1968">
        <v>7639</v>
      </c>
    </row>
    <row r="1969" spans="1:10">
      <c r="A1969" t="s">
        <v>483</v>
      </c>
      <c r="B1969">
        <v>26</v>
      </c>
      <c r="C1969">
        <v>27</v>
      </c>
      <c r="E1969">
        <v>34293</v>
      </c>
      <c r="F1969">
        <v>60290</v>
      </c>
      <c r="G1969">
        <v>56014</v>
      </c>
      <c r="H1969">
        <v>2875</v>
      </c>
    </row>
    <row r="1970" spans="1:10">
      <c r="A1970" t="s">
        <v>285</v>
      </c>
      <c r="B1970">
        <v>21</v>
      </c>
      <c r="C1970">
        <v>29</v>
      </c>
      <c r="I1970">
        <v>1023595</v>
      </c>
    </row>
    <row r="1971" spans="1:10">
      <c r="A1971" t="s">
        <v>191</v>
      </c>
      <c r="B1971">
        <v>21</v>
      </c>
      <c r="C1971">
        <v>21</v>
      </c>
      <c r="E1971">
        <v>170194</v>
      </c>
      <c r="F1971">
        <v>97383</v>
      </c>
      <c r="G1971">
        <v>89001</v>
      </c>
      <c r="H1971">
        <v>103</v>
      </c>
      <c r="I1971">
        <v>2670</v>
      </c>
      <c r="J1971">
        <v>2000</v>
      </c>
    </row>
    <row r="1972" spans="1:10">
      <c r="A1972" t="s">
        <v>191</v>
      </c>
      <c r="B1972">
        <v>21</v>
      </c>
      <c r="C1972">
        <v>26</v>
      </c>
      <c r="E1972">
        <v>322551</v>
      </c>
      <c r="F1972">
        <v>305502</v>
      </c>
      <c r="G1972">
        <v>278980</v>
      </c>
      <c r="H1972">
        <v>59418</v>
      </c>
      <c r="I1972">
        <v>1227772</v>
      </c>
      <c r="J1972">
        <v>1000</v>
      </c>
    </row>
    <row r="1973" spans="1:10">
      <c r="A1973" t="s">
        <v>191</v>
      </c>
      <c r="B1973">
        <v>21</v>
      </c>
      <c r="C1973">
        <v>27</v>
      </c>
      <c r="D1973">
        <v>1500</v>
      </c>
      <c r="E1973">
        <v>1874952</v>
      </c>
      <c r="F1973">
        <v>1133024</v>
      </c>
      <c r="G1973">
        <v>1385072</v>
      </c>
      <c r="H1973">
        <v>87160</v>
      </c>
      <c r="I1973">
        <v>534873</v>
      </c>
    </row>
    <row r="1974" spans="1:10">
      <c r="A1974" t="s">
        <v>191</v>
      </c>
      <c r="B1974">
        <v>21</v>
      </c>
      <c r="C1974">
        <v>31</v>
      </c>
      <c r="E1974">
        <v>48407</v>
      </c>
      <c r="F1974">
        <v>5000</v>
      </c>
      <c r="G1974">
        <v>8263</v>
      </c>
      <c r="I1974">
        <v>200</v>
      </c>
    </row>
    <row r="1975" spans="1:10">
      <c r="A1975" t="s">
        <v>191</v>
      </c>
      <c r="B1975">
        <v>21</v>
      </c>
      <c r="C1975">
        <v>32</v>
      </c>
      <c r="I1975">
        <v>2000</v>
      </c>
    </row>
    <row r="1976" spans="1:10">
      <c r="A1976" t="s">
        <v>191</v>
      </c>
      <c r="B1976">
        <v>21</v>
      </c>
      <c r="C1976">
        <v>34</v>
      </c>
      <c r="E1976">
        <v>55612</v>
      </c>
      <c r="G1976">
        <v>9042</v>
      </c>
    </row>
    <row r="1977" spans="1:10">
      <c r="A1977" t="s">
        <v>191</v>
      </c>
      <c r="B1977">
        <v>24</v>
      </c>
      <c r="C1977">
        <v>27</v>
      </c>
      <c r="F1977">
        <v>465104</v>
      </c>
      <c r="G1977">
        <v>302888</v>
      </c>
      <c r="H1977">
        <v>3672</v>
      </c>
    </row>
    <row r="1978" spans="1:10">
      <c r="A1978" t="s">
        <v>191</v>
      </c>
      <c r="B1978">
        <v>24</v>
      </c>
      <c r="C1978">
        <v>31</v>
      </c>
      <c r="I1978">
        <v>3745</v>
      </c>
    </row>
    <row r="1979" spans="1:10">
      <c r="A1979" t="s">
        <v>545</v>
      </c>
      <c r="B1979">
        <v>21</v>
      </c>
      <c r="C1979">
        <v>21</v>
      </c>
      <c r="E1979">
        <v>305402</v>
      </c>
      <c r="F1979">
        <v>160443</v>
      </c>
      <c r="G1979">
        <v>153248</v>
      </c>
      <c r="H1979">
        <v>4500</v>
      </c>
      <c r="I1979">
        <v>1350</v>
      </c>
      <c r="J1979">
        <v>1620</v>
      </c>
    </row>
    <row r="1980" spans="1:10">
      <c r="A1980" t="s">
        <v>545</v>
      </c>
      <c r="B1980">
        <v>21</v>
      </c>
      <c r="C1980">
        <v>25</v>
      </c>
      <c r="F1980">
        <v>187274</v>
      </c>
      <c r="G1980">
        <v>156881</v>
      </c>
    </row>
    <row r="1981" spans="1:10">
      <c r="A1981" t="s">
        <v>545</v>
      </c>
      <c r="B1981">
        <v>21</v>
      </c>
      <c r="C1981">
        <v>26</v>
      </c>
      <c r="E1981">
        <v>1117202</v>
      </c>
      <c r="F1981">
        <v>389084</v>
      </c>
      <c r="G1981">
        <v>572525</v>
      </c>
      <c r="H1981">
        <v>22500</v>
      </c>
      <c r="I1981">
        <v>1000000</v>
      </c>
    </row>
    <row r="1982" spans="1:10">
      <c r="A1982" t="s">
        <v>545</v>
      </c>
      <c r="B1982">
        <v>21</v>
      </c>
      <c r="C1982">
        <v>27</v>
      </c>
      <c r="E1982">
        <v>4312109</v>
      </c>
      <c r="F1982">
        <v>1138187</v>
      </c>
      <c r="G1982">
        <v>1888827</v>
      </c>
      <c r="H1982">
        <v>134997</v>
      </c>
      <c r="I1982">
        <v>45000</v>
      </c>
      <c r="J1982">
        <v>1800</v>
      </c>
    </row>
    <row r="1983" spans="1:10">
      <c r="A1983" t="s">
        <v>545</v>
      </c>
      <c r="B1983">
        <v>21</v>
      </c>
      <c r="C1983">
        <v>31</v>
      </c>
      <c r="E1983">
        <v>251445</v>
      </c>
      <c r="G1983">
        <v>41255</v>
      </c>
      <c r="I1983">
        <v>7200</v>
      </c>
      <c r="J1983">
        <v>1800</v>
      </c>
    </row>
    <row r="1984" spans="1:10">
      <c r="A1984" t="s">
        <v>545</v>
      </c>
      <c r="B1984">
        <v>21</v>
      </c>
      <c r="C1984">
        <v>34</v>
      </c>
      <c r="E1984">
        <v>5152</v>
      </c>
      <c r="G1984">
        <v>838</v>
      </c>
    </row>
    <row r="1985" spans="1:10">
      <c r="A1985" t="s">
        <v>545</v>
      </c>
      <c r="B1985">
        <v>24</v>
      </c>
      <c r="C1985">
        <v>21</v>
      </c>
      <c r="F1985">
        <v>64240</v>
      </c>
      <c r="G1985">
        <v>25982</v>
      </c>
    </row>
    <row r="1986" spans="1:10">
      <c r="A1986" t="s">
        <v>545</v>
      </c>
      <c r="B1986">
        <v>24</v>
      </c>
      <c r="C1986">
        <v>27</v>
      </c>
      <c r="F1986">
        <v>846134</v>
      </c>
      <c r="G1986">
        <v>515483</v>
      </c>
    </row>
    <row r="1987" spans="1:10">
      <c r="A1987" t="s">
        <v>565</v>
      </c>
      <c r="B1987">
        <v>21</v>
      </c>
      <c r="C1987">
        <v>21</v>
      </c>
      <c r="E1987">
        <v>201159</v>
      </c>
      <c r="F1987">
        <v>36972</v>
      </c>
      <c r="G1987">
        <v>70345</v>
      </c>
      <c r="H1987">
        <v>1000</v>
      </c>
      <c r="I1987">
        <v>5000</v>
      </c>
    </row>
    <row r="1988" spans="1:10">
      <c r="A1988" t="s">
        <v>565</v>
      </c>
      <c r="B1988">
        <v>21</v>
      </c>
      <c r="C1988">
        <v>23</v>
      </c>
      <c r="F1988">
        <v>83262</v>
      </c>
      <c r="G1988">
        <v>33075</v>
      </c>
    </row>
    <row r="1989" spans="1:10">
      <c r="A1989" t="s">
        <v>565</v>
      </c>
      <c r="B1989">
        <v>21</v>
      </c>
      <c r="C1989">
        <v>26</v>
      </c>
      <c r="E1989">
        <v>996579</v>
      </c>
      <c r="F1989">
        <v>50513</v>
      </c>
      <c r="G1989">
        <v>345564</v>
      </c>
      <c r="H1989">
        <v>24183</v>
      </c>
      <c r="I1989">
        <v>375146</v>
      </c>
    </row>
    <row r="1990" spans="1:10">
      <c r="A1990" t="s">
        <v>565</v>
      </c>
      <c r="B1990">
        <v>21</v>
      </c>
      <c r="C1990">
        <v>27</v>
      </c>
      <c r="E1990">
        <v>1992665</v>
      </c>
      <c r="F1990">
        <v>636551</v>
      </c>
      <c r="G1990">
        <v>980251</v>
      </c>
      <c r="H1990">
        <v>7050</v>
      </c>
      <c r="I1990">
        <v>411158</v>
      </c>
    </row>
    <row r="1991" spans="1:10">
      <c r="A1991" t="s">
        <v>565</v>
      </c>
      <c r="B1991">
        <v>21</v>
      </c>
      <c r="C1991">
        <v>31</v>
      </c>
      <c r="I1991">
        <v>8000</v>
      </c>
      <c r="J1991">
        <v>4000</v>
      </c>
    </row>
    <row r="1992" spans="1:10">
      <c r="A1992" t="s">
        <v>565</v>
      </c>
      <c r="B1992">
        <v>24</v>
      </c>
      <c r="C1992">
        <v>27</v>
      </c>
      <c r="F1992">
        <v>474746</v>
      </c>
      <c r="G1992">
        <v>314998</v>
      </c>
      <c r="H1992">
        <v>45417</v>
      </c>
    </row>
    <row r="1993" spans="1:10">
      <c r="A1993" t="s">
        <v>565</v>
      </c>
      <c r="B1993">
        <v>29</v>
      </c>
      <c r="C1993">
        <v>26</v>
      </c>
      <c r="F1993">
        <v>50172</v>
      </c>
      <c r="G1993">
        <v>23792</v>
      </c>
    </row>
    <row r="1994" spans="1:10">
      <c r="A1994" t="s">
        <v>565</v>
      </c>
      <c r="B1994">
        <v>29</v>
      </c>
      <c r="C1994">
        <v>27</v>
      </c>
      <c r="H1994">
        <v>11036</v>
      </c>
    </row>
    <row r="1995" spans="1:10">
      <c r="A1995" t="s">
        <v>207</v>
      </c>
      <c r="B1995">
        <v>21</v>
      </c>
      <c r="C1995">
        <v>21</v>
      </c>
      <c r="E1995">
        <v>111292</v>
      </c>
      <c r="F1995">
        <v>46063</v>
      </c>
      <c r="G1995">
        <v>57080</v>
      </c>
      <c r="H1995">
        <v>400</v>
      </c>
      <c r="J1995">
        <v>275</v>
      </c>
    </row>
    <row r="1996" spans="1:10">
      <c r="A1996" t="s">
        <v>207</v>
      </c>
      <c r="B1996">
        <v>21</v>
      </c>
      <c r="C1996">
        <v>24</v>
      </c>
      <c r="J1996">
        <v>450</v>
      </c>
    </row>
    <row r="1997" spans="1:10">
      <c r="A1997" t="s">
        <v>207</v>
      </c>
      <c r="B1997">
        <v>21</v>
      </c>
      <c r="C1997">
        <v>26</v>
      </c>
      <c r="E1997">
        <v>248232</v>
      </c>
      <c r="G1997">
        <v>96023</v>
      </c>
      <c r="H1997">
        <v>750</v>
      </c>
      <c r="I1997">
        <v>36250</v>
      </c>
      <c r="J1997">
        <v>150</v>
      </c>
    </row>
    <row r="1998" spans="1:10">
      <c r="A1998" t="s">
        <v>207</v>
      </c>
      <c r="B1998">
        <v>21</v>
      </c>
      <c r="C1998">
        <v>27</v>
      </c>
      <c r="D1998">
        <v>570</v>
      </c>
      <c r="E1998">
        <v>529221</v>
      </c>
      <c r="F1998">
        <v>90617</v>
      </c>
      <c r="G1998">
        <v>262066</v>
      </c>
      <c r="H1998">
        <v>7400</v>
      </c>
      <c r="I1998">
        <v>214715</v>
      </c>
      <c r="J1998">
        <v>775</v>
      </c>
    </row>
    <row r="1999" spans="1:10">
      <c r="A1999" t="s">
        <v>207</v>
      </c>
      <c r="B1999">
        <v>21</v>
      </c>
      <c r="C1999">
        <v>31</v>
      </c>
      <c r="G1999">
        <v>6640</v>
      </c>
      <c r="H1999">
        <v>30</v>
      </c>
      <c r="I1999">
        <v>5800</v>
      </c>
      <c r="J1999">
        <v>3850</v>
      </c>
    </row>
    <row r="2000" spans="1:10">
      <c r="A2000" t="s">
        <v>207</v>
      </c>
      <c r="B2000">
        <v>21</v>
      </c>
      <c r="C2000">
        <v>33</v>
      </c>
      <c r="H2000">
        <v>4050</v>
      </c>
    </row>
    <row r="2001" spans="1:11">
      <c r="A2001" t="s">
        <v>207</v>
      </c>
      <c r="B2001">
        <v>24</v>
      </c>
      <c r="C2001">
        <v>27</v>
      </c>
      <c r="E2001">
        <v>26538</v>
      </c>
      <c r="F2001">
        <v>107837</v>
      </c>
      <c r="G2001">
        <v>97474</v>
      </c>
    </row>
    <row r="2002" spans="1:11">
      <c r="A2002" t="s">
        <v>193</v>
      </c>
      <c r="B2002">
        <v>21</v>
      </c>
      <c r="C2002">
        <v>21</v>
      </c>
      <c r="E2002">
        <v>242648</v>
      </c>
      <c r="F2002">
        <v>33359</v>
      </c>
      <c r="G2002">
        <v>79971</v>
      </c>
      <c r="H2002">
        <v>2500</v>
      </c>
    </row>
    <row r="2003" spans="1:11">
      <c r="A2003" t="s">
        <v>193</v>
      </c>
      <c r="B2003">
        <v>21</v>
      </c>
      <c r="C2003">
        <v>24</v>
      </c>
      <c r="F2003">
        <v>29332</v>
      </c>
      <c r="G2003">
        <v>17430</v>
      </c>
    </row>
    <row r="2004" spans="1:11">
      <c r="A2004" t="s">
        <v>193</v>
      </c>
      <c r="B2004">
        <v>21</v>
      </c>
      <c r="C2004">
        <v>26</v>
      </c>
      <c r="E2004">
        <v>197482</v>
      </c>
      <c r="F2004">
        <v>112680</v>
      </c>
      <c r="G2004">
        <v>72412</v>
      </c>
      <c r="I2004">
        <v>257388</v>
      </c>
    </row>
    <row r="2005" spans="1:11">
      <c r="A2005" t="s">
        <v>193</v>
      </c>
      <c r="B2005">
        <v>21</v>
      </c>
      <c r="C2005">
        <v>27</v>
      </c>
      <c r="E2005">
        <v>741439</v>
      </c>
      <c r="F2005">
        <v>247322</v>
      </c>
      <c r="G2005">
        <v>424868</v>
      </c>
      <c r="H2005">
        <v>79648</v>
      </c>
      <c r="I2005">
        <v>83831</v>
      </c>
      <c r="K2005">
        <v>149239</v>
      </c>
    </row>
    <row r="2006" spans="1:11">
      <c r="A2006" t="s">
        <v>193</v>
      </c>
      <c r="B2006">
        <v>21</v>
      </c>
      <c r="C2006">
        <v>34</v>
      </c>
      <c r="E2006">
        <v>62</v>
      </c>
    </row>
    <row r="2007" spans="1:11">
      <c r="A2007" t="s">
        <v>193</v>
      </c>
      <c r="B2007">
        <v>24</v>
      </c>
      <c r="C2007">
        <v>27</v>
      </c>
      <c r="F2007">
        <v>182072</v>
      </c>
      <c r="G2007">
        <v>131234</v>
      </c>
      <c r="H2007">
        <v>4148</v>
      </c>
    </row>
    <row r="2008" spans="1:11">
      <c r="A2008" t="s">
        <v>193</v>
      </c>
      <c r="B2008">
        <v>24</v>
      </c>
      <c r="C2008">
        <v>31</v>
      </c>
      <c r="I2008">
        <v>4733</v>
      </c>
    </row>
    <row r="2009" spans="1:11">
      <c r="A2009" t="s">
        <v>193</v>
      </c>
      <c r="B2009">
        <v>29</v>
      </c>
      <c r="C2009">
        <v>27</v>
      </c>
      <c r="H2009">
        <v>18000</v>
      </c>
    </row>
    <row r="2010" spans="1:11">
      <c r="A2010" t="s">
        <v>643</v>
      </c>
      <c r="B2010">
        <v>21</v>
      </c>
      <c r="C2010">
        <v>21</v>
      </c>
      <c r="E2010">
        <v>65104</v>
      </c>
      <c r="G2010">
        <v>14125</v>
      </c>
      <c r="I2010">
        <v>5000</v>
      </c>
    </row>
    <row r="2011" spans="1:11">
      <c r="A2011" t="s">
        <v>643</v>
      </c>
      <c r="B2011">
        <v>21</v>
      </c>
      <c r="C2011">
        <v>26</v>
      </c>
      <c r="H2011">
        <v>20000</v>
      </c>
    </row>
    <row r="2012" spans="1:11">
      <c r="A2012" t="s">
        <v>643</v>
      </c>
      <c r="B2012">
        <v>21</v>
      </c>
      <c r="C2012">
        <v>27</v>
      </c>
      <c r="E2012">
        <v>552684</v>
      </c>
      <c r="F2012">
        <v>318482</v>
      </c>
      <c r="G2012">
        <v>338537</v>
      </c>
      <c r="H2012">
        <v>490000</v>
      </c>
      <c r="I2012">
        <v>115000</v>
      </c>
      <c r="J2012">
        <v>2000</v>
      </c>
    </row>
    <row r="2013" spans="1:11">
      <c r="A2013" t="s">
        <v>643</v>
      </c>
      <c r="B2013">
        <v>21</v>
      </c>
      <c r="C2013">
        <v>31</v>
      </c>
      <c r="I2013">
        <v>5000</v>
      </c>
    </row>
    <row r="2014" spans="1:11">
      <c r="A2014" t="s">
        <v>643</v>
      </c>
      <c r="B2014">
        <v>24</v>
      </c>
      <c r="C2014">
        <v>27</v>
      </c>
      <c r="E2014">
        <v>57177</v>
      </c>
      <c r="F2014">
        <v>90914</v>
      </c>
      <c r="G2014">
        <v>91290</v>
      </c>
    </row>
    <row r="2015" spans="1:11">
      <c r="A2015" t="s">
        <v>597</v>
      </c>
      <c r="B2015">
        <v>21</v>
      </c>
      <c r="C2015">
        <v>21</v>
      </c>
      <c r="E2015">
        <v>161343</v>
      </c>
      <c r="F2015">
        <v>90521</v>
      </c>
      <c r="G2015">
        <v>85732</v>
      </c>
      <c r="H2015">
        <v>14000</v>
      </c>
      <c r="I2015">
        <v>3000</v>
      </c>
    </row>
    <row r="2016" spans="1:11">
      <c r="A2016" t="s">
        <v>597</v>
      </c>
      <c r="B2016">
        <v>21</v>
      </c>
      <c r="C2016">
        <v>25</v>
      </c>
      <c r="F2016">
        <v>67534</v>
      </c>
      <c r="G2016">
        <v>38373</v>
      </c>
    </row>
    <row r="2017" spans="1:10">
      <c r="A2017" t="s">
        <v>597</v>
      </c>
      <c r="B2017">
        <v>21</v>
      </c>
      <c r="C2017">
        <v>26</v>
      </c>
      <c r="E2017">
        <v>892093</v>
      </c>
      <c r="F2017">
        <v>239644</v>
      </c>
      <c r="G2017">
        <v>371937</v>
      </c>
      <c r="I2017">
        <v>8659</v>
      </c>
    </row>
    <row r="2018" spans="1:10">
      <c r="A2018" t="s">
        <v>597</v>
      </c>
      <c r="B2018">
        <v>21</v>
      </c>
      <c r="C2018">
        <v>27</v>
      </c>
      <c r="E2018">
        <v>1737847</v>
      </c>
      <c r="F2018">
        <v>906337</v>
      </c>
      <c r="G2018">
        <v>1120026</v>
      </c>
      <c r="H2018">
        <v>1500</v>
      </c>
    </row>
    <row r="2019" spans="1:10">
      <c r="A2019" t="s">
        <v>597</v>
      </c>
      <c r="B2019">
        <v>21</v>
      </c>
      <c r="C2019">
        <v>31</v>
      </c>
      <c r="E2019">
        <v>4500</v>
      </c>
      <c r="F2019">
        <v>3500</v>
      </c>
      <c r="G2019">
        <v>1801</v>
      </c>
      <c r="I2019">
        <v>5000</v>
      </c>
      <c r="J2019">
        <v>4500</v>
      </c>
    </row>
    <row r="2020" spans="1:10">
      <c r="A2020" t="s">
        <v>597</v>
      </c>
      <c r="B2020">
        <v>21</v>
      </c>
      <c r="C2020">
        <v>34</v>
      </c>
      <c r="E2020">
        <v>23136</v>
      </c>
      <c r="G2020">
        <v>6703</v>
      </c>
    </row>
    <row r="2021" spans="1:10">
      <c r="A2021" t="s">
        <v>597</v>
      </c>
      <c r="B2021">
        <v>24</v>
      </c>
      <c r="C2021">
        <v>26</v>
      </c>
      <c r="F2021">
        <v>365126</v>
      </c>
      <c r="G2021">
        <v>211838</v>
      </c>
      <c r="H2021">
        <v>2544</v>
      </c>
      <c r="I2021">
        <v>2544</v>
      </c>
    </row>
    <row r="2022" spans="1:10">
      <c r="A2022" t="s">
        <v>597</v>
      </c>
      <c r="B2022">
        <v>24</v>
      </c>
      <c r="C2022">
        <v>27</v>
      </c>
      <c r="F2022">
        <v>143382</v>
      </c>
      <c r="G2022">
        <v>88427</v>
      </c>
    </row>
    <row r="2023" spans="1:10">
      <c r="A2023" t="s">
        <v>597</v>
      </c>
      <c r="B2023">
        <v>24</v>
      </c>
      <c r="C2023">
        <v>31</v>
      </c>
      <c r="E2023">
        <v>350</v>
      </c>
      <c r="F2023">
        <v>350</v>
      </c>
      <c r="G2023">
        <v>101</v>
      </c>
      <c r="H2023">
        <v>2417</v>
      </c>
      <c r="I2023">
        <v>2416</v>
      </c>
    </row>
    <row r="2024" spans="1:10">
      <c r="A2024" t="s">
        <v>597</v>
      </c>
      <c r="B2024">
        <v>29</v>
      </c>
      <c r="C2024">
        <v>27</v>
      </c>
      <c r="I2024">
        <v>140080</v>
      </c>
    </row>
    <row r="2025" spans="1:10">
      <c r="A2025" t="s">
        <v>611</v>
      </c>
      <c r="B2025">
        <v>21</v>
      </c>
      <c r="C2025">
        <v>21</v>
      </c>
      <c r="E2025">
        <v>312783</v>
      </c>
      <c r="F2025">
        <v>120398</v>
      </c>
      <c r="G2025">
        <v>125349</v>
      </c>
    </row>
    <row r="2026" spans="1:10">
      <c r="A2026" t="s">
        <v>611</v>
      </c>
      <c r="B2026">
        <v>21</v>
      </c>
      <c r="C2026">
        <v>24</v>
      </c>
      <c r="E2026">
        <v>151907</v>
      </c>
      <c r="G2026">
        <v>54769</v>
      </c>
    </row>
    <row r="2027" spans="1:10">
      <c r="A2027" t="s">
        <v>611</v>
      </c>
      <c r="B2027">
        <v>21</v>
      </c>
      <c r="C2027">
        <v>26</v>
      </c>
      <c r="E2027">
        <v>1024837</v>
      </c>
      <c r="F2027">
        <v>772601</v>
      </c>
      <c r="G2027">
        <v>733162</v>
      </c>
    </row>
    <row r="2028" spans="1:10">
      <c r="A2028" t="s">
        <v>611</v>
      </c>
      <c r="B2028">
        <v>21</v>
      </c>
      <c r="C2028">
        <v>27</v>
      </c>
      <c r="E2028">
        <v>1951020</v>
      </c>
      <c r="F2028">
        <v>1786029</v>
      </c>
      <c r="G2028">
        <v>1658602</v>
      </c>
      <c r="H2028">
        <v>53872</v>
      </c>
      <c r="I2028">
        <v>704000</v>
      </c>
    </row>
    <row r="2029" spans="1:10">
      <c r="A2029" t="s">
        <v>611</v>
      </c>
      <c r="B2029">
        <v>21</v>
      </c>
      <c r="C2029">
        <v>31</v>
      </c>
      <c r="E2029">
        <v>73231</v>
      </c>
      <c r="G2029">
        <v>12525</v>
      </c>
      <c r="J2029">
        <v>5000</v>
      </c>
    </row>
    <row r="2030" spans="1:10">
      <c r="A2030" t="s">
        <v>611</v>
      </c>
      <c r="B2030">
        <v>21</v>
      </c>
      <c r="C2030">
        <v>34</v>
      </c>
      <c r="E2030">
        <v>65681</v>
      </c>
      <c r="G2030">
        <v>11247</v>
      </c>
    </row>
    <row r="2031" spans="1:10">
      <c r="A2031" t="s">
        <v>611</v>
      </c>
      <c r="B2031">
        <v>24</v>
      </c>
      <c r="C2031">
        <v>26</v>
      </c>
      <c r="E2031">
        <v>72115</v>
      </c>
      <c r="G2031">
        <v>26563</v>
      </c>
    </row>
    <row r="2032" spans="1:10">
      <c r="A2032" t="s">
        <v>611</v>
      </c>
      <c r="B2032">
        <v>24</v>
      </c>
      <c r="C2032">
        <v>27</v>
      </c>
      <c r="E2032">
        <v>744378</v>
      </c>
      <c r="F2032">
        <v>20449</v>
      </c>
      <c r="G2032">
        <v>238339</v>
      </c>
    </row>
    <row r="2033" spans="1:10">
      <c r="A2033" t="s">
        <v>611</v>
      </c>
      <c r="B2033">
        <v>24</v>
      </c>
      <c r="C2033">
        <v>31</v>
      </c>
      <c r="E2033">
        <v>37300</v>
      </c>
      <c r="G2033">
        <v>6552</v>
      </c>
    </row>
    <row r="2034" spans="1:10">
      <c r="A2034" t="s">
        <v>321</v>
      </c>
      <c r="B2034">
        <v>21</v>
      </c>
      <c r="C2034">
        <v>21</v>
      </c>
      <c r="E2034">
        <v>109554</v>
      </c>
      <c r="F2034">
        <v>47804</v>
      </c>
      <c r="G2034">
        <v>52579</v>
      </c>
      <c r="H2034">
        <v>1000</v>
      </c>
    </row>
    <row r="2035" spans="1:10">
      <c r="A2035" t="s">
        <v>321</v>
      </c>
      <c r="B2035">
        <v>21</v>
      </c>
      <c r="C2035">
        <v>26</v>
      </c>
      <c r="F2035">
        <v>122333</v>
      </c>
      <c r="G2035">
        <v>68891</v>
      </c>
      <c r="I2035">
        <v>300000</v>
      </c>
      <c r="J2035">
        <v>3096</v>
      </c>
    </row>
    <row r="2036" spans="1:10">
      <c r="A2036" t="s">
        <v>321</v>
      </c>
      <c r="B2036">
        <v>21</v>
      </c>
      <c r="C2036">
        <v>27</v>
      </c>
      <c r="E2036">
        <v>431939</v>
      </c>
      <c r="F2036">
        <v>95171</v>
      </c>
      <c r="G2036">
        <v>207728</v>
      </c>
      <c r="H2036">
        <v>295759</v>
      </c>
      <c r="I2036">
        <v>20000</v>
      </c>
    </row>
    <row r="2037" spans="1:10">
      <c r="A2037" t="s">
        <v>321</v>
      </c>
      <c r="B2037">
        <v>24</v>
      </c>
      <c r="C2037">
        <v>26</v>
      </c>
      <c r="F2037">
        <v>48917</v>
      </c>
      <c r="G2037">
        <v>24236</v>
      </c>
      <c r="H2037">
        <v>19611</v>
      </c>
      <c r="I2037">
        <v>66965</v>
      </c>
      <c r="J2037">
        <v>10000</v>
      </c>
    </row>
    <row r="2038" spans="1:10">
      <c r="A2038" t="s">
        <v>321</v>
      </c>
      <c r="B2038">
        <v>24</v>
      </c>
      <c r="C2038">
        <v>27</v>
      </c>
      <c r="E2038">
        <v>7457</v>
      </c>
      <c r="F2038">
        <v>50992</v>
      </c>
      <c r="G2038">
        <v>27060</v>
      </c>
      <c r="H2038">
        <v>716</v>
      </c>
    </row>
    <row r="2039" spans="1:10">
      <c r="A2039" t="s">
        <v>321</v>
      </c>
      <c r="B2039">
        <v>29</v>
      </c>
      <c r="C2039">
        <v>27</v>
      </c>
      <c r="H2039">
        <v>67600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A6E09-533A-4388-84D8-5237C73E7DCA}">
  <sheetPr>
    <tabColor rgb="FF92D050"/>
  </sheetPr>
  <dimension ref="A1:E6064"/>
  <sheetViews>
    <sheetView topLeftCell="A6045" workbookViewId="0">
      <selection activeCell="I16" sqref="I16"/>
    </sheetView>
  </sheetViews>
  <sheetFormatPr defaultRowHeight="12.75"/>
  <sheetData>
    <row r="1" spans="1:5" ht="15">
      <c r="A1" s="119" t="s">
        <v>3</v>
      </c>
      <c r="B1" s="119" t="s">
        <v>1449</v>
      </c>
      <c r="C1" s="119" t="s">
        <v>689</v>
      </c>
      <c r="D1" s="119" t="s">
        <v>690</v>
      </c>
      <c r="E1" s="119" t="s">
        <v>1450</v>
      </c>
    </row>
    <row r="2" spans="1:5" ht="15">
      <c r="A2" s="120" t="s">
        <v>6</v>
      </c>
      <c r="B2" s="121">
        <v>21</v>
      </c>
      <c r="C2" s="121">
        <v>21</v>
      </c>
      <c r="D2" s="121">
        <v>2</v>
      </c>
      <c r="E2" s="121">
        <v>176068</v>
      </c>
    </row>
    <row r="3" spans="1:5" ht="15">
      <c r="A3" s="120" t="s">
        <v>6</v>
      </c>
      <c r="B3" s="121">
        <v>21</v>
      </c>
      <c r="C3" s="121">
        <v>21</v>
      </c>
      <c r="D3" s="121">
        <v>3</v>
      </c>
      <c r="E3" s="121">
        <v>135880</v>
      </c>
    </row>
    <row r="4" spans="1:5" ht="15">
      <c r="A4" s="120" t="s">
        <v>6</v>
      </c>
      <c r="B4" s="121">
        <v>21</v>
      </c>
      <c r="C4" s="121">
        <v>21</v>
      </c>
      <c r="D4" s="121">
        <v>4</v>
      </c>
      <c r="E4" s="121">
        <v>115804</v>
      </c>
    </row>
    <row r="5" spans="1:5" ht="15">
      <c r="A5" s="120" t="s">
        <v>6</v>
      </c>
      <c r="B5" s="121">
        <v>21</v>
      </c>
      <c r="C5" s="121">
        <v>21</v>
      </c>
      <c r="D5" s="121">
        <v>5</v>
      </c>
      <c r="E5" s="121">
        <v>1000</v>
      </c>
    </row>
    <row r="6" spans="1:5" ht="15">
      <c r="A6" s="120" t="s">
        <v>6</v>
      </c>
      <c r="B6" s="121">
        <v>21</v>
      </c>
      <c r="C6" s="121">
        <v>21</v>
      </c>
      <c r="D6" s="121">
        <v>7</v>
      </c>
      <c r="E6" s="121">
        <v>26000</v>
      </c>
    </row>
    <row r="7" spans="1:5" ht="15">
      <c r="A7" s="120" t="s">
        <v>6</v>
      </c>
      <c r="B7" s="121">
        <v>21</v>
      </c>
      <c r="C7" s="121">
        <v>26</v>
      </c>
      <c r="D7" s="121">
        <v>2</v>
      </c>
      <c r="E7" s="121">
        <v>506085</v>
      </c>
    </row>
    <row r="8" spans="1:5" ht="15">
      <c r="A8" s="120" t="s">
        <v>6</v>
      </c>
      <c r="B8" s="121">
        <v>21</v>
      </c>
      <c r="C8" s="121">
        <v>26</v>
      </c>
      <c r="D8" s="121">
        <v>3</v>
      </c>
      <c r="E8" s="121">
        <v>431481</v>
      </c>
    </row>
    <row r="9" spans="1:5" ht="15">
      <c r="A9" s="120" t="s">
        <v>6</v>
      </c>
      <c r="B9" s="121">
        <v>21</v>
      </c>
      <c r="C9" s="121">
        <v>26</v>
      </c>
      <c r="D9" s="121">
        <v>4</v>
      </c>
      <c r="E9" s="121">
        <v>345080</v>
      </c>
    </row>
    <row r="10" spans="1:5" ht="15">
      <c r="A10" s="120" t="s">
        <v>6</v>
      </c>
      <c r="B10" s="121">
        <v>21</v>
      </c>
      <c r="C10" s="121">
        <v>26</v>
      </c>
      <c r="D10" s="121">
        <v>5</v>
      </c>
      <c r="E10" s="121">
        <v>9500</v>
      </c>
    </row>
    <row r="11" spans="1:5" ht="15">
      <c r="A11" s="120" t="s">
        <v>6</v>
      </c>
      <c r="B11" s="121">
        <v>21</v>
      </c>
      <c r="C11" s="121">
        <v>26</v>
      </c>
      <c r="D11" s="121">
        <v>7</v>
      </c>
      <c r="E11" s="121">
        <v>976000</v>
      </c>
    </row>
    <row r="12" spans="1:5" ht="15">
      <c r="A12" s="120" t="s">
        <v>6</v>
      </c>
      <c r="B12" s="121">
        <v>21</v>
      </c>
      <c r="C12" s="121">
        <v>27</v>
      </c>
      <c r="D12" s="121">
        <v>2</v>
      </c>
      <c r="E12" s="121">
        <v>2553600</v>
      </c>
    </row>
    <row r="13" spans="1:5" ht="15">
      <c r="A13" s="120" t="s">
        <v>6</v>
      </c>
      <c r="B13" s="121">
        <v>21</v>
      </c>
      <c r="C13" s="121">
        <v>27</v>
      </c>
      <c r="D13" s="121">
        <v>3</v>
      </c>
      <c r="E13" s="121">
        <v>1539985</v>
      </c>
    </row>
    <row r="14" spans="1:5" ht="15">
      <c r="A14" s="120" t="s">
        <v>6</v>
      </c>
      <c r="B14" s="121">
        <v>21</v>
      </c>
      <c r="C14" s="121">
        <v>27</v>
      </c>
      <c r="D14" s="121">
        <v>4</v>
      </c>
      <c r="E14" s="121">
        <v>1769019</v>
      </c>
    </row>
    <row r="15" spans="1:5" ht="15">
      <c r="A15" s="120" t="s">
        <v>6</v>
      </c>
      <c r="B15" s="121">
        <v>21</v>
      </c>
      <c r="C15" s="121">
        <v>27</v>
      </c>
      <c r="D15" s="121">
        <v>5</v>
      </c>
      <c r="E15" s="121">
        <v>18500</v>
      </c>
    </row>
    <row r="16" spans="1:5" ht="15">
      <c r="A16" s="120" t="s">
        <v>6</v>
      </c>
      <c r="B16" s="121">
        <v>21</v>
      </c>
      <c r="C16" s="121">
        <v>27</v>
      </c>
      <c r="D16" s="121">
        <v>7</v>
      </c>
      <c r="E16" s="121">
        <v>510150</v>
      </c>
    </row>
    <row r="17" spans="1:5" ht="15">
      <c r="A17" s="120" t="s">
        <v>6</v>
      </c>
      <c r="B17" s="121">
        <v>21</v>
      </c>
      <c r="C17" s="121">
        <v>31</v>
      </c>
      <c r="D17" s="121">
        <v>7</v>
      </c>
      <c r="E17" s="121">
        <v>1000</v>
      </c>
    </row>
    <row r="18" spans="1:5" ht="15">
      <c r="A18" s="120" t="s">
        <v>6</v>
      </c>
      <c r="B18" s="121">
        <v>21</v>
      </c>
      <c r="C18" s="121">
        <v>32</v>
      </c>
      <c r="D18" s="121">
        <v>5</v>
      </c>
      <c r="E18" s="121">
        <v>500</v>
      </c>
    </row>
    <row r="19" spans="1:5" ht="15">
      <c r="A19" s="120" t="s">
        <v>6</v>
      </c>
      <c r="B19" s="121">
        <v>21</v>
      </c>
      <c r="C19" s="121">
        <v>33</v>
      </c>
      <c r="D19" s="121">
        <v>5</v>
      </c>
      <c r="E19" s="121">
        <v>3000</v>
      </c>
    </row>
    <row r="20" spans="1:5" ht="15">
      <c r="A20" s="120" t="s">
        <v>6</v>
      </c>
      <c r="B20" s="121">
        <v>21</v>
      </c>
      <c r="C20" s="121">
        <v>34</v>
      </c>
      <c r="D20" s="121">
        <v>2</v>
      </c>
      <c r="E20" s="121">
        <v>67762</v>
      </c>
    </row>
    <row r="21" spans="1:5" ht="15">
      <c r="A21" s="120" t="s">
        <v>6</v>
      </c>
      <c r="B21" s="121">
        <v>21</v>
      </c>
      <c r="C21" s="121">
        <v>34</v>
      </c>
      <c r="D21" s="121">
        <v>4</v>
      </c>
      <c r="E21" s="121">
        <v>10733</v>
      </c>
    </row>
    <row r="22" spans="1:5" ht="15">
      <c r="A22" s="120" t="s">
        <v>41</v>
      </c>
      <c r="B22" s="121">
        <v>21</v>
      </c>
      <c r="C22" s="121">
        <v>21</v>
      </c>
      <c r="D22" s="121">
        <v>2</v>
      </c>
      <c r="E22" s="121">
        <v>152562</v>
      </c>
    </row>
    <row r="23" spans="1:5" ht="15">
      <c r="A23" s="120" t="s">
        <v>41</v>
      </c>
      <c r="B23" s="121">
        <v>21</v>
      </c>
      <c r="C23" s="121">
        <v>21</v>
      </c>
      <c r="D23" s="121">
        <v>3</v>
      </c>
      <c r="E23" s="121">
        <v>76035</v>
      </c>
    </row>
    <row r="24" spans="1:5" ht="15">
      <c r="A24" s="120" t="s">
        <v>41</v>
      </c>
      <c r="B24" s="121">
        <v>21</v>
      </c>
      <c r="C24" s="121">
        <v>21</v>
      </c>
      <c r="D24" s="121">
        <v>4</v>
      </c>
      <c r="E24" s="121">
        <v>68238</v>
      </c>
    </row>
    <row r="25" spans="1:5" ht="15">
      <c r="A25" s="120" t="s">
        <v>41</v>
      </c>
      <c r="B25" s="121">
        <v>21</v>
      </c>
      <c r="C25" s="121">
        <v>21</v>
      </c>
      <c r="D25" s="121">
        <v>5</v>
      </c>
      <c r="E25" s="121">
        <v>5000</v>
      </c>
    </row>
    <row r="26" spans="1:5" ht="15">
      <c r="A26" s="120" t="s">
        <v>41</v>
      </c>
      <c r="B26" s="121">
        <v>21</v>
      </c>
      <c r="C26" s="121">
        <v>21</v>
      </c>
      <c r="D26" s="121">
        <v>7</v>
      </c>
      <c r="E26" s="121">
        <v>12000</v>
      </c>
    </row>
    <row r="27" spans="1:5" ht="15">
      <c r="A27" s="120" t="s">
        <v>41</v>
      </c>
      <c r="B27" s="121">
        <v>21</v>
      </c>
      <c r="C27" s="121">
        <v>21</v>
      </c>
      <c r="D27" s="121">
        <v>8</v>
      </c>
      <c r="E27" s="121">
        <v>2000</v>
      </c>
    </row>
    <row r="28" spans="1:5" ht="15">
      <c r="A28" s="120" t="s">
        <v>41</v>
      </c>
      <c r="B28" s="121">
        <v>21</v>
      </c>
      <c r="C28" s="121">
        <v>26</v>
      </c>
      <c r="D28" s="121">
        <v>2</v>
      </c>
      <c r="E28" s="121">
        <v>1066733</v>
      </c>
    </row>
    <row r="29" spans="1:5" ht="15">
      <c r="A29" s="120" t="s">
        <v>41</v>
      </c>
      <c r="B29" s="121">
        <v>21</v>
      </c>
      <c r="C29" s="121">
        <v>26</v>
      </c>
      <c r="D29" s="121">
        <v>3</v>
      </c>
      <c r="E29" s="121">
        <v>47409</v>
      </c>
    </row>
    <row r="30" spans="1:5" ht="15">
      <c r="A30" s="120" t="s">
        <v>41</v>
      </c>
      <c r="B30" s="121">
        <v>21</v>
      </c>
      <c r="C30" s="121">
        <v>26</v>
      </c>
      <c r="D30" s="121">
        <v>4</v>
      </c>
      <c r="E30" s="121">
        <v>363127</v>
      </c>
    </row>
    <row r="31" spans="1:5" ht="15">
      <c r="A31" s="120" t="s">
        <v>41</v>
      </c>
      <c r="B31" s="121">
        <v>21</v>
      </c>
      <c r="C31" s="121">
        <v>26</v>
      </c>
      <c r="D31" s="121">
        <v>5</v>
      </c>
      <c r="E31" s="121">
        <v>8005</v>
      </c>
    </row>
    <row r="32" spans="1:5" ht="15">
      <c r="A32" s="120" t="s">
        <v>41</v>
      </c>
      <c r="B32" s="121">
        <v>21</v>
      </c>
      <c r="C32" s="121">
        <v>26</v>
      </c>
      <c r="D32" s="121">
        <v>7</v>
      </c>
      <c r="E32" s="121">
        <v>22000</v>
      </c>
    </row>
    <row r="33" spans="1:5" ht="15">
      <c r="A33" s="120" t="s">
        <v>41</v>
      </c>
      <c r="B33" s="121">
        <v>21</v>
      </c>
      <c r="C33" s="121">
        <v>26</v>
      </c>
      <c r="D33" s="121">
        <v>8</v>
      </c>
      <c r="E33" s="121">
        <v>1500</v>
      </c>
    </row>
    <row r="34" spans="1:5" ht="15">
      <c r="A34" s="120" t="s">
        <v>41</v>
      </c>
      <c r="B34" s="121">
        <v>21</v>
      </c>
      <c r="C34" s="121">
        <v>27</v>
      </c>
      <c r="D34" s="121">
        <v>0</v>
      </c>
      <c r="E34" s="121">
        <v>2000</v>
      </c>
    </row>
    <row r="35" spans="1:5" ht="15">
      <c r="A35" s="120" t="s">
        <v>41</v>
      </c>
      <c r="B35" s="121">
        <v>21</v>
      </c>
      <c r="C35" s="121">
        <v>27</v>
      </c>
      <c r="D35" s="121">
        <v>2</v>
      </c>
      <c r="E35" s="121">
        <v>1471986</v>
      </c>
    </row>
    <row r="36" spans="1:5" ht="15">
      <c r="A36" s="120" t="s">
        <v>41</v>
      </c>
      <c r="B36" s="121">
        <v>21</v>
      </c>
      <c r="C36" s="121">
        <v>27</v>
      </c>
      <c r="D36" s="121">
        <v>3</v>
      </c>
      <c r="E36" s="121">
        <v>1439711</v>
      </c>
    </row>
    <row r="37" spans="1:5" ht="15">
      <c r="A37" s="120" t="s">
        <v>41</v>
      </c>
      <c r="B37" s="121">
        <v>21</v>
      </c>
      <c r="C37" s="121">
        <v>27</v>
      </c>
      <c r="D37" s="121">
        <v>4</v>
      </c>
      <c r="E37" s="121">
        <v>1316093</v>
      </c>
    </row>
    <row r="38" spans="1:5" ht="15">
      <c r="A38" s="120" t="s">
        <v>41</v>
      </c>
      <c r="B38" s="121">
        <v>21</v>
      </c>
      <c r="C38" s="121">
        <v>27</v>
      </c>
      <c r="D38" s="121">
        <v>5</v>
      </c>
      <c r="E38" s="121">
        <v>10600</v>
      </c>
    </row>
    <row r="39" spans="1:5" ht="15">
      <c r="A39" s="120" t="s">
        <v>41</v>
      </c>
      <c r="B39" s="121">
        <v>21</v>
      </c>
      <c r="C39" s="121">
        <v>27</v>
      </c>
      <c r="D39" s="121">
        <v>7</v>
      </c>
      <c r="E39" s="121">
        <v>647200</v>
      </c>
    </row>
    <row r="40" spans="1:5" ht="15">
      <c r="A40" s="120" t="s">
        <v>41</v>
      </c>
      <c r="B40" s="121">
        <v>21</v>
      </c>
      <c r="C40" s="121">
        <v>31</v>
      </c>
      <c r="D40" s="121">
        <v>7</v>
      </c>
      <c r="E40" s="121">
        <v>1500</v>
      </c>
    </row>
    <row r="41" spans="1:5" ht="15">
      <c r="A41" s="120" t="s">
        <v>41</v>
      </c>
      <c r="B41" s="121">
        <v>21</v>
      </c>
      <c r="C41" s="121">
        <v>31</v>
      </c>
      <c r="D41" s="121">
        <v>8</v>
      </c>
      <c r="E41" s="121">
        <v>800</v>
      </c>
    </row>
    <row r="42" spans="1:5" ht="15">
      <c r="A42" s="120" t="s">
        <v>41</v>
      </c>
      <c r="B42" s="121">
        <v>24</v>
      </c>
      <c r="C42" s="121">
        <v>26</v>
      </c>
      <c r="D42" s="121">
        <v>2</v>
      </c>
      <c r="E42" s="121">
        <v>160740</v>
      </c>
    </row>
    <row r="43" spans="1:5" ht="15">
      <c r="A43" s="120" t="s">
        <v>41</v>
      </c>
      <c r="B43" s="121">
        <v>24</v>
      </c>
      <c r="C43" s="121">
        <v>26</v>
      </c>
      <c r="D43" s="121">
        <v>4</v>
      </c>
      <c r="E43" s="121">
        <v>59153</v>
      </c>
    </row>
    <row r="44" spans="1:5" ht="15">
      <c r="A44" s="120" t="s">
        <v>41</v>
      </c>
      <c r="B44" s="121">
        <v>24</v>
      </c>
      <c r="C44" s="121">
        <v>27</v>
      </c>
      <c r="D44" s="121">
        <v>2</v>
      </c>
      <c r="E44" s="121">
        <v>181404</v>
      </c>
    </row>
    <row r="45" spans="1:5" ht="15">
      <c r="A45" s="120" t="s">
        <v>41</v>
      </c>
      <c r="B45" s="121">
        <v>24</v>
      </c>
      <c r="C45" s="121">
        <v>27</v>
      </c>
      <c r="D45" s="121">
        <v>3</v>
      </c>
      <c r="E45" s="121">
        <v>8351</v>
      </c>
    </row>
    <row r="46" spans="1:5" ht="15">
      <c r="A46" s="120" t="s">
        <v>41</v>
      </c>
      <c r="B46" s="121">
        <v>24</v>
      </c>
      <c r="C46" s="121">
        <v>27</v>
      </c>
      <c r="D46" s="121">
        <v>4</v>
      </c>
      <c r="E46" s="121">
        <v>63858</v>
      </c>
    </row>
    <row r="47" spans="1:5" ht="15">
      <c r="A47" s="120" t="s">
        <v>6</v>
      </c>
      <c r="B47" s="121">
        <v>24</v>
      </c>
      <c r="C47" s="121">
        <v>26</v>
      </c>
      <c r="D47" s="121">
        <v>2</v>
      </c>
      <c r="E47" s="121">
        <v>453746</v>
      </c>
    </row>
    <row r="48" spans="1:5" ht="15">
      <c r="A48" s="120" t="s">
        <v>6</v>
      </c>
      <c r="B48" s="121">
        <v>24</v>
      </c>
      <c r="C48" s="121">
        <v>26</v>
      </c>
      <c r="D48" s="121">
        <v>4</v>
      </c>
      <c r="E48" s="121">
        <v>134832</v>
      </c>
    </row>
    <row r="49" spans="1:5" ht="15">
      <c r="A49" s="120" t="s">
        <v>6</v>
      </c>
      <c r="B49" s="121">
        <v>24</v>
      </c>
      <c r="C49" s="121">
        <v>26</v>
      </c>
      <c r="D49" s="121">
        <v>7</v>
      </c>
      <c r="E49" s="121">
        <v>82504</v>
      </c>
    </row>
    <row r="50" spans="1:5" ht="15">
      <c r="A50" s="120" t="s">
        <v>6</v>
      </c>
      <c r="B50" s="121">
        <v>24</v>
      </c>
      <c r="C50" s="121">
        <v>27</v>
      </c>
      <c r="D50" s="121">
        <v>2</v>
      </c>
      <c r="E50" s="121">
        <v>158036</v>
      </c>
    </row>
    <row r="51" spans="1:5" ht="15">
      <c r="A51" s="120" t="s">
        <v>6</v>
      </c>
      <c r="B51" s="121">
        <v>24</v>
      </c>
      <c r="C51" s="121">
        <v>27</v>
      </c>
      <c r="D51" s="121">
        <v>4</v>
      </c>
      <c r="E51" s="121">
        <v>58009</v>
      </c>
    </row>
    <row r="52" spans="1:5" ht="15">
      <c r="A52" s="120" t="s">
        <v>19</v>
      </c>
      <c r="B52" s="121">
        <v>21</v>
      </c>
      <c r="C52" s="121">
        <v>21</v>
      </c>
      <c r="D52" s="121">
        <v>2</v>
      </c>
      <c r="E52" s="121">
        <v>15741</v>
      </c>
    </row>
    <row r="53" spans="1:5" ht="15">
      <c r="A53" s="120" t="s">
        <v>19</v>
      </c>
      <c r="B53" s="121">
        <v>21</v>
      </c>
      <c r="C53" s="121">
        <v>21</v>
      </c>
      <c r="D53" s="121">
        <v>3</v>
      </c>
      <c r="E53" s="121">
        <v>68257</v>
      </c>
    </row>
    <row r="54" spans="1:5" ht="15">
      <c r="A54" s="120" t="s">
        <v>19</v>
      </c>
      <c r="B54" s="121">
        <v>21</v>
      </c>
      <c r="C54" s="121">
        <v>21</v>
      </c>
      <c r="D54" s="121">
        <v>4</v>
      </c>
      <c r="E54" s="121">
        <v>32267</v>
      </c>
    </row>
    <row r="55" spans="1:5" ht="15">
      <c r="A55" s="120" t="s">
        <v>27</v>
      </c>
      <c r="B55" s="121">
        <v>21</v>
      </c>
      <c r="C55" s="121">
        <v>21</v>
      </c>
      <c r="D55" s="121">
        <v>2</v>
      </c>
      <c r="E55" s="121">
        <v>587403</v>
      </c>
    </row>
    <row r="56" spans="1:5" ht="15">
      <c r="A56" s="120" t="s">
        <v>27</v>
      </c>
      <c r="B56" s="121">
        <v>21</v>
      </c>
      <c r="C56" s="121">
        <v>21</v>
      </c>
      <c r="D56" s="121">
        <v>3</v>
      </c>
      <c r="E56" s="121">
        <v>152993</v>
      </c>
    </row>
    <row r="57" spans="1:5" ht="15">
      <c r="A57" s="120" t="s">
        <v>27</v>
      </c>
      <c r="B57" s="121">
        <v>21</v>
      </c>
      <c r="C57" s="121">
        <v>21</v>
      </c>
      <c r="D57" s="121">
        <v>4</v>
      </c>
      <c r="E57" s="121">
        <v>195739</v>
      </c>
    </row>
    <row r="58" spans="1:5" ht="15">
      <c r="A58" s="120" t="s">
        <v>27</v>
      </c>
      <c r="B58" s="121">
        <v>21</v>
      </c>
      <c r="C58" s="121">
        <v>21</v>
      </c>
      <c r="D58" s="121">
        <v>5</v>
      </c>
      <c r="E58" s="121">
        <v>35202</v>
      </c>
    </row>
    <row r="59" spans="1:5" ht="15">
      <c r="A59" s="120" t="s">
        <v>27</v>
      </c>
      <c r="B59" s="121">
        <v>21</v>
      </c>
      <c r="C59" s="121">
        <v>21</v>
      </c>
      <c r="D59" s="121">
        <v>7</v>
      </c>
      <c r="E59" s="121">
        <v>33252</v>
      </c>
    </row>
    <row r="60" spans="1:5" ht="15">
      <c r="A60" s="120" t="s">
        <v>27</v>
      </c>
      <c r="B60" s="121">
        <v>21</v>
      </c>
      <c r="C60" s="121">
        <v>21</v>
      </c>
      <c r="D60" s="121">
        <v>8</v>
      </c>
      <c r="E60" s="121">
        <v>5100</v>
      </c>
    </row>
    <row r="61" spans="1:5" ht="15">
      <c r="A61" s="120" t="s">
        <v>19</v>
      </c>
      <c r="B61" s="121">
        <v>21</v>
      </c>
      <c r="C61" s="121">
        <v>26</v>
      </c>
      <c r="D61" s="121">
        <v>2</v>
      </c>
      <c r="E61" s="121">
        <v>132256</v>
      </c>
    </row>
    <row r="62" spans="1:5" ht="15">
      <c r="A62" s="120" t="s">
        <v>19</v>
      </c>
      <c r="B62" s="121">
        <v>21</v>
      </c>
      <c r="C62" s="121">
        <v>26</v>
      </c>
      <c r="D62" s="121">
        <v>4</v>
      </c>
      <c r="E62" s="121">
        <v>45357</v>
      </c>
    </row>
    <row r="63" spans="1:5" ht="15">
      <c r="A63" s="120" t="s">
        <v>19</v>
      </c>
      <c r="B63" s="121">
        <v>21</v>
      </c>
      <c r="C63" s="121">
        <v>26</v>
      </c>
      <c r="D63" s="121">
        <v>7</v>
      </c>
      <c r="E63" s="121">
        <v>50000</v>
      </c>
    </row>
    <row r="64" spans="1:5" ht="15">
      <c r="A64" s="120" t="s">
        <v>19</v>
      </c>
      <c r="B64" s="121">
        <v>21</v>
      </c>
      <c r="C64" s="121">
        <v>27</v>
      </c>
      <c r="D64" s="121">
        <v>2</v>
      </c>
      <c r="E64" s="121">
        <v>281419</v>
      </c>
    </row>
    <row r="65" spans="1:5" ht="15">
      <c r="A65" s="120" t="s">
        <v>19</v>
      </c>
      <c r="B65" s="121">
        <v>21</v>
      </c>
      <c r="C65" s="121">
        <v>27</v>
      </c>
      <c r="D65" s="121">
        <v>3</v>
      </c>
      <c r="E65" s="121">
        <v>333739</v>
      </c>
    </row>
    <row r="66" spans="1:5" ht="15">
      <c r="A66" s="120" t="s">
        <v>19</v>
      </c>
      <c r="B66" s="121">
        <v>21</v>
      </c>
      <c r="C66" s="121">
        <v>27</v>
      </c>
      <c r="D66" s="121">
        <v>4</v>
      </c>
      <c r="E66" s="121">
        <v>407388</v>
      </c>
    </row>
    <row r="67" spans="1:5" ht="15">
      <c r="A67" s="120" t="s">
        <v>19</v>
      </c>
      <c r="B67" s="121">
        <v>21</v>
      </c>
      <c r="C67" s="121">
        <v>27</v>
      </c>
      <c r="D67" s="121">
        <v>5</v>
      </c>
      <c r="E67" s="121">
        <v>6152</v>
      </c>
    </row>
    <row r="68" spans="1:5" ht="15">
      <c r="A68" s="120" t="s">
        <v>19</v>
      </c>
      <c r="B68" s="121">
        <v>21</v>
      </c>
      <c r="C68" s="121">
        <v>31</v>
      </c>
      <c r="D68" s="121">
        <v>2</v>
      </c>
      <c r="E68" s="121">
        <v>6644</v>
      </c>
    </row>
    <row r="69" spans="1:5" ht="15">
      <c r="A69" s="120" t="s">
        <v>19</v>
      </c>
      <c r="B69" s="121">
        <v>21</v>
      </c>
      <c r="C69" s="121">
        <v>31</v>
      </c>
      <c r="D69" s="121">
        <v>4</v>
      </c>
      <c r="E69" s="121">
        <v>1055</v>
      </c>
    </row>
    <row r="70" spans="1:5" ht="15">
      <c r="A70" s="120" t="s">
        <v>19</v>
      </c>
      <c r="B70" s="121">
        <v>21</v>
      </c>
      <c r="C70" s="121">
        <v>34</v>
      </c>
      <c r="D70" s="121">
        <v>2</v>
      </c>
      <c r="E70" s="121">
        <v>6644</v>
      </c>
    </row>
    <row r="71" spans="1:5" ht="15">
      <c r="A71" s="120" t="s">
        <v>19</v>
      </c>
      <c r="B71" s="121">
        <v>21</v>
      </c>
      <c r="C71" s="121">
        <v>34</v>
      </c>
      <c r="D71" s="121">
        <v>4</v>
      </c>
      <c r="E71" s="121">
        <v>1046</v>
      </c>
    </row>
    <row r="72" spans="1:5" ht="15">
      <c r="A72" s="120" t="s">
        <v>27</v>
      </c>
      <c r="B72" s="121">
        <v>21</v>
      </c>
      <c r="C72" s="121">
        <v>25</v>
      </c>
      <c r="D72" s="121">
        <v>3</v>
      </c>
      <c r="E72" s="121">
        <v>118000</v>
      </c>
    </row>
    <row r="73" spans="1:5" ht="15">
      <c r="A73" s="120" t="s">
        <v>27</v>
      </c>
      <c r="B73" s="121">
        <v>21</v>
      </c>
      <c r="C73" s="121">
        <v>25</v>
      </c>
      <c r="D73" s="121">
        <v>4</v>
      </c>
      <c r="E73" s="121">
        <v>11309</v>
      </c>
    </row>
    <row r="74" spans="1:5" ht="15">
      <c r="A74" s="120" t="s">
        <v>27</v>
      </c>
      <c r="B74" s="121">
        <v>21</v>
      </c>
      <c r="C74" s="121">
        <v>26</v>
      </c>
      <c r="D74" s="121">
        <v>2</v>
      </c>
      <c r="E74" s="121">
        <v>5683547</v>
      </c>
    </row>
    <row r="75" spans="1:5" ht="15">
      <c r="A75" s="120" t="s">
        <v>27</v>
      </c>
      <c r="B75" s="121">
        <v>21</v>
      </c>
      <c r="C75" s="121">
        <v>26</v>
      </c>
      <c r="D75" s="121">
        <v>3</v>
      </c>
      <c r="E75" s="121">
        <v>126854</v>
      </c>
    </row>
    <row r="76" spans="1:5" ht="15">
      <c r="A76" s="120" t="s">
        <v>27</v>
      </c>
      <c r="B76" s="121">
        <v>21</v>
      </c>
      <c r="C76" s="121">
        <v>26</v>
      </c>
      <c r="D76" s="121">
        <v>4</v>
      </c>
      <c r="E76" s="121">
        <v>1709424</v>
      </c>
    </row>
    <row r="77" spans="1:5" ht="15">
      <c r="A77" s="120" t="s">
        <v>27</v>
      </c>
      <c r="B77" s="121">
        <v>21</v>
      </c>
      <c r="C77" s="121">
        <v>26</v>
      </c>
      <c r="D77" s="121">
        <v>5</v>
      </c>
      <c r="E77" s="121">
        <v>30600</v>
      </c>
    </row>
    <row r="78" spans="1:5" ht="15">
      <c r="A78" s="120" t="s">
        <v>27</v>
      </c>
      <c r="B78" s="121">
        <v>21</v>
      </c>
      <c r="C78" s="121">
        <v>26</v>
      </c>
      <c r="D78" s="121">
        <v>7</v>
      </c>
      <c r="E78" s="121">
        <v>214570</v>
      </c>
    </row>
    <row r="79" spans="1:5" ht="15">
      <c r="A79" s="120" t="s">
        <v>27</v>
      </c>
      <c r="B79" s="121">
        <v>21</v>
      </c>
      <c r="C79" s="121">
        <v>26</v>
      </c>
      <c r="D79" s="121">
        <v>8</v>
      </c>
      <c r="E79" s="121">
        <v>4488</v>
      </c>
    </row>
    <row r="80" spans="1:5" ht="15">
      <c r="A80" s="120" t="s">
        <v>27</v>
      </c>
      <c r="B80" s="121">
        <v>21</v>
      </c>
      <c r="C80" s="121">
        <v>27</v>
      </c>
      <c r="D80" s="121">
        <v>0</v>
      </c>
      <c r="E80" s="121">
        <v>102</v>
      </c>
    </row>
    <row r="81" spans="1:5" ht="15">
      <c r="A81" s="120" t="s">
        <v>27</v>
      </c>
      <c r="B81" s="121">
        <v>21</v>
      </c>
      <c r="C81" s="121">
        <v>27</v>
      </c>
      <c r="D81" s="121">
        <v>2</v>
      </c>
      <c r="E81" s="121">
        <v>10362301</v>
      </c>
    </row>
    <row r="82" spans="1:5" ht="15">
      <c r="A82" s="120" t="s">
        <v>27</v>
      </c>
      <c r="B82" s="121">
        <v>21</v>
      </c>
      <c r="C82" s="121">
        <v>27</v>
      </c>
      <c r="D82" s="121">
        <v>3</v>
      </c>
      <c r="E82" s="121">
        <v>6696296</v>
      </c>
    </row>
    <row r="83" spans="1:5" ht="15">
      <c r="A83" s="120" t="s">
        <v>27</v>
      </c>
      <c r="B83" s="121">
        <v>21</v>
      </c>
      <c r="C83" s="121">
        <v>27</v>
      </c>
      <c r="D83" s="121">
        <v>4</v>
      </c>
      <c r="E83" s="121">
        <v>7337112</v>
      </c>
    </row>
    <row r="84" spans="1:5" ht="15">
      <c r="A84" s="120" t="s">
        <v>27</v>
      </c>
      <c r="B84" s="121">
        <v>21</v>
      </c>
      <c r="C84" s="121">
        <v>27</v>
      </c>
      <c r="D84" s="121">
        <v>5</v>
      </c>
      <c r="E84" s="121">
        <v>36252</v>
      </c>
    </row>
    <row r="85" spans="1:5" ht="15">
      <c r="A85" s="120" t="s">
        <v>27</v>
      </c>
      <c r="B85" s="121">
        <v>21</v>
      </c>
      <c r="C85" s="121">
        <v>27</v>
      </c>
      <c r="D85" s="121">
        <v>7</v>
      </c>
      <c r="E85" s="121">
        <v>2374222</v>
      </c>
    </row>
    <row r="86" spans="1:5" ht="15">
      <c r="A86" s="120" t="s">
        <v>27</v>
      </c>
      <c r="B86" s="121">
        <v>21</v>
      </c>
      <c r="C86" s="121">
        <v>27</v>
      </c>
      <c r="D86" s="121">
        <v>8</v>
      </c>
      <c r="E86" s="121">
        <v>26520</v>
      </c>
    </row>
    <row r="87" spans="1:5" ht="15">
      <c r="A87" s="120" t="s">
        <v>27</v>
      </c>
      <c r="B87" s="121">
        <v>21</v>
      </c>
      <c r="C87" s="121">
        <v>31</v>
      </c>
      <c r="D87" s="121">
        <v>5</v>
      </c>
      <c r="E87" s="121">
        <v>510</v>
      </c>
    </row>
    <row r="88" spans="1:5" ht="15">
      <c r="A88" s="120" t="s">
        <v>27</v>
      </c>
      <c r="B88" s="121">
        <v>21</v>
      </c>
      <c r="C88" s="121">
        <v>31</v>
      </c>
      <c r="D88" s="121">
        <v>7</v>
      </c>
      <c r="E88" s="121">
        <v>47587</v>
      </c>
    </row>
    <row r="89" spans="1:5" ht="15">
      <c r="A89" s="120" t="s">
        <v>27</v>
      </c>
      <c r="B89" s="121">
        <v>21</v>
      </c>
      <c r="C89" s="121">
        <v>33</v>
      </c>
      <c r="D89" s="121">
        <v>5</v>
      </c>
      <c r="E89" s="121">
        <v>65280</v>
      </c>
    </row>
    <row r="90" spans="1:5" ht="15">
      <c r="A90" s="120" t="s">
        <v>27</v>
      </c>
      <c r="B90" s="121">
        <v>21</v>
      </c>
      <c r="C90" s="121">
        <v>34</v>
      </c>
      <c r="D90" s="121">
        <v>2</v>
      </c>
      <c r="E90" s="121">
        <v>224610</v>
      </c>
    </row>
    <row r="91" spans="1:5" ht="15">
      <c r="A91" s="120" t="s">
        <v>27</v>
      </c>
      <c r="B91" s="121">
        <v>21</v>
      </c>
      <c r="C91" s="121">
        <v>34</v>
      </c>
      <c r="D91" s="121">
        <v>4</v>
      </c>
      <c r="E91" s="121">
        <v>36533</v>
      </c>
    </row>
    <row r="92" spans="1:5" ht="15">
      <c r="A92" s="120" t="s">
        <v>19</v>
      </c>
      <c r="B92" s="121">
        <v>24</v>
      </c>
      <c r="C92" s="121">
        <v>21</v>
      </c>
      <c r="D92" s="121">
        <v>2</v>
      </c>
      <c r="E92" s="121">
        <v>27985</v>
      </c>
    </row>
    <row r="93" spans="1:5" ht="15">
      <c r="A93" s="120" t="s">
        <v>19</v>
      </c>
      <c r="B93" s="121">
        <v>24</v>
      </c>
      <c r="C93" s="121">
        <v>21</v>
      </c>
      <c r="D93" s="121">
        <v>4</v>
      </c>
      <c r="E93" s="121">
        <v>7052</v>
      </c>
    </row>
    <row r="94" spans="1:5" ht="15">
      <c r="A94" s="120" t="s">
        <v>19</v>
      </c>
      <c r="B94" s="121">
        <v>24</v>
      </c>
      <c r="C94" s="121">
        <v>27</v>
      </c>
      <c r="D94" s="121">
        <v>3</v>
      </c>
      <c r="E94" s="121">
        <v>53167</v>
      </c>
    </row>
    <row r="95" spans="1:5" ht="15">
      <c r="A95" s="120" t="s">
        <v>19</v>
      </c>
      <c r="B95" s="121">
        <v>24</v>
      </c>
      <c r="C95" s="121">
        <v>27</v>
      </c>
      <c r="D95" s="121">
        <v>4</v>
      </c>
      <c r="E95" s="121">
        <v>35964</v>
      </c>
    </row>
    <row r="96" spans="1:5" ht="15">
      <c r="A96" s="120" t="s">
        <v>19</v>
      </c>
      <c r="B96" s="121">
        <v>24</v>
      </c>
      <c r="C96" s="121">
        <v>27</v>
      </c>
      <c r="D96" s="121">
        <v>5</v>
      </c>
      <c r="E96" s="121">
        <v>14617</v>
      </c>
    </row>
    <row r="97" spans="1:5" ht="15">
      <c r="A97" s="120" t="s">
        <v>19</v>
      </c>
      <c r="B97" s="121">
        <v>24</v>
      </c>
      <c r="C97" s="121">
        <v>27</v>
      </c>
      <c r="D97" s="121">
        <v>7</v>
      </c>
      <c r="E97" s="121">
        <v>36285</v>
      </c>
    </row>
    <row r="98" spans="1:5" ht="15">
      <c r="A98" s="120" t="s">
        <v>27</v>
      </c>
      <c r="B98" s="121">
        <v>24</v>
      </c>
      <c r="C98" s="121">
        <v>27</v>
      </c>
      <c r="D98" s="121">
        <v>3</v>
      </c>
      <c r="E98" s="121">
        <v>1575984</v>
      </c>
    </row>
    <row r="99" spans="1:5" ht="15">
      <c r="A99" s="120" t="s">
        <v>27</v>
      </c>
      <c r="B99" s="121">
        <v>24</v>
      </c>
      <c r="C99" s="121">
        <v>27</v>
      </c>
      <c r="D99" s="121">
        <v>4</v>
      </c>
      <c r="E99" s="121">
        <v>994262</v>
      </c>
    </row>
    <row r="100" spans="1:5" ht="15">
      <c r="A100" s="120" t="s">
        <v>43</v>
      </c>
      <c r="B100" s="121">
        <v>21</v>
      </c>
      <c r="C100" s="121">
        <v>25</v>
      </c>
      <c r="D100" s="121">
        <v>3</v>
      </c>
      <c r="E100" s="121">
        <v>10342</v>
      </c>
    </row>
    <row r="101" spans="1:5" ht="15">
      <c r="A101" s="120" t="s">
        <v>43</v>
      </c>
      <c r="B101" s="121">
        <v>21</v>
      </c>
      <c r="C101" s="121">
        <v>25</v>
      </c>
      <c r="D101" s="121">
        <v>4</v>
      </c>
      <c r="E101" s="121">
        <v>942</v>
      </c>
    </row>
    <row r="102" spans="1:5" ht="15">
      <c r="A102" s="120" t="s">
        <v>43</v>
      </c>
      <c r="B102" s="121">
        <v>21</v>
      </c>
      <c r="C102" s="121">
        <v>27</v>
      </c>
      <c r="D102" s="121">
        <v>2</v>
      </c>
      <c r="E102" s="121">
        <v>41592</v>
      </c>
    </row>
    <row r="103" spans="1:5" ht="15">
      <c r="A103" s="120" t="s">
        <v>43</v>
      </c>
      <c r="B103" s="121">
        <v>21</v>
      </c>
      <c r="C103" s="121">
        <v>27</v>
      </c>
      <c r="D103" s="121">
        <v>3</v>
      </c>
      <c r="E103" s="121">
        <v>65960</v>
      </c>
    </row>
    <row r="104" spans="1:5" ht="15">
      <c r="A104" s="120" t="s">
        <v>43</v>
      </c>
      <c r="B104" s="121">
        <v>21</v>
      </c>
      <c r="C104" s="121">
        <v>27</v>
      </c>
      <c r="D104" s="121">
        <v>4</v>
      </c>
      <c r="E104" s="121">
        <v>59973</v>
      </c>
    </row>
    <row r="105" spans="1:5" ht="15">
      <c r="A105" s="120" t="s">
        <v>43</v>
      </c>
      <c r="B105" s="121">
        <v>21</v>
      </c>
      <c r="C105" s="121">
        <v>27</v>
      </c>
      <c r="D105" s="121">
        <v>5</v>
      </c>
      <c r="E105" s="121">
        <v>1999</v>
      </c>
    </row>
    <row r="106" spans="1:5" ht="15">
      <c r="A106" s="120" t="s">
        <v>43</v>
      </c>
      <c r="B106" s="121">
        <v>21</v>
      </c>
      <c r="C106" s="121">
        <v>27</v>
      </c>
      <c r="D106" s="121">
        <v>7</v>
      </c>
      <c r="E106" s="121">
        <v>270000</v>
      </c>
    </row>
    <row r="107" spans="1:5" ht="15">
      <c r="A107" s="120" t="s">
        <v>43</v>
      </c>
      <c r="B107" s="121">
        <v>21</v>
      </c>
      <c r="C107" s="121">
        <v>29</v>
      </c>
      <c r="D107" s="121">
        <v>7</v>
      </c>
      <c r="E107" s="121">
        <v>420000</v>
      </c>
    </row>
    <row r="108" spans="1:5" ht="15">
      <c r="A108" s="120" t="s">
        <v>43</v>
      </c>
      <c r="B108" s="121">
        <v>24</v>
      </c>
      <c r="C108" s="121">
        <v>26</v>
      </c>
      <c r="D108" s="121">
        <v>7</v>
      </c>
      <c r="E108" s="121">
        <v>30000</v>
      </c>
    </row>
    <row r="109" spans="1:5" ht="15">
      <c r="A109" s="120" t="s">
        <v>43</v>
      </c>
      <c r="B109" s="121">
        <v>24</v>
      </c>
      <c r="C109" s="121">
        <v>27</v>
      </c>
      <c r="D109" s="121">
        <v>7</v>
      </c>
      <c r="E109" s="121">
        <v>10000</v>
      </c>
    </row>
    <row r="110" spans="1:5" ht="15">
      <c r="A110" s="120" t="s">
        <v>30</v>
      </c>
      <c r="B110" s="121">
        <v>21</v>
      </c>
      <c r="C110" s="121">
        <v>21</v>
      </c>
      <c r="D110" s="121">
        <v>2</v>
      </c>
      <c r="E110" s="121">
        <v>1136247</v>
      </c>
    </row>
    <row r="111" spans="1:5" ht="15">
      <c r="A111" s="120" t="s">
        <v>30</v>
      </c>
      <c r="B111" s="121">
        <v>21</v>
      </c>
      <c r="C111" s="121">
        <v>21</v>
      </c>
      <c r="D111" s="121">
        <v>3</v>
      </c>
      <c r="E111" s="121">
        <v>545063</v>
      </c>
    </row>
    <row r="112" spans="1:5" ht="15">
      <c r="A112" s="120" t="s">
        <v>30</v>
      </c>
      <c r="B112" s="121">
        <v>21</v>
      </c>
      <c r="C112" s="121">
        <v>21</v>
      </c>
      <c r="D112" s="121">
        <v>4</v>
      </c>
      <c r="E112" s="121">
        <v>492461</v>
      </c>
    </row>
    <row r="113" spans="1:5" ht="15">
      <c r="A113" s="120" t="s">
        <v>30</v>
      </c>
      <c r="B113" s="121">
        <v>21</v>
      </c>
      <c r="C113" s="121">
        <v>21</v>
      </c>
      <c r="D113" s="121">
        <v>5</v>
      </c>
      <c r="E113" s="121">
        <v>1000</v>
      </c>
    </row>
    <row r="114" spans="1:5" ht="15">
      <c r="A114" s="120" t="s">
        <v>30</v>
      </c>
      <c r="B114" s="121">
        <v>21</v>
      </c>
      <c r="C114" s="121">
        <v>24</v>
      </c>
      <c r="D114" s="121">
        <v>2</v>
      </c>
      <c r="E114" s="121">
        <v>992232</v>
      </c>
    </row>
    <row r="115" spans="1:5" ht="15">
      <c r="A115" s="120" t="s">
        <v>30</v>
      </c>
      <c r="B115" s="121">
        <v>21</v>
      </c>
      <c r="C115" s="121">
        <v>24</v>
      </c>
      <c r="D115" s="121">
        <v>4</v>
      </c>
      <c r="E115" s="121">
        <v>317435</v>
      </c>
    </row>
    <row r="116" spans="1:5" ht="15">
      <c r="A116" s="120" t="s">
        <v>30</v>
      </c>
      <c r="B116" s="121">
        <v>21</v>
      </c>
      <c r="C116" s="121">
        <v>24</v>
      </c>
      <c r="D116" s="121">
        <v>5</v>
      </c>
      <c r="E116" s="121">
        <v>500</v>
      </c>
    </row>
    <row r="117" spans="1:5" ht="15">
      <c r="A117" s="120" t="s">
        <v>30</v>
      </c>
      <c r="B117" s="121">
        <v>21</v>
      </c>
      <c r="C117" s="121">
        <v>24</v>
      </c>
      <c r="D117" s="121">
        <v>7</v>
      </c>
      <c r="E117" s="121">
        <v>6000</v>
      </c>
    </row>
    <row r="118" spans="1:5" ht="15">
      <c r="A118" s="120" t="s">
        <v>30</v>
      </c>
      <c r="B118" s="121">
        <v>21</v>
      </c>
      <c r="C118" s="121">
        <v>26</v>
      </c>
      <c r="D118" s="121">
        <v>2</v>
      </c>
      <c r="E118" s="121">
        <v>10869566</v>
      </c>
    </row>
    <row r="119" spans="1:5" ht="15">
      <c r="A119" s="120" t="s">
        <v>30</v>
      </c>
      <c r="B119" s="121">
        <v>21</v>
      </c>
      <c r="C119" s="121">
        <v>26</v>
      </c>
      <c r="D119" s="121">
        <v>3</v>
      </c>
      <c r="E119" s="121">
        <v>2411231</v>
      </c>
    </row>
    <row r="120" spans="1:5" ht="15">
      <c r="A120" s="120" t="s">
        <v>30</v>
      </c>
      <c r="B120" s="121">
        <v>21</v>
      </c>
      <c r="C120" s="121">
        <v>26</v>
      </c>
      <c r="D120" s="121">
        <v>4</v>
      </c>
      <c r="E120" s="121">
        <v>4432554</v>
      </c>
    </row>
    <row r="121" spans="1:5" ht="15">
      <c r="A121" s="120" t="s">
        <v>30</v>
      </c>
      <c r="B121" s="121">
        <v>21</v>
      </c>
      <c r="C121" s="121">
        <v>26</v>
      </c>
      <c r="D121" s="121">
        <v>5</v>
      </c>
      <c r="E121" s="121">
        <v>30300</v>
      </c>
    </row>
    <row r="122" spans="1:5" ht="15">
      <c r="A122" s="120" t="s">
        <v>30</v>
      </c>
      <c r="B122" s="121">
        <v>21</v>
      </c>
      <c r="C122" s="121">
        <v>26</v>
      </c>
      <c r="D122" s="121">
        <v>7</v>
      </c>
      <c r="E122" s="121">
        <v>844872</v>
      </c>
    </row>
    <row r="123" spans="1:5" ht="15">
      <c r="A123" s="120" t="s">
        <v>30</v>
      </c>
      <c r="B123" s="121">
        <v>21</v>
      </c>
      <c r="C123" s="121">
        <v>26</v>
      </c>
      <c r="D123" s="121">
        <v>8</v>
      </c>
      <c r="E123" s="121">
        <v>2700</v>
      </c>
    </row>
    <row r="124" spans="1:5" ht="15">
      <c r="A124" s="120" t="s">
        <v>30</v>
      </c>
      <c r="B124" s="121">
        <v>21</v>
      </c>
      <c r="C124" s="121">
        <v>27</v>
      </c>
      <c r="D124" s="121">
        <v>2</v>
      </c>
      <c r="E124" s="121">
        <v>14840978</v>
      </c>
    </row>
    <row r="125" spans="1:5" ht="15">
      <c r="A125" s="120" t="s">
        <v>30</v>
      </c>
      <c r="B125" s="121">
        <v>21</v>
      </c>
      <c r="C125" s="121">
        <v>27</v>
      </c>
      <c r="D125" s="121">
        <v>3</v>
      </c>
      <c r="E125" s="121">
        <v>15681157</v>
      </c>
    </row>
    <row r="126" spans="1:5" ht="15">
      <c r="A126" s="120" t="s">
        <v>30</v>
      </c>
      <c r="B126" s="121">
        <v>21</v>
      </c>
      <c r="C126" s="121">
        <v>27</v>
      </c>
      <c r="D126" s="121">
        <v>4</v>
      </c>
      <c r="E126" s="121">
        <v>12628819</v>
      </c>
    </row>
    <row r="127" spans="1:5" ht="15">
      <c r="A127" s="120" t="s">
        <v>30</v>
      </c>
      <c r="B127" s="121">
        <v>21</v>
      </c>
      <c r="C127" s="121">
        <v>27</v>
      </c>
      <c r="D127" s="121">
        <v>5</v>
      </c>
      <c r="E127" s="121">
        <v>198939</v>
      </c>
    </row>
    <row r="128" spans="1:5" ht="15">
      <c r="A128" s="120" t="s">
        <v>30</v>
      </c>
      <c r="B128" s="121">
        <v>21</v>
      </c>
      <c r="C128" s="121">
        <v>27</v>
      </c>
      <c r="D128" s="121">
        <v>7</v>
      </c>
      <c r="E128" s="121">
        <v>15657527</v>
      </c>
    </row>
    <row r="129" spans="1:5" ht="15">
      <c r="A129" s="120" t="s">
        <v>30</v>
      </c>
      <c r="B129" s="121">
        <v>21</v>
      </c>
      <c r="C129" s="121">
        <v>27</v>
      </c>
      <c r="D129" s="121">
        <v>8</v>
      </c>
      <c r="E129" s="121">
        <v>696968</v>
      </c>
    </row>
    <row r="130" spans="1:5" ht="15">
      <c r="A130" s="120" t="s">
        <v>30</v>
      </c>
      <c r="B130" s="121">
        <v>21</v>
      </c>
      <c r="C130" s="121">
        <v>31</v>
      </c>
      <c r="D130" s="121">
        <v>2</v>
      </c>
      <c r="E130" s="121">
        <v>373318</v>
      </c>
    </row>
    <row r="131" spans="1:5" ht="15">
      <c r="A131" s="120" t="s">
        <v>30</v>
      </c>
      <c r="B131" s="121">
        <v>21</v>
      </c>
      <c r="C131" s="121">
        <v>31</v>
      </c>
      <c r="D131" s="121">
        <v>3</v>
      </c>
      <c r="E131" s="121">
        <v>20500</v>
      </c>
    </row>
    <row r="132" spans="1:5" ht="15">
      <c r="A132" s="120" t="s">
        <v>30</v>
      </c>
      <c r="B132" s="121">
        <v>21</v>
      </c>
      <c r="C132" s="121">
        <v>31</v>
      </c>
      <c r="D132" s="121">
        <v>4</v>
      </c>
      <c r="E132" s="121">
        <v>73044</v>
      </c>
    </row>
    <row r="133" spans="1:5" ht="15">
      <c r="A133" s="120" t="s">
        <v>30</v>
      </c>
      <c r="B133" s="121">
        <v>21</v>
      </c>
      <c r="C133" s="121">
        <v>31</v>
      </c>
      <c r="D133" s="121">
        <v>7</v>
      </c>
      <c r="E133" s="121">
        <v>22100</v>
      </c>
    </row>
    <row r="134" spans="1:5" ht="15">
      <c r="A134" s="120" t="s">
        <v>30</v>
      </c>
      <c r="B134" s="121">
        <v>21</v>
      </c>
      <c r="C134" s="121">
        <v>33</v>
      </c>
      <c r="D134" s="121">
        <v>3</v>
      </c>
      <c r="E134" s="121">
        <v>27910</v>
      </c>
    </row>
    <row r="135" spans="1:5" ht="15">
      <c r="A135" s="120" t="s">
        <v>30</v>
      </c>
      <c r="B135" s="121">
        <v>21</v>
      </c>
      <c r="C135" s="121">
        <v>33</v>
      </c>
      <c r="D135" s="121">
        <v>4</v>
      </c>
      <c r="E135" s="121">
        <v>6559</v>
      </c>
    </row>
    <row r="136" spans="1:5" ht="15">
      <c r="A136" s="120" t="s">
        <v>30</v>
      </c>
      <c r="B136" s="121">
        <v>21</v>
      </c>
      <c r="C136" s="121">
        <v>33</v>
      </c>
      <c r="D136" s="121">
        <v>5</v>
      </c>
      <c r="E136" s="121">
        <v>19500</v>
      </c>
    </row>
    <row r="137" spans="1:5" ht="15">
      <c r="A137" s="120" t="s">
        <v>30</v>
      </c>
      <c r="B137" s="121">
        <v>21</v>
      </c>
      <c r="C137" s="121">
        <v>33</v>
      </c>
      <c r="D137" s="121">
        <v>7</v>
      </c>
      <c r="E137" s="121">
        <v>3000</v>
      </c>
    </row>
    <row r="138" spans="1:5" ht="15">
      <c r="A138" s="120" t="s">
        <v>30</v>
      </c>
      <c r="B138" s="121">
        <v>21</v>
      </c>
      <c r="C138" s="121">
        <v>34</v>
      </c>
      <c r="D138" s="121">
        <v>2</v>
      </c>
      <c r="E138" s="121">
        <v>497757</v>
      </c>
    </row>
    <row r="139" spans="1:5" ht="15">
      <c r="A139" s="120" t="s">
        <v>30</v>
      </c>
      <c r="B139" s="121">
        <v>21</v>
      </c>
      <c r="C139" s="121">
        <v>34</v>
      </c>
      <c r="D139" s="121">
        <v>4</v>
      </c>
      <c r="E139" s="121">
        <v>90968</v>
      </c>
    </row>
    <row r="140" spans="1:5" ht="15">
      <c r="A140" s="120" t="s">
        <v>30</v>
      </c>
      <c r="B140" s="121">
        <v>24</v>
      </c>
      <c r="C140" s="121">
        <v>26</v>
      </c>
      <c r="D140" s="121">
        <v>2</v>
      </c>
      <c r="E140" s="121">
        <v>107836</v>
      </c>
    </row>
    <row r="141" spans="1:5" ht="15">
      <c r="A141" s="120" t="s">
        <v>30</v>
      </c>
      <c r="B141" s="121">
        <v>24</v>
      </c>
      <c r="C141" s="121">
        <v>26</v>
      </c>
      <c r="D141" s="121">
        <v>4</v>
      </c>
      <c r="E141" s="121">
        <v>33284</v>
      </c>
    </row>
    <row r="142" spans="1:5" ht="15">
      <c r="A142" s="120" t="s">
        <v>30</v>
      </c>
      <c r="B142" s="121">
        <v>24</v>
      </c>
      <c r="C142" s="121">
        <v>26</v>
      </c>
      <c r="D142" s="121">
        <v>7</v>
      </c>
      <c r="E142" s="121">
        <v>422437</v>
      </c>
    </row>
    <row r="143" spans="1:5" ht="15">
      <c r="A143" s="120" t="s">
        <v>30</v>
      </c>
      <c r="B143" s="121">
        <v>24</v>
      </c>
      <c r="C143" s="121">
        <v>27</v>
      </c>
      <c r="D143" s="121">
        <v>2</v>
      </c>
      <c r="E143" s="121">
        <v>2917455</v>
      </c>
    </row>
    <row r="144" spans="1:5" ht="15">
      <c r="A144" s="120" t="s">
        <v>30</v>
      </c>
      <c r="B144" s="121">
        <v>24</v>
      </c>
      <c r="C144" s="121">
        <v>27</v>
      </c>
      <c r="D144" s="121">
        <v>4</v>
      </c>
      <c r="E144" s="121">
        <v>828289</v>
      </c>
    </row>
    <row r="145" spans="1:5" ht="15">
      <c r="A145" s="120" t="s">
        <v>30</v>
      </c>
      <c r="B145" s="121">
        <v>24</v>
      </c>
      <c r="C145" s="121">
        <v>27</v>
      </c>
      <c r="D145" s="121">
        <v>5</v>
      </c>
      <c r="E145" s="121">
        <v>20000</v>
      </c>
    </row>
    <row r="146" spans="1:5" ht="15">
      <c r="A146" s="120" t="s">
        <v>30</v>
      </c>
      <c r="B146" s="121">
        <v>24</v>
      </c>
      <c r="C146" s="121">
        <v>27</v>
      </c>
      <c r="D146" s="121">
        <v>7</v>
      </c>
      <c r="E146" s="121">
        <v>185000</v>
      </c>
    </row>
    <row r="147" spans="1:5" ht="15">
      <c r="A147" s="120" t="s">
        <v>30</v>
      </c>
      <c r="B147" s="121">
        <v>24</v>
      </c>
      <c r="C147" s="121">
        <v>31</v>
      </c>
      <c r="D147" s="121">
        <v>2</v>
      </c>
      <c r="E147" s="121">
        <v>91097</v>
      </c>
    </row>
    <row r="148" spans="1:5" ht="15">
      <c r="A148" s="120" t="s">
        <v>30</v>
      </c>
      <c r="B148" s="121">
        <v>24</v>
      </c>
      <c r="C148" s="121">
        <v>31</v>
      </c>
      <c r="D148" s="121">
        <v>4</v>
      </c>
      <c r="E148" s="121">
        <v>15667</v>
      </c>
    </row>
    <row r="149" spans="1:5" ht="15">
      <c r="A149" s="120" t="s">
        <v>9</v>
      </c>
      <c r="B149" s="121">
        <v>21</v>
      </c>
      <c r="C149" s="121">
        <v>26</v>
      </c>
      <c r="D149" s="121">
        <v>3</v>
      </c>
      <c r="E149" s="121">
        <v>321610</v>
      </c>
    </row>
    <row r="150" spans="1:5" ht="15">
      <c r="A150" s="120" t="s">
        <v>9</v>
      </c>
      <c r="B150" s="121">
        <v>21</v>
      </c>
      <c r="C150" s="121">
        <v>26</v>
      </c>
      <c r="D150" s="121">
        <v>4</v>
      </c>
      <c r="E150" s="121">
        <v>114241</v>
      </c>
    </row>
    <row r="151" spans="1:5" ht="15">
      <c r="A151" s="120" t="s">
        <v>9</v>
      </c>
      <c r="B151" s="121">
        <v>21</v>
      </c>
      <c r="C151" s="121">
        <v>26</v>
      </c>
      <c r="D151" s="121">
        <v>7</v>
      </c>
      <c r="E151" s="121">
        <v>769869</v>
      </c>
    </row>
    <row r="152" spans="1:5" ht="15">
      <c r="A152" s="120" t="s">
        <v>9</v>
      </c>
      <c r="B152" s="121">
        <v>21</v>
      </c>
      <c r="C152" s="121">
        <v>27</v>
      </c>
      <c r="D152" s="121">
        <v>2</v>
      </c>
      <c r="E152" s="121">
        <v>197047</v>
      </c>
    </row>
    <row r="153" spans="1:5" ht="15">
      <c r="A153" s="120" t="s">
        <v>9</v>
      </c>
      <c r="B153" s="121">
        <v>21</v>
      </c>
      <c r="C153" s="121">
        <v>27</v>
      </c>
      <c r="D153" s="121">
        <v>3</v>
      </c>
      <c r="E153" s="121">
        <v>161750</v>
      </c>
    </row>
    <row r="154" spans="1:5" ht="15">
      <c r="A154" s="120" t="s">
        <v>9</v>
      </c>
      <c r="B154" s="121">
        <v>21</v>
      </c>
      <c r="C154" s="121">
        <v>27</v>
      </c>
      <c r="D154" s="121">
        <v>4</v>
      </c>
      <c r="E154" s="121">
        <v>180412</v>
      </c>
    </row>
    <row r="155" spans="1:5" ht="15">
      <c r="A155" s="120" t="s">
        <v>9</v>
      </c>
      <c r="B155" s="121">
        <v>21</v>
      </c>
      <c r="C155" s="121">
        <v>27</v>
      </c>
      <c r="D155" s="121">
        <v>5</v>
      </c>
      <c r="E155" s="121">
        <v>205000</v>
      </c>
    </row>
    <row r="156" spans="1:5" ht="15">
      <c r="A156" s="120" t="s">
        <v>9</v>
      </c>
      <c r="B156" s="121">
        <v>21</v>
      </c>
      <c r="C156" s="121">
        <v>27</v>
      </c>
      <c r="D156" s="121">
        <v>7</v>
      </c>
      <c r="E156" s="121">
        <v>884004</v>
      </c>
    </row>
    <row r="157" spans="1:5" ht="15">
      <c r="A157" s="120" t="s">
        <v>9</v>
      </c>
      <c r="B157" s="121">
        <v>21</v>
      </c>
      <c r="C157" s="121">
        <v>27</v>
      </c>
      <c r="D157" s="121">
        <v>8</v>
      </c>
      <c r="E157" s="121">
        <v>13530</v>
      </c>
    </row>
    <row r="158" spans="1:5" ht="15">
      <c r="A158" s="120" t="s">
        <v>9</v>
      </c>
      <c r="B158" s="121">
        <v>21</v>
      </c>
      <c r="C158" s="121">
        <v>32</v>
      </c>
      <c r="D158" s="121">
        <v>5</v>
      </c>
      <c r="E158" s="121">
        <v>25133</v>
      </c>
    </row>
    <row r="159" spans="1:5" ht="15">
      <c r="A159" s="120" t="s">
        <v>9</v>
      </c>
      <c r="B159" s="121">
        <v>24</v>
      </c>
      <c r="C159" s="121">
        <v>27</v>
      </c>
      <c r="D159" s="121">
        <v>7</v>
      </c>
      <c r="E159" s="121">
        <v>121214</v>
      </c>
    </row>
    <row r="160" spans="1:5" ht="15">
      <c r="A160" s="120" t="s">
        <v>22</v>
      </c>
      <c r="B160" s="121">
        <v>21</v>
      </c>
      <c r="C160" s="121">
        <v>21</v>
      </c>
      <c r="D160" s="121">
        <v>2</v>
      </c>
      <c r="E160" s="121">
        <v>597644</v>
      </c>
    </row>
    <row r="161" spans="1:5" ht="15">
      <c r="A161" s="120" t="s">
        <v>22</v>
      </c>
      <c r="B161" s="121">
        <v>21</v>
      </c>
      <c r="C161" s="121">
        <v>21</v>
      </c>
      <c r="D161" s="121">
        <v>3</v>
      </c>
      <c r="E161" s="121">
        <v>284559</v>
      </c>
    </row>
    <row r="162" spans="1:5" ht="15">
      <c r="A162" s="120" t="s">
        <v>22</v>
      </c>
      <c r="B162" s="121">
        <v>21</v>
      </c>
      <c r="C162" s="121">
        <v>21</v>
      </c>
      <c r="D162" s="121">
        <v>4</v>
      </c>
      <c r="E162" s="121">
        <v>228075</v>
      </c>
    </row>
    <row r="163" spans="1:5" ht="15">
      <c r="A163" s="120" t="s">
        <v>22</v>
      </c>
      <c r="B163" s="121">
        <v>21</v>
      </c>
      <c r="C163" s="121">
        <v>25</v>
      </c>
      <c r="D163" s="121">
        <v>3</v>
      </c>
      <c r="E163" s="121">
        <v>718559</v>
      </c>
    </row>
    <row r="164" spans="1:5" ht="15">
      <c r="A164" s="120" t="s">
        <v>22</v>
      </c>
      <c r="B164" s="121">
        <v>21</v>
      </c>
      <c r="C164" s="121">
        <v>25</v>
      </c>
      <c r="D164" s="121">
        <v>4</v>
      </c>
      <c r="E164" s="121">
        <v>451458</v>
      </c>
    </row>
    <row r="165" spans="1:5" ht="15">
      <c r="A165" s="120" t="s">
        <v>22</v>
      </c>
      <c r="B165" s="121">
        <v>21</v>
      </c>
      <c r="C165" s="121">
        <v>26</v>
      </c>
      <c r="D165" s="121">
        <v>2</v>
      </c>
      <c r="E165" s="121">
        <v>8664903</v>
      </c>
    </row>
    <row r="166" spans="1:5" ht="15">
      <c r="A166" s="120" t="s">
        <v>22</v>
      </c>
      <c r="B166" s="121">
        <v>21</v>
      </c>
      <c r="C166" s="121">
        <v>26</v>
      </c>
      <c r="D166" s="121">
        <v>3</v>
      </c>
      <c r="E166" s="121">
        <v>1331596</v>
      </c>
    </row>
    <row r="167" spans="1:5" ht="15">
      <c r="A167" s="120" t="s">
        <v>22</v>
      </c>
      <c r="B167" s="121">
        <v>21</v>
      </c>
      <c r="C167" s="121">
        <v>26</v>
      </c>
      <c r="D167" s="121">
        <v>4</v>
      </c>
      <c r="E167" s="121">
        <v>3279246</v>
      </c>
    </row>
    <row r="168" spans="1:5" ht="15">
      <c r="A168" s="120" t="s">
        <v>22</v>
      </c>
      <c r="B168" s="121">
        <v>21</v>
      </c>
      <c r="C168" s="121">
        <v>26</v>
      </c>
      <c r="D168" s="121">
        <v>5</v>
      </c>
      <c r="E168" s="121">
        <v>35030</v>
      </c>
    </row>
    <row r="169" spans="1:5" ht="15">
      <c r="A169" s="120" t="s">
        <v>22</v>
      </c>
      <c r="B169" s="121">
        <v>21</v>
      </c>
      <c r="C169" s="121">
        <v>26</v>
      </c>
      <c r="D169" s="121">
        <v>7</v>
      </c>
      <c r="E169" s="121">
        <v>807500</v>
      </c>
    </row>
    <row r="170" spans="1:5" ht="15">
      <c r="A170" s="120" t="s">
        <v>22</v>
      </c>
      <c r="B170" s="121">
        <v>21</v>
      </c>
      <c r="C170" s="121">
        <v>26</v>
      </c>
      <c r="D170" s="121">
        <v>8</v>
      </c>
      <c r="E170" s="121">
        <v>8000</v>
      </c>
    </row>
    <row r="171" spans="1:5" ht="15">
      <c r="A171" s="120" t="s">
        <v>22</v>
      </c>
      <c r="B171" s="121">
        <v>21</v>
      </c>
      <c r="C171" s="121">
        <v>27</v>
      </c>
      <c r="D171" s="121">
        <v>2</v>
      </c>
      <c r="E171" s="121">
        <v>12015052</v>
      </c>
    </row>
    <row r="172" spans="1:5" ht="15">
      <c r="A172" s="120" t="s">
        <v>22</v>
      </c>
      <c r="B172" s="121">
        <v>21</v>
      </c>
      <c r="C172" s="121">
        <v>27</v>
      </c>
      <c r="D172" s="121">
        <v>3</v>
      </c>
      <c r="E172" s="121">
        <v>8893738</v>
      </c>
    </row>
    <row r="173" spans="1:5" ht="15">
      <c r="A173" s="120" t="s">
        <v>22</v>
      </c>
      <c r="B173" s="121">
        <v>21</v>
      </c>
      <c r="C173" s="121">
        <v>27</v>
      </c>
      <c r="D173" s="121">
        <v>4</v>
      </c>
      <c r="E173" s="121">
        <v>9115332</v>
      </c>
    </row>
    <row r="174" spans="1:5" ht="15">
      <c r="A174" s="120" t="s">
        <v>22</v>
      </c>
      <c r="B174" s="121">
        <v>21</v>
      </c>
      <c r="C174" s="121">
        <v>27</v>
      </c>
      <c r="D174" s="121">
        <v>5</v>
      </c>
      <c r="E174" s="121">
        <v>41875</v>
      </c>
    </row>
    <row r="175" spans="1:5" ht="15">
      <c r="A175" s="120" t="s">
        <v>22</v>
      </c>
      <c r="B175" s="121">
        <v>21</v>
      </c>
      <c r="C175" s="121">
        <v>27</v>
      </c>
      <c r="D175" s="121">
        <v>7</v>
      </c>
      <c r="E175" s="121">
        <v>705700</v>
      </c>
    </row>
    <row r="176" spans="1:5" ht="15">
      <c r="A176" s="120" t="s">
        <v>22</v>
      </c>
      <c r="B176" s="121">
        <v>21</v>
      </c>
      <c r="C176" s="121">
        <v>27</v>
      </c>
      <c r="D176" s="121">
        <v>8</v>
      </c>
      <c r="E176" s="121">
        <v>8000</v>
      </c>
    </row>
    <row r="177" spans="1:5" ht="15">
      <c r="A177" s="120" t="s">
        <v>22</v>
      </c>
      <c r="B177" s="121">
        <v>21</v>
      </c>
      <c r="C177" s="121">
        <v>29</v>
      </c>
      <c r="D177" s="121">
        <v>7</v>
      </c>
      <c r="E177" s="121">
        <v>250000</v>
      </c>
    </row>
    <row r="178" spans="1:5" ht="15">
      <c r="A178" s="120" t="s">
        <v>22</v>
      </c>
      <c r="B178" s="121">
        <v>21</v>
      </c>
      <c r="C178" s="121">
        <v>31</v>
      </c>
      <c r="D178" s="121">
        <v>2</v>
      </c>
      <c r="E178" s="121">
        <v>2493180</v>
      </c>
    </row>
    <row r="179" spans="1:5" ht="15">
      <c r="A179" s="120" t="s">
        <v>22</v>
      </c>
      <c r="B179" s="121">
        <v>21</v>
      </c>
      <c r="C179" s="121">
        <v>31</v>
      </c>
      <c r="D179" s="121">
        <v>4</v>
      </c>
      <c r="E179" s="121">
        <v>399018</v>
      </c>
    </row>
    <row r="180" spans="1:5" ht="15">
      <c r="A180" s="120" t="s">
        <v>22</v>
      </c>
      <c r="B180" s="121">
        <v>21</v>
      </c>
      <c r="C180" s="121">
        <v>31</v>
      </c>
      <c r="D180" s="121">
        <v>7</v>
      </c>
      <c r="E180" s="121">
        <v>20600</v>
      </c>
    </row>
    <row r="181" spans="1:5" ht="15">
      <c r="A181" s="120" t="s">
        <v>22</v>
      </c>
      <c r="B181" s="121">
        <v>21</v>
      </c>
      <c r="C181" s="121">
        <v>31</v>
      </c>
      <c r="D181" s="121">
        <v>8</v>
      </c>
      <c r="E181" s="121">
        <v>12000</v>
      </c>
    </row>
    <row r="182" spans="1:5" ht="15">
      <c r="A182" s="120" t="s">
        <v>22</v>
      </c>
      <c r="B182" s="121">
        <v>21</v>
      </c>
      <c r="C182" s="121">
        <v>32</v>
      </c>
      <c r="D182" s="121">
        <v>5</v>
      </c>
      <c r="E182" s="121">
        <v>10000</v>
      </c>
    </row>
    <row r="183" spans="1:5" ht="15">
      <c r="A183" s="120" t="s">
        <v>22</v>
      </c>
      <c r="B183" s="121">
        <v>21</v>
      </c>
      <c r="C183" s="121">
        <v>33</v>
      </c>
      <c r="D183" s="121">
        <v>5</v>
      </c>
      <c r="E183" s="121">
        <v>53250</v>
      </c>
    </row>
    <row r="184" spans="1:5" ht="15">
      <c r="A184" s="120" t="s">
        <v>22</v>
      </c>
      <c r="B184" s="121">
        <v>21</v>
      </c>
      <c r="C184" s="121">
        <v>33</v>
      </c>
      <c r="D184" s="121">
        <v>7</v>
      </c>
      <c r="E184" s="121">
        <v>75000</v>
      </c>
    </row>
    <row r="185" spans="1:5" ht="15">
      <c r="A185" s="120" t="s">
        <v>22</v>
      </c>
      <c r="B185" s="121">
        <v>24</v>
      </c>
      <c r="C185" s="121">
        <v>21</v>
      </c>
      <c r="D185" s="121">
        <v>2</v>
      </c>
      <c r="E185" s="121">
        <v>661724</v>
      </c>
    </row>
    <row r="186" spans="1:5" ht="15">
      <c r="A186" s="120" t="s">
        <v>22</v>
      </c>
      <c r="B186" s="121">
        <v>24</v>
      </c>
      <c r="C186" s="121">
        <v>21</v>
      </c>
      <c r="D186" s="121">
        <v>4</v>
      </c>
      <c r="E186" s="121">
        <v>152308</v>
      </c>
    </row>
    <row r="187" spans="1:5" ht="15">
      <c r="A187" s="120" t="s">
        <v>22</v>
      </c>
      <c r="B187" s="121">
        <v>24</v>
      </c>
      <c r="C187" s="121">
        <v>26</v>
      </c>
      <c r="D187" s="121">
        <v>7</v>
      </c>
      <c r="E187" s="121">
        <v>527902</v>
      </c>
    </row>
    <row r="188" spans="1:5" ht="15">
      <c r="A188" s="120" t="s">
        <v>22</v>
      </c>
      <c r="B188" s="121">
        <v>24</v>
      </c>
      <c r="C188" s="121">
        <v>27</v>
      </c>
      <c r="D188" s="121">
        <v>2</v>
      </c>
      <c r="E188" s="121">
        <v>626018</v>
      </c>
    </row>
    <row r="189" spans="1:5" ht="15">
      <c r="A189" s="120" t="s">
        <v>22</v>
      </c>
      <c r="B189" s="121">
        <v>24</v>
      </c>
      <c r="C189" s="121">
        <v>27</v>
      </c>
      <c r="D189" s="121">
        <v>4</v>
      </c>
      <c r="E189" s="121">
        <v>193799</v>
      </c>
    </row>
    <row r="190" spans="1:5" ht="15">
      <c r="A190" s="120" t="s">
        <v>22</v>
      </c>
      <c r="B190" s="121">
        <v>24</v>
      </c>
      <c r="C190" s="121">
        <v>27</v>
      </c>
      <c r="D190" s="121">
        <v>5</v>
      </c>
      <c r="E190" s="121">
        <v>110101</v>
      </c>
    </row>
    <row r="191" spans="1:5" ht="15">
      <c r="A191" s="120" t="s">
        <v>22</v>
      </c>
      <c r="B191" s="121">
        <v>24</v>
      </c>
      <c r="C191" s="121">
        <v>29</v>
      </c>
      <c r="D191" s="121">
        <v>7</v>
      </c>
      <c r="E191" s="121">
        <v>1281828</v>
      </c>
    </row>
    <row r="192" spans="1:5" ht="15">
      <c r="A192" s="120" t="s">
        <v>22</v>
      </c>
      <c r="B192" s="121">
        <v>24</v>
      </c>
      <c r="C192" s="121">
        <v>31</v>
      </c>
      <c r="D192" s="121">
        <v>2</v>
      </c>
      <c r="E192" s="121">
        <v>78559</v>
      </c>
    </row>
    <row r="193" spans="1:5" ht="15">
      <c r="A193" s="120" t="s">
        <v>22</v>
      </c>
      <c r="B193" s="121">
        <v>24</v>
      </c>
      <c r="C193" s="121">
        <v>31</v>
      </c>
      <c r="D193" s="121">
        <v>4</v>
      </c>
      <c r="E193" s="121">
        <v>12526</v>
      </c>
    </row>
    <row r="194" spans="1:5" ht="15">
      <c r="A194" s="120" t="s">
        <v>22</v>
      </c>
      <c r="B194" s="121">
        <v>24</v>
      </c>
      <c r="C194" s="121">
        <v>31</v>
      </c>
      <c r="D194" s="121">
        <v>5</v>
      </c>
      <c r="E194" s="121">
        <v>17272</v>
      </c>
    </row>
    <row r="195" spans="1:5" ht="15">
      <c r="A195" s="120" t="s">
        <v>51</v>
      </c>
      <c r="B195" s="121">
        <v>21</v>
      </c>
      <c r="C195" s="121">
        <v>21</v>
      </c>
      <c r="D195" s="121">
        <v>3</v>
      </c>
      <c r="E195" s="121">
        <v>72899</v>
      </c>
    </row>
    <row r="196" spans="1:5" ht="15">
      <c r="A196" s="120" t="s">
        <v>51</v>
      </c>
      <c r="B196" s="121">
        <v>21</v>
      </c>
      <c r="C196" s="121">
        <v>21</v>
      </c>
      <c r="D196" s="121">
        <v>4</v>
      </c>
      <c r="E196" s="121">
        <v>29927</v>
      </c>
    </row>
    <row r="197" spans="1:5" ht="15">
      <c r="A197" s="120" t="s">
        <v>51</v>
      </c>
      <c r="B197" s="121">
        <v>21</v>
      </c>
      <c r="C197" s="121">
        <v>27</v>
      </c>
      <c r="D197" s="121">
        <v>2</v>
      </c>
      <c r="E197" s="121">
        <v>232552</v>
      </c>
    </row>
    <row r="198" spans="1:5" ht="15">
      <c r="A198" s="120" t="s">
        <v>51</v>
      </c>
      <c r="B198" s="121">
        <v>21</v>
      </c>
      <c r="C198" s="121">
        <v>27</v>
      </c>
      <c r="D198" s="121">
        <v>3</v>
      </c>
      <c r="E198" s="121">
        <v>215384</v>
      </c>
    </row>
    <row r="199" spans="1:5" ht="15">
      <c r="A199" s="120" t="s">
        <v>51</v>
      </c>
      <c r="B199" s="121">
        <v>21</v>
      </c>
      <c r="C199" s="121">
        <v>27</v>
      </c>
      <c r="D199" s="121">
        <v>4</v>
      </c>
      <c r="E199" s="121">
        <v>223965</v>
      </c>
    </row>
    <row r="200" spans="1:5" ht="15">
      <c r="A200" s="120" t="s">
        <v>51</v>
      </c>
      <c r="B200" s="121">
        <v>21</v>
      </c>
      <c r="C200" s="121">
        <v>27</v>
      </c>
      <c r="D200" s="121">
        <v>5</v>
      </c>
      <c r="E200" s="121">
        <v>156000</v>
      </c>
    </row>
    <row r="201" spans="1:5" ht="15">
      <c r="A201" s="120" t="s">
        <v>51</v>
      </c>
      <c r="B201" s="121">
        <v>21</v>
      </c>
      <c r="C201" s="121">
        <v>27</v>
      </c>
      <c r="D201" s="121">
        <v>7</v>
      </c>
      <c r="E201" s="121">
        <v>300000</v>
      </c>
    </row>
    <row r="202" spans="1:5" ht="15">
      <c r="A202" s="120" t="s">
        <v>51</v>
      </c>
      <c r="B202" s="121">
        <v>21</v>
      </c>
      <c r="C202" s="121">
        <v>31</v>
      </c>
      <c r="D202" s="121">
        <v>7</v>
      </c>
      <c r="E202" s="121">
        <v>12746</v>
      </c>
    </row>
    <row r="203" spans="1:5" ht="15">
      <c r="A203" s="120" t="s">
        <v>51</v>
      </c>
      <c r="B203" s="121">
        <v>21</v>
      </c>
      <c r="C203" s="121">
        <v>32</v>
      </c>
      <c r="D203" s="121">
        <v>7</v>
      </c>
      <c r="E203" s="121">
        <v>7500</v>
      </c>
    </row>
    <row r="204" spans="1:5" ht="15">
      <c r="A204" s="120" t="s">
        <v>22</v>
      </c>
      <c r="B204" s="121">
        <v>29</v>
      </c>
      <c r="C204" s="121">
        <v>27</v>
      </c>
      <c r="D204" s="121">
        <v>2</v>
      </c>
      <c r="E204" s="121">
        <v>13975</v>
      </c>
    </row>
    <row r="205" spans="1:5" ht="15">
      <c r="A205" s="120" t="s">
        <v>22</v>
      </c>
      <c r="B205" s="121">
        <v>29</v>
      </c>
      <c r="C205" s="121">
        <v>27</v>
      </c>
      <c r="D205" s="121">
        <v>4</v>
      </c>
      <c r="E205" s="121">
        <v>7832</v>
      </c>
    </row>
    <row r="206" spans="1:5" ht="15">
      <c r="A206" s="120" t="s">
        <v>22</v>
      </c>
      <c r="B206" s="121">
        <v>29</v>
      </c>
      <c r="C206" s="121">
        <v>31</v>
      </c>
      <c r="D206" s="121">
        <v>2</v>
      </c>
      <c r="E206" s="121">
        <v>1826</v>
      </c>
    </row>
    <row r="207" spans="1:5" ht="15">
      <c r="A207" s="120" t="s">
        <v>22</v>
      </c>
      <c r="B207" s="121">
        <v>29</v>
      </c>
      <c r="C207" s="121">
        <v>31</v>
      </c>
      <c r="D207" s="121">
        <v>4</v>
      </c>
      <c r="E207" s="121">
        <v>294</v>
      </c>
    </row>
    <row r="208" spans="1:5" ht="15">
      <c r="A208" s="120" t="s">
        <v>51</v>
      </c>
      <c r="B208" s="121">
        <v>24</v>
      </c>
      <c r="C208" s="121">
        <v>27</v>
      </c>
      <c r="D208" s="121">
        <v>2</v>
      </c>
      <c r="E208" s="121">
        <v>5488</v>
      </c>
    </row>
    <row r="209" spans="1:5" ht="15">
      <c r="A209" s="120" t="s">
        <v>51</v>
      </c>
      <c r="B209" s="121">
        <v>24</v>
      </c>
      <c r="C209" s="121">
        <v>27</v>
      </c>
      <c r="D209" s="121">
        <v>3</v>
      </c>
      <c r="E209" s="121">
        <v>104372</v>
      </c>
    </row>
    <row r="210" spans="1:5" ht="15">
      <c r="A210" s="120" t="s">
        <v>51</v>
      </c>
      <c r="B210" s="121">
        <v>24</v>
      </c>
      <c r="C210" s="121">
        <v>27</v>
      </c>
      <c r="D210" s="121">
        <v>4</v>
      </c>
      <c r="E210" s="121">
        <v>75332</v>
      </c>
    </row>
    <row r="211" spans="1:5" ht="15">
      <c r="A211" s="120" t="s">
        <v>32</v>
      </c>
      <c r="B211" s="121">
        <v>21</v>
      </c>
      <c r="C211" s="121">
        <v>21</v>
      </c>
      <c r="D211" s="121">
        <v>0</v>
      </c>
      <c r="E211" s="121">
        <v>1500</v>
      </c>
    </row>
    <row r="212" spans="1:5" ht="15">
      <c r="A212" s="120" t="s">
        <v>32</v>
      </c>
      <c r="B212" s="121">
        <v>21</v>
      </c>
      <c r="C212" s="121">
        <v>21</v>
      </c>
      <c r="D212" s="121">
        <v>2</v>
      </c>
      <c r="E212" s="121">
        <v>371041</v>
      </c>
    </row>
    <row r="213" spans="1:5" ht="15">
      <c r="A213" s="120" t="s">
        <v>32</v>
      </c>
      <c r="B213" s="121">
        <v>21</v>
      </c>
      <c r="C213" s="121">
        <v>21</v>
      </c>
      <c r="D213" s="121">
        <v>3</v>
      </c>
      <c r="E213" s="121">
        <v>342232</v>
      </c>
    </row>
    <row r="214" spans="1:5" ht="15">
      <c r="A214" s="120" t="s">
        <v>32</v>
      </c>
      <c r="B214" s="121">
        <v>21</v>
      </c>
      <c r="C214" s="121">
        <v>21</v>
      </c>
      <c r="D214" s="121">
        <v>4</v>
      </c>
      <c r="E214" s="121">
        <v>219867</v>
      </c>
    </row>
    <row r="215" spans="1:5" ht="15">
      <c r="A215" s="120" t="s">
        <v>32</v>
      </c>
      <c r="B215" s="121">
        <v>21</v>
      </c>
      <c r="C215" s="121">
        <v>21</v>
      </c>
      <c r="D215" s="121">
        <v>5</v>
      </c>
      <c r="E215" s="121">
        <v>7800</v>
      </c>
    </row>
    <row r="216" spans="1:5" ht="15">
      <c r="A216" s="120" t="s">
        <v>32</v>
      </c>
      <c r="B216" s="121">
        <v>21</v>
      </c>
      <c r="C216" s="121">
        <v>21</v>
      </c>
      <c r="D216" s="121">
        <v>7</v>
      </c>
      <c r="E216" s="121">
        <v>432343</v>
      </c>
    </row>
    <row r="217" spans="1:5" ht="15">
      <c r="A217" s="120" t="s">
        <v>32</v>
      </c>
      <c r="B217" s="121">
        <v>21</v>
      </c>
      <c r="C217" s="121">
        <v>26</v>
      </c>
      <c r="D217" s="121">
        <v>2</v>
      </c>
      <c r="E217" s="121">
        <v>5344357</v>
      </c>
    </row>
    <row r="218" spans="1:5" ht="15">
      <c r="A218" s="120" t="s">
        <v>32</v>
      </c>
      <c r="B218" s="121">
        <v>21</v>
      </c>
      <c r="C218" s="121">
        <v>26</v>
      </c>
      <c r="D218" s="121">
        <v>3</v>
      </c>
      <c r="E218" s="121">
        <v>148282</v>
      </c>
    </row>
    <row r="219" spans="1:5" ht="15">
      <c r="A219" s="120" t="s">
        <v>32</v>
      </c>
      <c r="B219" s="121">
        <v>21</v>
      </c>
      <c r="C219" s="121">
        <v>26</v>
      </c>
      <c r="D219" s="121">
        <v>4</v>
      </c>
      <c r="E219" s="121">
        <v>1710167</v>
      </c>
    </row>
    <row r="220" spans="1:5" ht="15">
      <c r="A220" s="120" t="s">
        <v>32</v>
      </c>
      <c r="B220" s="121">
        <v>21</v>
      </c>
      <c r="C220" s="121">
        <v>26</v>
      </c>
      <c r="D220" s="121">
        <v>5</v>
      </c>
      <c r="E220" s="121">
        <v>37250</v>
      </c>
    </row>
    <row r="221" spans="1:5" ht="15">
      <c r="A221" s="120" t="s">
        <v>32</v>
      </c>
      <c r="B221" s="121">
        <v>21</v>
      </c>
      <c r="C221" s="121">
        <v>26</v>
      </c>
      <c r="D221" s="121">
        <v>7</v>
      </c>
      <c r="E221" s="121">
        <v>16000</v>
      </c>
    </row>
    <row r="222" spans="1:5" ht="15">
      <c r="A222" s="120" t="s">
        <v>32</v>
      </c>
      <c r="B222" s="121">
        <v>21</v>
      </c>
      <c r="C222" s="121">
        <v>26</v>
      </c>
      <c r="D222" s="121">
        <v>8</v>
      </c>
      <c r="E222" s="121">
        <v>2000</v>
      </c>
    </row>
    <row r="223" spans="1:5" ht="15">
      <c r="A223" s="120" t="s">
        <v>32</v>
      </c>
      <c r="B223" s="121">
        <v>21</v>
      </c>
      <c r="C223" s="121">
        <v>27</v>
      </c>
      <c r="D223" s="121">
        <v>2</v>
      </c>
      <c r="E223" s="121">
        <v>10024577</v>
      </c>
    </row>
    <row r="224" spans="1:5" ht="15">
      <c r="A224" s="120" t="s">
        <v>32</v>
      </c>
      <c r="B224" s="121">
        <v>21</v>
      </c>
      <c r="C224" s="121">
        <v>27</v>
      </c>
      <c r="D224" s="121">
        <v>3</v>
      </c>
      <c r="E224" s="121">
        <v>8686934</v>
      </c>
    </row>
    <row r="225" spans="1:5" ht="15">
      <c r="A225" s="120" t="s">
        <v>32</v>
      </c>
      <c r="B225" s="121">
        <v>21</v>
      </c>
      <c r="C225" s="121">
        <v>27</v>
      </c>
      <c r="D225" s="121">
        <v>4</v>
      </c>
      <c r="E225" s="121">
        <v>8008653</v>
      </c>
    </row>
    <row r="226" spans="1:5" ht="15">
      <c r="A226" s="120" t="s">
        <v>32</v>
      </c>
      <c r="B226" s="121">
        <v>21</v>
      </c>
      <c r="C226" s="121">
        <v>27</v>
      </c>
      <c r="D226" s="121">
        <v>5</v>
      </c>
      <c r="E226" s="121">
        <v>23463</v>
      </c>
    </row>
    <row r="227" spans="1:5" ht="15">
      <c r="A227" s="120" t="s">
        <v>32</v>
      </c>
      <c r="B227" s="121">
        <v>21</v>
      </c>
      <c r="C227" s="121">
        <v>27</v>
      </c>
      <c r="D227" s="121">
        <v>7</v>
      </c>
      <c r="E227" s="121">
        <v>976900</v>
      </c>
    </row>
    <row r="228" spans="1:5" ht="15">
      <c r="A228" s="120" t="s">
        <v>32</v>
      </c>
      <c r="B228" s="121">
        <v>21</v>
      </c>
      <c r="C228" s="121">
        <v>27</v>
      </c>
      <c r="D228" s="121">
        <v>8</v>
      </c>
      <c r="E228" s="121">
        <v>1400</v>
      </c>
    </row>
    <row r="229" spans="1:5" ht="15">
      <c r="A229" s="120" t="s">
        <v>32</v>
      </c>
      <c r="B229" s="121">
        <v>21</v>
      </c>
      <c r="C229" s="121">
        <v>31</v>
      </c>
      <c r="D229" s="121">
        <v>2</v>
      </c>
      <c r="E229" s="121">
        <v>41607</v>
      </c>
    </row>
    <row r="230" spans="1:5" ht="15">
      <c r="A230" s="120" t="s">
        <v>32</v>
      </c>
      <c r="B230" s="121">
        <v>21</v>
      </c>
      <c r="C230" s="121">
        <v>31</v>
      </c>
      <c r="D230" s="121">
        <v>4</v>
      </c>
      <c r="E230" s="121">
        <v>7822</v>
      </c>
    </row>
    <row r="231" spans="1:5" ht="15">
      <c r="A231" s="120" t="s">
        <v>32</v>
      </c>
      <c r="B231" s="121">
        <v>21</v>
      </c>
      <c r="C231" s="121">
        <v>31</v>
      </c>
      <c r="D231" s="121">
        <v>7</v>
      </c>
      <c r="E231" s="121">
        <v>108000</v>
      </c>
    </row>
    <row r="232" spans="1:5" ht="15">
      <c r="A232" s="120" t="s">
        <v>32</v>
      </c>
      <c r="B232" s="121">
        <v>21</v>
      </c>
      <c r="C232" s="121">
        <v>31</v>
      </c>
      <c r="D232" s="121">
        <v>8</v>
      </c>
      <c r="E232" s="121">
        <v>1000</v>
      </c>
    </row>
    <row r="233" spans="1:5" ht="15">
      <c r="A233" s="120" t="s">
        <v>32</v>
      </c>
      <c r="B233" s="121">
        <v>24</v>
      </c>
      <c r="C233" s="121">
        <v>27</v>
      </c>
      <c r="D233" s="121">
        <v>2</v>
      </c>
      <c r="E233" s="121">
        <v>1971580</v>
      </c>
    </row>
    <row r="234" spans="1:5" ht="15">
      <c r="A234" s="120" t="s">
        <v>32</v>
      </c>
      <c r="B234" s="121">
        <v>24</v>
      </c>
      <c r="C234" s="121">
        <v>27</v>
      </c>
      <c r="D234" s="121">
        <v>4</v>
      </c>
      <c r="E234" s="121">
        <v>621810</v>
      </c>
    </row>
    <row r="235" spans="1:5" ht="15">
      <c r="A235" s="120" t="s">
        <v>32</v>
      </c>
      <c r="B235" s="121">
        <v>24</v>
      </c>
      <c r="C235" s="121">
        <v>27</v>
      </c>
      <c r="D235" s="121">
        <v>5</v>
      </c>
      <c r="E235" s="121">
        <v>-89346</v>
      </c>
    </row>
    <row r="236" spans="1:5" ht="15">
      <c r="A236" s="120" t="s">
        <v>53</v>
      </c>
      <c r="B236" s="121">
        <v>21</v>
      </c>
      <c r="C236" s="121">
        <v>21</v>
      </c>
      <c r="D236" s="121">
        <v>2</v>
      </c>
      <c r="E236" s="121">
        <v>14520</v>
      </c>
    </row>
    <row r="237" spans="1:5" ht="15">
      <c r="A237" s="120" t="s">
        <v>53</v>
      </c>
      <c r="B237" s="121">
        <v>21</v>
      </c>
      <c r="C237" s="121">
        <v>21</v>
      </c>
      <c r="D237" s="121">
        <v>4</v>
      </c>
      <c r="E237" s="121">
        <v>3867</v>
      </c>
    </row>
    <row r="238" spans="1:5" ht="15">
      <c r="A238" s="120" t="s">
        <v>53</v>
      </c>
      <c r="B238" s="121">
        <v>21</v>
      </c>
      <c r="C238" s="121">
        <v>25</v>
      </c>
      <c r="D238" s="121">
        <v>3</v>
      </c>
      <c r="E238" s="121">
        <v>7772</v>
      </c>
    </row>
    <row r="239" spans="1:5" ht="15">
      <c r="A239" s="120" t="s">
        <v>53</v>
      </c>
      <c r="B239" s="121">
        <v>21</v>
      </c>
      <c r="C239" s="121">
        <v>25</v>
      </c>
      <c r="D239" s="121">
        <v>4</v>
      </c>
      <c r="E239" s="121">
        <v>7952</v>
      </c>
    </row>
    <row r="240" spans="1:5" ht="15">
      <c r="A240" s="120" t="s">
        <v>45</v>
      </c>
      <c r="B240" s="121">
        <v>21</v>
      </c>
      <c r="C240" s="121">
        <v>21</v>
      </c>
      <c r="D240" s="121">
        <v>2</v>
      </c>
      <c r="E240" s="121">
        <v>366416</v>
      </c>
    </row>
    <row r="241" spans="1:5" ht="15">
      <c r="A241" s="120" t="s">
        <v>45</v>
      </c>
      <c r="B241" s="121">
        <v>21</v>
      </c>
      <c r="C241" s="121">
        <v>21</v>
      </c>
      <c r="D241" s="121">
        <v>3</v>
      </c>
      <c r="E241" s="121">
        <v>191022</v>
      </c>
    </row>
    <row r="242" spans="1:5" ht="15">
      <c r="A242" s="120" t="s">
        <v>45</v>
      </c>
      <c r="B242" s="121">
        <v>21</v>
      </c>
      <c r="C242" s="121">
        <v>21</v>
      </c>
      <c r="D242" s="121">
        <v>4</v>
      </c>
      <c r="E242" s="121">
        <v>165320</v>
      </c>
    </row>
    <row r="243" spans="1:5" ht="15">
      <c r="A243" s="120" t="s">
        <v>45</v>
      </c>
      <c r="B243" s="121">
        <v>21</v>
      </c>
      <c r="C243" s="121">
        <v>21</v>
      </c>
      <c r="D243" s="121">
        <v>5</v>
      </c>
      <c r="E243" s="121">
        <v>1500</v>
      </c>
    </row>
    <row r="244" spans="1:5" ht="15">
      <c r="A244" s="120" t="s">
        <v>45</v>
      </c>
      <c r="B244" s="121">
        <v>21</v>
      </c>
      <c r="C244" s="121">
        <v>21</v>
      </c>
      <c r="D244" s="121">
        <v>7</v>
      </c>
      <c r="E244" s="121">
        <v>30200</v>
      </c>
    </row>
    <row r="245" spans="1:5" ht="15">
      <c r="A245" s="120" t="s">
        <v>45</v>
      </c>
      <c r="B245" s="121">
        <v>21</v>
      </c>
      <c r="C245" s="121">
        <v>21</v>
      </c>
      <c r="D245" s="121">
        <v>8</v>
      </c>
      <c r="E245" s="121">
        <v>750</v>
      </c>
    </row>
    <row r="246" spans="1:5" ht="15">
      <c r="A246" s="120" t="s">
        <v>45</v>
      </c>
      <c r="B246" s="121">
        <v>21</v>
      </c>
      <c r="C246" s="121">
        <v>25</v>
      </c>
      <c r="D246" s="121">
        <v>3</v>
      </c>
      <c r="E246" s="121">
        <v>153031</v>
      </c>
    </row>
    <row r="247" spans="1:5" ht="15">
      <c r="A247" s="120" t="s">
        <v>45</v>
      </c>
      <c r="B247" s="121">
        <v>21</v>
      </c>
      <c r="C247" s="121">
        <v>25</v>
      </c>
      <c r="D247" s="121">
        <v>4</v>
      </c>
      <c r="E247" s="121">
        <v>91073</v>
      </c>
    </row>
    <row r="248" spans="1:5" ht="15">
      <c r="A248" s="120" t="s">
        <v>45</v>
      </c>
      <c r="B248" s="121">
        <v>21</v>
      </c>
      <c r="C248" s="121">
        <v>26</v>
      </c>
      <c r="D248" s="121">
        <v>2</v>
      </c>
      <c r="E248" s="121">
        <v>2235251</v>
      </c>
    </row>
    <row r="249" spans="1:5" ht="15">
      <c r="A249" s="120" t="s">
        <v>45</v>
      </c>
      <c r="B249" s="121">
        <v>21</v>
      </c>
      <c r="C249" s="121">
        <v>26</v>
      </c>
      <c r="D249" s="121">
        <v>3</v>
      </c>
      <c r="E249" s="121">
        <v>177766</v>
      </c>
    </row>
    <row r="250" spans="1:5" ht="15">
      <c r="A250" s="120" t="s">
        <v>45</v>
      </c>
      <c r="B250" s="121">
        <v>21</v>
      </c>
      <c r="C250" s="121">
        <v>26</v>
      </c>
      <c r="D250" s="121">
        <v>4</v>
      </c>
      <c r="E250" s="121">
        <v>765928</v>
      </c>
    </row>
    <row r="251" spans="1:5" ht="15">
      <c r="A251" s="120" t="s">
        <v>45</v>
      </c>
      <c r="B251" s="121">
        <v>21</v>
      </c>
      <c r="C251" s="121">
        <v>26</v>
      </c>
      <c r="D251" s="121">
        <v>5</v>
      </c>
      <c r="E251" s="121">
        <v>20000</v>
      </c>
    </row>
    <row r="252" spans="1:5" ht="15">
      <c r="A252" s="120" t="s">
        <v>45</v>
      </c>
      <c r="B252" s="121">
        <v>21</v>
      </c>
      <c r="C252" s="121">
        <v>26</v>
      </c>
      <c r="D252" s="121">
        <v>7</v>
      </c>
      <c r="E252" s="121">
        <v>1371830</v>
      </c>
    </row>
    <row r="253" spans="1:5" ht="15">
      <c r="A253" s="120" t="s">
        <v>45</v>
      </c>
      <c r="B253" s="121">
        <v>21</v>
      </c>
      <c r="C253" s="121">
        <v>27</v>
      </c>
      <c r="D253" s="121">
        <v>2</v>
      </c>
      <c r="E253" s="121">
        <v>3984658</v>
      </c>
    </row>
    <row r="254" spans="1:5" ht="15">
      <c r="A254" s="120" t="s">
        <v>45</v>
      </c>
      <c r="B254" s="121">
        <v>21</v>
      </c>
      <c r="C254" s="121">
        <v>27</v>
      </c>
      <c r="D254" s="121">
        <v>3</v>
      </c>
      <c r="E254" s="121">
        <v>3233125</v>
      </c>
    </row>
    <row r="255" spans="1:5" ht="15">
      <c r="A255" s="120" t="s">
        <v>45</v>
      </c>
      <c r="B255" s="121">
        <v>21</v>
      </c>
      <c r="C255" s="121">
        <v>27</v>
      </c>
      <c r="D255" s="121">
        <v>4</v>
      </c>
      <c r="E255" s="121">
        <v>3169573</v>
      </c>
    </row>
    <row r="256" spans="1:5" ht="15">
      <c r="A256" s="120" t="s">
        <v>45</v>
      </c>
      <c r="B256" s="121">
        <v>21</v>
      </c>
      <c r="C256" s="121">
        <v>27</v>
      </c>
      <c r="D256" s="121">
        <v>5</v>
      </c>
      <c r="E256" s="121">
        <v>60000</v>
      </c>
    </row>
    <row r="257" spans="1:5" ht="15">
      <c r="A257" s="120" t="s">
        <v>45</v>
      </c>
      <c r="B257" s="121">
        <v>21</v>
      </c>
      <c r="C257" s="121">
        <v>27</v>
      </c>
      <c r="D257" s="121">
        <v>7</v>
      </c>
      <c r="E257" s="121">
        <v>2346000</v>
      </c>
    </row>
    <row r="258" spans="1:5" ht="15">
      <c r="A258" s="120" t="s">
        <v>45</v>
      </c>
      <c r="B258" s="121">
        <v>21</v>
      </c>
      <c r="C258" s="121">
        <v>31</v>
      </c>
      <c r="D258" s="121">
        <v>2</v>
      </c>
      <c r="E258" s="121">
        <v>102299</v>
      </c>
    </row>
    <row r="259" spans="1:5" ht="15">
      <c r="A259" s="120" t="s">
        <v>45</v>
      </c>
      <c r="B259" s="121">
        <v>21</v>
      </c>
      <c r="C259" s="121">
        <v>31</v>
      </c>
      <c r="D259" s="121">
        <v>4</v>
      </c>
      <c r="E259" s="121">
        <v>16417</v>
      </c>
    </row>
    <row r="260" spans="1:5" ht="15">
      <c r="A260" s="120" t="s">
        <v>45</v>
      </c>
      <c r="B260" s="121">
        <v>21</v>
      </c>
      <c r="C260" s="121">
        <v>34</v>
      </c>
      <c r="D260" s="121">
        <v>2</v>
      </c>
      <c r="E260" s="121">
        <v>97524</v>
      </c>
    </row>
    <row r="261" spans="1:5" ht="15">
      <c r="A261" s="120" t="s">
        <v>45</v>
      </c>
      <c r="B261" s="121">
        <v>21</v>
      </c>
      <c r="C261" s="121">
        <v>34</v>
      </c>
      <c r="D261" s="121">
        <v>4</v>
      </c>
      <c r="E261" s="121">
        <v>15645</v>
      </c>
    </row>
    <row r="262" spans="1:5" ht="15">
      <c r="A262" s="120" t="s">
        <v>53</v>
      </c>
      <c r="B262" s="121">
        <v>21</v>
      </c>
      <c r="C262" s="121">
        <v>26</v>
      </c>
      <c r="D262" s="121">
        <v>3</v>
      </c>
      <c r="E262" s="121">
        <v>19108</v>
      </c>
    </row>
    <row r="263" spans="1:5" ht="15">
      <c r="A263" s="120" t="s">
        <v>53</v>
      </c>
      <c r="B263" s="121">
        <v>21</v>
      </c>
      <c r="C263" s="121">
        <v>26</v>
      </c>
      <c r="D263" s="121">
        <v>4</v>
      </c>
      <c r="E263" s="121">
        <v>3962</v>
      </c>
    </row>
    <row r="264" spans="1:5" ht="15">
      <c r="A264" s="120" t="s">
        <v>53</v>
      </c>
      <c r="B264" s="121">
        <v>21</v>
      </c>
      <c r="C264" s="121">
        <v>26</v>
      </c>
      <c r="D264" s="121">
        <v>5</v>
      </c>
      <c r="E264" s="121">
        <v>155</v>
      </c>
    </row>
    <row r="265" spans="1:5" ht="15">
      <c r="A265" s="120" t="s">
        <v>53</v>
      </c>
      <c r="B265" s="121">
        <v>21</v>
      </c>
      <c r="C265" s="121">
        <v>26</v>
      </c>
      <c r="D265" s="121">
        <v>7</v>
      </c>
      <c r="E265" s="121">
        <v>22641</v>
      </c>
    </row>
    <row r="266" spans="1:5" ht="15">
      <c r="A266" s="120" t="s">
        <v>53</v>
      </c>
      <c r="B266" s="121">
        <v>21</v>
      </c>
      <c r="C266" s="121">
        <v>27</v>
      </c>
      <c r="D266" s="121">
        <v>2</v>
      </c>
      <c r="E266" s="121">
        <v>37940</v>
      </c>
    </row>
    <row r="267" spans="1:5" ht="15">
      <c r="A267" s="120" t="s">
        <v>53</v>
      </c>
      <c r="B267" s="121">
        <v>21</v>
      </c>
      <c r="C267" s="121">
        <v>27</v>
      </c>
      <c r="D267" s="121">
        <v>3</v>
      </c>
      <c r="E267" s="121">
        <v>24068</v>
      </c>
    </row>
    <row r="268" spans="1:5" ht="15">
      <c r="A268" s="120" t="s">
        <v>53</v>
      </c>
      <c r="B268" s="121">
        <v>21</v>
      </c>
      <c r="C268" s="121">
        <v>27</v>
      </c>
      <c r="D268" s="121">
        <v>4</v>
      </c>
      <c r="E268" s="121">
        <v>44965</v>
      </c>
    </row>
    <row r="269" spans="1:5" ht="15">
      <c r="A269" s="120" t="s">
        <v>53</v>
      </c>
      <c r="B269" s="121">
        <v>21</v>
      </c>
      <c r="C269" s="121">
        <v>27</v>
      </c>
      <c r="D269" s="121">
        <v>5</v>
      </c>
      <c r="E269" s="121">
        <v>2190</v>
      </c>
    </row>
    <row r="270" spans="1:5" ht="15">
      <c r="A270" s="120" t="s">
        <v>53</v>
      </c>
      <c r="B270" s="121">
        <v>21</v>
      </c>
      <c r="C270" s="121">
        <v>31</v>
      </c>
      <c r="D270" s="121">
        <v>3</v>
      </c>
      <c r="E270" s="121">
        <v>760</v>
      </c>
    </row>
    <row r="271" spans="1:5" ht="15">
      <c r="A271" s="120" t="s">
        <v>53</v>
      </c>
      <c r="B271" s="121">
        <v>21</v>
      </c>
      <c r="C271" s="121">
        <v>31</v>
      </c>
      <c r="D271" s="121">
        <v>4</v>
      </c>
      <c r="E271" s="121">
        <v>125</v>
      </c>
    </row>
    <row r="272" spans="1:5" ht="15">
      <c r="A272" s="120" t="s">
        <v>53</v>
      </c>
      <c r="B272" s="121">
        <v>21</v>
      </c>
      <c r="C272" s="121">
        <v>31</v>
      </c>
      <c r="D272" s="121">
        <v>5</v>
      </c>
      <c r="E272" s="121">
        <v>265</v>
      </c>
    </row>
    <row r="273" spans="1:5" ht="15">
      <c r="A273" s="120" t="s">
        <v>53</v>
      </c>
      <c r="B273" s="121">
        <v>21</v>
      </c>
      <c r="C273" s="121">
        <v>34</v>
      </c>
      <c r="D273" s="121">
        <v>2</v>
      </c>
      <c r="E273" s="121">
        <v>1250</v>
      </c>
    </row>
    <row r="274" spans="1:5" ht="15">
      <c r="A274" s="120" t="s">
        <v>53</v>
      </c>
      <c r="B274" s="121">
        <v>21</v>
      </c>
      <c r="C274" s="121">
        <v>34</v>
      </c>
      <c r="D274" s="121">
        <v>4</v>
      </c>
      <c r="E274" s="121">
        <v>455</v>
      </c>
    </row>
    <row r="275" spans="1:5" ht="15">
      <c r="A275" s="120" t="s">
        <v>45</v>
      </c>
      <c r="B275" s="121">
        <v>24</v>
      </c>
      <c r="C275" s="121">
        <v>27</v>
      </c>
      <c r="D275" s="121">
        <v>2</v>
      </c>
      <c r="E275" s="121">
        <v>1004796</v>
      </c>
    </row>
    <row r="276" spans="1:5" ht="15">
      <c r="A276" s="120" t="s">
        <v>45</v>
      </c>
      <c r="B276" s="121">
        <v>24</v>
      </c>
      <c r="C276" s="121">
        <v>27</v>
      </c>
      <c r="D276" s="121">
        <v>4</v>
      </c>
      <c r="E276" s="121">
        <v>314975</v>
      </c>
    </row>
    <row r="277" spans="1:5" ht="15">
      <c r="A277" s="120" t="s">
        <v>45</v>
      </c>
      <c r="B277" s="121">
        <v>24</v>
      </c>
      <c r="C277" s="121">
        <v>31</v>
      </c>
      <c r="D277" s="121">
        <v>2</v>
      </c>
      <c r="E277" s="121">
        <v>32860</v>
      </c>
    </row>
    <row r="278" spans="1:5" ht="15">
      <c r="A278" s="120" t="s">
        <v>45</v>
      </c>
      <c r="B278" s="121">
        <v>24</v>
      </c>
      <c r="C278" s="121">
        <v>31</v>
      </c>
      <c r="D278" s="121">
        <v>4</v>
      </c>
      <c r="E278" s="121">
        <v>5283</v>
      </c>
    </row>
    <row r="279" spans="1:5" ht="15">
      <c r="A279" s="120" t="s">
        <v>53</v>
      </c>
      <c r="B279" s="121">
        <v>24</v>
      </c>
      <c r="C279" s="121">
        <v>26</v>
      </c>
      <c r="D279" s="121">
        <v>7</v>
      </c>
      <c r="E279" s="121">
        <v>20431</v>
      </c>
    </row>
    <row r="280" spans="1:5" ht="15">
      <c r="A280" s="120" t="s">
        <v>11</v>
      </c>
      <c r="B280" s="121">
        <v>21</v>
      </c>
      <c r="C280" s="121">
        <v>21</v>
      </c>
      <c r="D280" s="121">
        <v>2</v>
      </c>
      <c r="E280" s="121">
        <v>11562</v>
      </c>
    </row>
    <row r="281" spans="1:5" ht="15">
      <c r="A281" s="120" t="s">
        <v>11</v>
      </c>
      <c r="B281" s="121">
        <v>21</v>
      </c>
      <c r="C281" s="121">
        <v>21</v>
      </c>
      <c r="D281" s="121">
        <v>4</v>
      </c>
      <c r="E281" s="121">
        <v>3401</v>
      </c>
    </row>
    <row r="282" spans="1:5" ht="15">
      <c r="A282" s="120" t="s">
        <v>11</v>
      </c>
      <c r="B282" s="121">
        <v>21</v>
      </c>
      <c r="C282" s="121">
        <v>26</v>
      </c>
      <c r="D282" s="121">
        <v>7</v>
      </c>
      <c r="E282" s="121">
        <v>10700</v>
      </c>
    </row>
    <row r="283" spans="1:5" ht="15">
      <c r="A283" s="120" t="s">
        <v>11</v>
      </c>
      <c r="B283" s="121">
        <v>21</v>
      </c>
      <c r="C283" s="121">
        <v>26</v>
      </c>
      <c r="D283" s="121">
        <v>8</v>
      </c>
      <c r="E283" s="121">
        <v>500</v>
      </c>
    </row>
    <row r="284" spans="1:5" ht="15">
      <c r="A284" s="120" t="s">
        <v>11</v>
      </c>
      <c r="B284" s="121">
        <v>21</v>
      </c>
      <c r="C284" s="121">
        <v>27</v>
      </c>
      <c r="D284" s="121">
        <v>2</v>
      </c>
      <c r="E284" s="121">
        <v>62714</v>
      </c>
    </row>
    <row r="285" spans="1:5" ht="15">
      <c r="A285" s="120" t="s">
        <v>11</v>
      </c>
      <c r="B285" s="121">
        <v>21</v>
      </c>
      <c r="C285" s="121">
        <v>27</v>
      </c>
      <c r="D285" s="121">
        <v>3</v>
      </c>
      <c r="E285" s="121">
        <v>17833</v>
      </c>
    </row>
    <row r="286" spans="1:5" ht="15">
      <c r="A286" s="120" t="s">
        <v>11</v>
      </c>
      <c r="B286" s="121">
        <v>21</v>
      </c>
      <c r="C286" s="121">
        <v>27</v>
      </c>
      <c r="D286" s="121">
        <v>4</v>
      </c>
      <c r="E286" s="121">
        <v>40222</v>
      </c>
    </row>
    <row r="287" spans="1:5" ht="15">
      <c r="A287" s="120" t="s">
        <v>11</v>
      </c>
      <c r="B287" s="121">
        <v>21</v>
      </c>
      <c r="C287" s="121">
        <v>27</v>
      </c>
      <c r="D287" s="121">
        <v>5</v>
      </c>
      <c r="E287" s="121">
        <v>10000</v>
      </c>
    </row>
    <row r="288" spans="1:5" ht="15">
      <c r="A288" s="120" t="s">
        <v>11</v>
      </c>
      <c r="B288" s="121">
        <v>21</v>
      </c>
      <c r="C288" s="121">
        <v>27</v>
      </c>
      <c r="D288" s="121">
        <v>7</v>
      </c>
      <c r="E288" s="121">
        <v>2500</v>
      </c>
    </row>
    <row r="289" spans="1:5" ht="15">
      <c r="A289" s="120" t="s">
        <v>11</v>
      </c>
      <c r="B289" s="121">
        <v>21</v>
      </c>
      <c r="C289" s="121">
        <v>29</v>
      </c>
      <c r="D289" s="121">
        <v>7</v>
      </c>
      <c r="E289" s="121">
        <v>5000</v>
      </c>
    </row>
    <row r="290" spans="1:5" ht="15">
      <c r="A290" s="120" t="s">
        <v>11</v>
      </c>
      <c r="B290" s="121">
        <v>21</v>
      </c>
      <c r="C290" s="121">
        <v>33</v>
      </c>
      <c r="D290" s="121">
        <v>5</v>
      </c>
      <c r="E290" s="121">
        <v>6500</v>
      </c>
    </row>
    <row r="291" spans="1:5" ht="15">
      <c r="A291" s="120" t="s">
        <v>11</v>
      </c>
      <c r="B291" s="121">
        <v>24</v>
      </c>
      <c r="C291" s="121">
        <v>26</v>
      </c>
      <c r="D291" s="121">
        <v>7</v>
      </c>
      <c r="E291" s="121">
        <v>22000</v>
      </c>
    </row>
    <row r="292" spans="1:5" ht="15">
      <c r="A292" s="120" t="s">
        <v>14</v>
      </c>
      <c r="B292" s="121">
        <v>21</v>
      </c>
      <c r="C292" s="121">
        <v>21</v>
      </c>
      <c r="D292" s="121">
        <v>0</v>
      </c>
      <c r="E292" s="121">
        <v>2200</v>
      </c>
    </row>
    <row r="293" spans="1:5" ht="15">
      <c r="A293" s="120" t="s">
        <v>14</v>
      </c>
      <c r="B293" s="121">
        <v>21</v>
      </c>
      <c r="C293" s="121">
        <v>21</v>
      </c>
      <c r="D293" s="121">
        <v>2</v>
      </c>
      <c r="E293" s="121">
        <v>192683</v>
      </c>
    </row>
    <row r="294" spans="1:5" ht="15">
      <c r="A294" s="120" t="s">
        <v>14</v>
      </c>
      <c r="B294" s="121">
        <v>21</v>
      </c>
      <c r="C294" s="121">
        <v>21</v>
      </c>
      <c r="D294" s="121">
        <v>3</v>
      </c>
      <c r="E294" s="121">
        <v>121928</v>
      </c>
    </row>
    <row r="295" spans="1:5" ht="15">
      <c r="A295" s="120" t="s">
        <v>14</v>
      </c>
      <c r="B295" s="121">
        <v>21</v>
      </c>
      <c r="C295" s="121">
        <v>21</v>
      </c>
      <c r="D295" s="121">
        <v>4</v>
      </c>
      <c r="E295" s="121">
        <v>89482</v>
      </c>
    </row>
    <row r="296" spans="1:5" ht="15">
      <c r="A296" s="120" t="s">
        <v>14</v>
      </c>
      <c r="B296" s="121">
        <v>21</v>
      </c>
      <c r="C296" s="121">
        <v>21</v>
      </c>
      <c r="D296" s="121">
        <v>5</v>
      </c>
      <c r="E296" s="121">
        <v>300</v>
      </c>
    </row>
    <row r="297" spans="1:5" ht="15">
      <c r="A297" s="120" t="s">
        <v>14</v>
      </c>
      <c r="B297" s="121">
        <v>21</v>
      </c>
      <c r="C297" s="121">
        <v>21</v>
      </c>
      <c r="D297" s="121">
        <v>7</v>
      </c>
      <c r="E297" s="121">
        <v>7500</v>
      </c>
    </row>
    <row r="298" spans="1:5" ht="15">
      <c r="A298" s="120" t="s">
        <v>14</v>
      </c>
      <c r="B298" s="121">
        <v>21</v>
      </c>
      <c r="C298" s="121">
        <v>21</v>
      </c>
      <c r="D298" s="121">
        <v>8</v>
      </c>
      <c r="E298" s="121">
        <v>200</v>
      </c>
    </row>
    <row r="299" spans="1:5" ht="15">
      <c r="A299" s="120" t="s">
        <v>14</v>
      </c>
      <c r="B299" s="121">
        <v>21</v>
      </c>
      <c r="C299" s="121">
        <v>26</v>
      </c>
      <c r="D299" s="121">
        <v>2</v>
      </c>
      <c r="E299" s="121">
        <v>1111000</v>
      </c>
    </row>
    <row r="300" spans="1:5" ht="15">
      <c r="A300" s="120" t="s">
        <v>14</v>
      </c>
      <c r="B300" s="121">
        <v>21</v>
      </c>
      <c r="C300" s="121">
        <v>26</v>
      </c>
      <c r="D300" s="121">
        <v>4</v>
      </c>
      <c r="E300" s="121">
        <v>381902</v>
      </c>
    </row>
    <row r="301" spans="1:5" ht="15">
      <c r="A301" s="120" t="s">
        <v>14</v>
      </c>
      <c r="B301" s="121">
        <v>21</v>
      </c>
      <c r="C301" s="121">
        <v>26</v>
      </c>
      <c r="D301" s="121">
        <v>5</v>
      </c>
      <c r="E301" s="121">
        <v>6500</v>
      </c>
    </row>
    <row r="302" spans="1:5" ht="15">
      <c r="A302" s="120" t="s">
        <v>14</v>
      </c>
      <c r="B302" s="121">
        <v>21</v>
      </c>
      <c r="C302" s="121">
        <v>26</v>
      </c>
      <c r="D302" s="121">
        <v>7</v>
      </c>
      <c r="E302" s="121">
        <v>109000</v>
      </c>
    </row>
    <row r="303" spans="1:5" ht="15">
      <c r="A303" s="120" t="s">
        <v>14</v>
      </c>
      <c r="B303" s="121">
        <v>21</v>
      </c>
      <c r="C303" s="121">
        <v>26</v>
      </c>
      <c r="D303" s="121">
        <v>8</v>
      </c>
      <c r="E303" s="121">
        <v>450</v>
      </c>
    </row>
    <row r="304" spans="1:5" ht="15">
      <c r="A304" s="120" t="s">
        <v>14</v>
      </c>
      <c r="B304" s="121">
        <v>21</v>
      </c>
      <c r="C304" s="121">
        <v>27</v>
      </c>
      <c r="D304" s="121">
        <v>0</v>
      </c>
      <c r="E304" s="121">
        <v>300</v>
      </c>
    </row>
    <row r="305" spans="1:5" ht="15">
      <c r="A305" s="120" t="s">
        <v>14</v>
      </c>
      <c r="B305" s="121">
        <v>21</v>
      </c>
      <c r="C305" s="121">
        <v>27</v>
      </c>
      <c r="D305" s="121">
        <v>2</v>
      </c>
      <c r="E305" s="121">
        <v>1800836</v>
      </c>
    </row>
    <row r="306" spans="1:5" ht="15">
      <c r="A306" s="120" t="s">
        <v>14</v>
      </c>
      <c r="B306" s="121">
        <v>21</v>
      </c>
      <c r="C306" s="121">
        <v>27</v>
      </c>
      <c r="D306" s="121">
        <v>3</v>
      </c>
      <c r="E306" s="121">
        <v>1137676</v>
      </c>
    </row>
    <row r="307" spans="1:5" ht="15">
      <c r="A307" s="120" t="s">
        <v>14</v>
      </c>
      <c r="B307" s="121">
        <v>21</v>
      </c>
      <c r="C307" s="121">
        <v>27</v>
      </c>
      <c r="D307" s="121">
        <v>4</v>
      </c>
      <c r="E307" s="121">
        <v>1151522</v>
      </c>
    </row>
    <row r="308" spans="1:5" ht="15">
      <c r="A308" s="120" t="s">
        <v>14</v>
      </c>
      <c r="B308" s="121">
        <v>21</v>
      </c>
      <c r="C308" s="121">
        <v>27</v>
      </c>
      <c r="D308" s="121">
        <v>5</v>
      </c>
      <c r="E308" s="121">
        <v>1500</v>
      </c>
    </row>
    <row r="309" spans="1:5" ht="15">
      <c r="A309" s="120" t="s">
        <v>14</v>
      </c>
      <c r="B309" s="121">
        <v>21</v>
      </c>
      <c r="C309" s="121">
        <v>27</v>
      </c>
      <c r="D309" s="121">
        <v>7</v>
      </c>
      <c r="E309" s="121">
        <v>313145</v>
      </c>
    </row>
    <row r="310" spans="1:5" ht="15">
      <c r="A310" s="120" t="s">
        <v>14</v>
      </c>
      <c r="B310" s="121">
        <v>21</v>
      </c>
      <c r="C310" s="121">
        <v>27</v>
      </c>
      <c r="D310" s="121">
        <v>8</v>
      </c>
      <c r="E310" s="121">
        <v>200</v>
      </c>
    </row>
    <row r="311" spans="1:5" ht="15">
      <c r="A311" s="120" t="s">
        <v>14</v>
      </c>
      <c r="B311" s="121">
        <v>21</v>
      </c>
      <c r="C311" s="121">
        <v>34</v>
      </c>
      <c r="D311" s="121">
        <v>2</v>
      </c>
      <c r="E311" s="121">
        <v>45832</v>
      </c>
    </row>
    <row r="312" spans="1:5" ht="15">
      <c r="A312" s="120" t="s">
        <v>14</v>
      </c>
      <c r="B312" s="121">
        <v>21</v>
      </c>
      <c r="C312" s="121">
        <v>34</v>
      </c>
      <c r="D312" s="121">
        <v>4</v>
      </c>
      <c r="E312" s="121">
        <v>7366</v>
      </c>
    </row>
    <row r="313" spans="1:5" ht="15">
      <c r="A313" s="120" t="s">
        <v>14</v>
      </c>
      <c r="B313" s="121">
        <v>24</v>
      </c>
      <c r="C313" s="121">
        <v>27</v>
      </c>
      <c r="D313" s="121">
        <v>2</v>
      </c>
      <c r="E313" s="121">
        <v>124219</v>
      </c>
    </row>
    <row r="314" spans="1:5" ht="15">
      <c r="A314" s="120" t="s">
        <v>14</v>
      </c>
      <c r="B314" s="121">
        <v>24</v>
      </c>
      <c r="C314" s="121">
        <v>27</v>
      </c>
      <c r="D314" s="121">
        <v>3</v>
      </c>
      <c r="E314" s="121">
        <v>266375</v>
      </c>
    </row>
    <row r="315" spans="1:5" ht="15">
      <c r="A315" s="120" t="s">
        <v>14</v>
      </c>
      <c r="B315" s="121">
        <v>24</v>
      </c>
      <c r="C315" s="121">
        <v>27</v>
      </c>
      <c r="D315" s="121">
        <v>4</v>
      </c>
      <c r="E315" s="121">
        <v>209403</v>
      </c>
    </row>
    <row r="316" spans="1:5" ht="15">
      <c r="A316" s="120" t="s">
        <v>48</v>
      </c>
      <c r="B316" s="121">
        <v>21</v>
      </c>
      <c r="C316" s="121">
        <v>21</v>
      </c>
      <c r="D316" s="121">
        <v>2</v>
      </c>
      <c r="E316" s="121">
        <v>61929</v>
      </c>
    </row>
    <row r="317" spans="1:5" ht="15">
      <c r="A317" s="120" t="s">
        <v>48</v>
      </c>
      <c r="B317" s="121">
        <v>21</v>
      </c>
      <c r="C317" s="121">
        <v>21</v>
      </c>
      <c r="D317" s="121">
        <v>3</v>
      </c>
      <c r="E317" s="121">
        <v>22202</v>
      </c>
    </row>
    <row r="318" spans="1:5" ht="15">
      <c r="A318" s="120" t="s">
        <v>48</v>
      </c>
      <c r="B318" s="121">
        <v>21</v>
      </c>
      <c r="C318" s="121">
        <v>21</v>
      </c>
      <c r="D318" s="121">
        <v>4</v>
      </c>
      <c r="E318" s="121">
        <v>29280</v>
      </c>
    </row>
    <row r="319" spans="1:5" ht="15">
      <c r="A319" s="120" t="s">
        <v>48</v>
      </c>
      <c r="B319" s="121">
        <v>21</v>
      </c>
      <c r="C319" s="121">
        <v>21</v>
      </c>
      <c r="D319" s="121">
        <v>5</v>
      </c>
      <c r="E319" s="121">
        <v>151025</v>
      </c>
    </row>
    <row r="320" spans="1:5" ht="15">
      <c r="A320" s="120" t="s">
        <v>48</v>
      </c>
      <c r="B320" s="121">
        <v>21</v>
      </c>
      <c r="C320" s="121">
        <v>21</v>
      </c>
      <c r="D320" s="121">
        <v>7</v>
      </c>
      <c r="E320" s="121">
        <v>1500</v>
      </c>
    </row>
    <row r="321" spans="1:5" ht="15">
      <c r="A321" s="120" t="s">
        <v>48</v>
      </c>
      <c r="B321" s="121">
        <v>21</v>
      </c>
      <c r="C321" s="121">
        <v>26</v>
      </c>
      <c r="D321" s="121">
        <v>2</v>
      </c>
      <c r="E321" s="121">
        <v>203856</v>
      </c>
    </row>
    <row r="322" spans="1:5" ht="15">
      <c r="A322" s="120" t="s">
        <v>48</v>
      </c>
      <c r="B322" s="121">
        <v>21</v>
      </c>
      <c r="C322" s="121">
        <v>26</v>
      </c>
      <c r="D322" s="121">
        <v>3</v>
      </c>
      <c r="E322" s="121">
        <v>37488</v>
      </c>
    </row>
    <row r="323" spans="1:5" ht="15">
      <c r="A323" s="120" t="s">
        <v>48</v>
      </c>
      <c r="B323" s="121">
        <v>21</v>
      </c>
      <c r="C323" s="121">
        <v>26</v>
      </c>
      <c r="D323" s="121">
        <v>4</v>
      </c>
      <c r="E323" s="121">
        <v>86047</v>
      </c>
    </row>
    <row r="324" spans="1:5" ht="15">
      <c r="A324" s="120" t="s">
        <v>48</v>
      </c>
      <c r="B324" s="121">
        <v>21</v>
      </c>
      <c r="C324" s="121">
        <v>26</v>
      </c>
      <c r="D324" s="121">
        <v>8</v>
      </c>
      <c r="E324" s="121">
        <v>3500</v>
      </c>
    </row>
    <row r="325" spans="1:5" ht="15">
      <c r="A325" s="120" t="s">
        <v>48</v>
      </c>
      <c r="B325" s="121">
        <v>21</v>
      </c>
      <c r="C325" s="121">
        <v>27</v>
      </c>
      <c r="D325" s="121">
        <v>0</v>
      </c>
      <c r="E325" s="121">
        <v>10000</v>
      </c>
    </row>
    <row r="326" spans="1:5" ht="15">
      <c r="A326" s="120" t="s">
        <v>48</v>
      </c>
      <c r="B326" s="121">
        <v>21</v>
      </c>
      <c r="C326" s="121">
        <v>27</v>
      </c>
      <c r="D326" s="121">
        <v>2</v>
      </c>
      <c r="E326" s="121">
        <v>347021</v>
      </c>
    </row>
    <row r="327" spans="1:5" ht="15">
      <c r="A327" s="120" t="s">
        <v>48</v>
      </c>
      <c r="B327" s="121">
        <v>21</v>
      </c>
      <c r="C327" s="121">
        <v>27</v>
      </c>
      <c r="D327" s="121">
        <v>3</v>
      </c>
      <c r="E327" s="121">
        <v>362589</v>
      </c>
    </row>
    <row r="328" spans="1:5" ht="15">
      <c r="A328" s="120" t="s">
        <v>48</v>
      </c>
      <c r="B328" s="121">
        <v>21</v>
      </c>
      <c r="C328" s="121">
        <v>27</v>
      </c>
      <c r="D328" s="121">
        <v>4</v>
      </c>
      <c r="E328" s="121">
        <v>357639</v>
      </c>
    </row>
    <row r="329" spans="1:5" ht="15">
      <c r="A329" s="120" t="s">
        <v>48</v>
      </c>
      <c r="B329" s="121">
        <v>21</v>
      </c>
      <c r="C329" s="121">
        <v>27</v>
      </c>
      <c r="D329" s="121">
        <v>5</v>
      </c>
      <c r="E329" s="121">
        <v>13000</v>
      </c>
    </row>
    <row r="330" spans="1:5" ht="15">
      <c r="A330" s="120" t="s">
        <v>48</v>
      </c>
      <c r="B330" s="121">
        <v>21</v>
      </c>
      <c r="C330" s="121">
        <v>27</v>
      </c>
      <c r="D330" s="121">
        <v>7</v>
      </c>
      <c r="E330" s="121">
        <v>16297</v>
      </c>
    </row>
    <row r="331" spans="1:5" ht="15">
      <c r="A331" s="120" t="s">
        <v>48</v>
      </c>
      <c r="B331" s="121">
        <v>21</v>
      </c>
      <c r="C331" s="121">
        <v>31</v>
      </c>
      <c r="D331" s="121">
        <v>7</v>
      </c>
      <c r="E331" s="121">
        <v>16500</v>
      </c>
    </row>
    <row r="332" spans="1:5" ht="15">
      <c r="A332" s="120" t="s">
        <v>48</v>
      </c>
      <c r="B332" s="121">
        <v>21</v>
      </c>
      <c r="C332" s="121">
        <v>31</v>
      </c>
      <c r="D332" s="121">
        <v>8</v>
      </c>
      <c r="E332" s="121">
        <v>2000</v>
      </c>
    </row>
    <row r="333" spans="1:5" ht="15">
      <c r="A333" s="120" t="s">
        <v>48</v>
      </c>
      <c r="B333" s="121">
        <v>24</v>
      </c>
      <c r="C333" s="121">
        <v>27</v>
      </c>
      <c r="D333" s="121">
        <v>3</v>
      </c>
      <c r="E333" s="121">
        <v>115032</v>
      </c>
    </row>
    <row r="334" spans="1:5" ht="15">
      <c r="A334" s="120" t="s">
        <v>48</v>
      </c>
      <c r="B334" s="121">
        <v>24</v>
      </c>
      <c r="C334" s="121">
        <v>27</v>
      </c>
      <c r="D334" s="121">
        <v>4</v>
      </c>
      <c r="E334" s="121">
        <v>103618</v>
      </c>
    </row>
    <row r="335" spans="1:5" ht="15">
      <c r="A335" s="120" t="s">
        <v>48</v>
      </c>
      <c r="B335" s="121">
        <v>24</v>
      </c>
      <c r="C335" s="121">
        <v>27</v>
      </c>
      <c r="D335" s="121">
        <v>5</v>
      </c>
      <c r="E335" s="121">
        <v>78084</v>
      </c>
    </row>
    <row r="336" spans="1:5" ht="15">
      <c r="A336" s="120" t="s">
        <v>48</v>
      </c>
      <c r="B336" s="121">
        <v>24</v>
      </c>
      <c r="C336" s="121">
        <v>27</v>
      </c>
      <c r="D336" s="121">
        <v>7</v>
      </c>
      <c r="E336" s="121">
        <v>73666</v>
      </c>
    </row>
    <row r="337" spans="1:5" ht="15">
      <c r="A337" s="120" t="s">
        <v>36</v>
      </c>
      <c r="B337" s="121">
        <v>21</v>
      </c>
      <c r="C337" s="121">
        <v>21</v>
      </c>
      <c r="D337" s="121">
        <v>0</v>
      </c>
      <c r="E337" s="121">
        <v>8300</v>
      </c>
    </row>
    <row r="338" spans="1:5" ht="15">
      <c r="A338" s="120" t="s">
        <v>36</v>
      </c>
      <c r="B338" s="121">
        <v>21</v>
      </c>
      <c r="C338" s="121">
        <v>21</v>
      </c>
      <c r="D338" s="121">
        <v>2</v>
      </c>
      <c r="E338" s="121">
        <v>1922904</v>
      </c>
    </row>
    <row r="339" spans="1:5" ht="15">
      <c r="A339" s="120" t="s">
        <v>36</v>
      </c>
      <c r="B339" s="121">
        <v>21</v>
      </c>
      <c r="C339" s="121">
        <v>21</v>
      </c>
      <c r="D339" s="121">
        <v>3</v>
      </c>
      <c r="E339" s="121">
        <v>254089</v>
      </c>
    </row>
    <row r="340" spans="1:5" ht="15">
      <c r="A340" s="120" t="s">
        <v>36</v>
      </c>
      <c r="B340" s="121">
        <v>21</v>
      </c>
      <c r="C340" s="121">
        <v>21</v>
      </c>
      <c r="D340" s="121">
        <v>4</v>
      </c>
      <c r="E340" s="121">
        <v>639708</v>
      </c>
    </row>
    <row r="341" spans="1:5" ht="15">
      <c r="A341" s="120" t="s">
        <v>36</v>
      </c>
      <c r="B341" s="121">
        <v>21</v>
      </c>
      <c r="C341" s="121">
        <v>21</v>
      </c>
      <c r="D341" s="121">
        <v>5</v>
      </c>
      <c r="E341" s="121">
        <v>21200</v>
      </c>
    </row>
    <row r="342" spans="1:5" ht="15">
      <c r="A342" s="120" t="s">
        <v>36</v>
      </c>
      <c r="B342" s="121">
        <v>21</v>
      </c>
      <c r="C342" s="121">
        <v>21</v>
      </c>
      <c r="D342" s="121">
        <v>7</v>
      </c>
      <c r="E342" s="121">
        <v>200000</v>
      </c>
    </row>
    <row r="343" spans="1:5" ht="15">
      <c r="A343" s="120" t="s">
        <v>36</v>
      </c>
      <c r="B343" s="121">
        <v>21</v>
      </c>
      <c r="C343" s="121">
        <v>21</v>
      </c>
      <c r="D343" s="121">
        <v>8</v>
      </c>
      <c r="E343" s="121">
        <v>26600</v>
      </c>
    </row>
    <row r="344" spans="1:5" ht="15">
      <c r="A344" s="120" t="s">
        <v>36</v>
      </c>
      <c r="B344" s="121">
        <v>21</v>
      </c>
      <c r="C344" s="121">
        <v>24</v>
      </c>
      <c r="D344" s="121">
        <v>0</v>
      </c>
      <c r="E344" s="121">
        <v>500</v>
      </c>
    </row>
    <row r="345" spans="1:5" ht="15">
      <c r="A345" s="120" t="s">
        <v>36</v>
      </c>
      <c r="B345" s="121">
        <v>21</v>
      </c>
      <c r="C345" s="121">
        <v>24</v>
      </c>
      <c r="D345" s="121">
        <v>2</v>
      </c>
      <c r="E345" s="121">
        <v>86694</v>
      </c>
    </row>
    <row r="346" spans="1:5" ht="15">
      <c r="A346" s="120" t="s">
        <v>36</v>
      </c>
      <c r="B346" s="121">
        <v>21</v>
      </c>
      <c r="C346" s="121">
        <v>24</v>
      </c>
      <c r="D346" s="121">
        <v>3</v>
      </c>
      <c r="E346" s="121">
        <v>98832</v>
      </c>
    </row>
    <row r="347" spans="1:5" ht="15">
      <c r="A347" s="120" t="s">
        <v>36</v>
      </c>
      <c r="B347" s="121">
        <v>21</v>
      </c>
      <c r="C347" s="121">
        <v>24</v>
      </c>
      <c r="D347" s="121">
        <v>4</v>
      </c>
      <c r="E347" s="121">
        <v>63644</v>
      </c>
    </row>
    <row r="348" spans="1:5" ht="15">
      <c r="A348" s="120" t="s">
        <v>36</v>
      </c>
      <c r="B348" s="121">
        <v>21</v>
      </c>
      <c r="C348" s="121">
        <v>24</v>
      </c>
      <c r="D348" s="121">
        <v>5</v>
      </c>
      <c r="E348" s="121">
        <v>500</v>
      </c>
    </row>
    <row r="349" spans="1:5" ht="15">
      <c r="A349" s="120" t="s">
        <v>36</v>
      </c>
      <c r="B349" s="121">
        <v>21</v>
      </c>
      <c r="C349" s="121">
        <v>24</v>
      </c>
      <c r="D349" s="121">
        <v>7</v>
      </c>
      <c r="E349" s="121">
        <v>70</v>
      </c>
    </row>
    <row r="350" spans="1:5" ht="15">
      <c r="A350" s="120" t="s">
        <v>36</v>
      </c>
      <c r="B350" s="121">
        <v>21</v>
      </c>
      <c r="C350" s="121">
        <v>24</v>
      </c>
      <c r="D350" s="121">
        <v>8</v>
      </c>
      <c r="E350" s="121">
        <v>100</v>
      </c>
    </row>
    <row r="351" spans="1:5" ht="15">
      <c r="A351" s="120" t="s">
        <v>36</v>
      </c>
      <c r="B351" s="121">
        <v>21</v>
      </c>
      <c r="C351" s="121">
        <v>25</v>
      </c>
      <c r="D351" s="121">
        <v>3</v>
      </c>
      <c r="E351" s="121">
        <v>1353429</v>
      </c>
    </row>
    <row r="352" spans="1:5" ht="15">
      <c r="A352" s="120" t="s">
        <v>36</v>
      </c>
      <c r="B352" s="121">
        <v>21</v>
      </c>
      <c r="C352" s="121">
        <v>25</v>
      </c>
      <c r="D352" s="121">
        <v>4</v>
      </c>
      <c r="E352" s="121">
        <v>471445</v>
      </c>
    </row>
    <row r="353" spans="1:5" ht="15">
      <c r="A353" s="120" t="s">
        <v>36</v>
      </c>
      <c r="B353" s="121">
        <v>21</v>
      </c>
      <c r="C353" s="121">
        <v>26</v>
      </c>
      <c r="D353" s="121">
        <v>0</v>
      </c>
      <c r="E353" s="121">
        <v>850</v>
      </c>
    </row>
    <row r="354" spans="1:5" ht="15">
      <c r="A354" s="120" t="s">
        <v>36</v>
      </c>
      <c r="B354" s="121">
        <v>21</v>
      </c>
      <c r="C354" s="121">
        <v>26</v>
      </c>
      <c r="D354" s="121">
        <v>2</v>
      </c>
      <c r="E354" s="121">
        <v>4012072</v>
      </c>
    </row>
    <row r="355" spans="1:5" ht="15">
      <c r="A355" s="120" t="s">
        <v>36</v>
      </c>
      <c r="B355" s="121">
        <v>21</v>
      </c>
      <c r="C355" s="121">
        <v>26</v>
      </c>
      <c r="D355" s="121">
        <v>3</v>
      </c>
      <c r="E355" s="121">
        <v>881443</v>
      </c>
    </row>
    <row r="356" spans="1:5" ht="15">
      <c r="A356" s="120" t="s">
        <v>36</v>
      </c>
      <c r="B356" s="121">
        <v>21</v>
      </c>
      <c r="C356" s="121">
        <v>26</v>
      </c>
      <c r="D356" s="121">
        <v>4</v>
      </c>
      <c r="E356" s="121">
        <v>1574990</v>
      </c>
    </row>
    <row r="357" spans="1:5" ht="15">
      <c r="A357" s="120" t="s">
        <v>36</v>
      </c>
      <c r="B357" s="121">
        <v>21</v>
      </c>
      <c r="C357" s="121">
        <v>26</v>
      </c>
      <c r="D357" s="121">
        <v>5</v>
      </c>
      <c r="E357" s="121">
        <v>53500</v>
      </c>
    </row>
    <row r="358" spans="1:5" ht="15">
      <c r="A358" s="120" t="s">
        <v>36</v>
      </c>
      <c r="B358" s="121">
        <v>21</v>
      </c>
      <c r="C358" s="121">
        <v>26</v>
      </c>
      <c r="D358" s="121">
        <v>7</v>
      </c>
      <c r="E358" s="121">
        <v>3813400</v>
      </c>
    </row>
    <row r="359" spans="1:5" ht="15">
      <c r="A359" s="120" t="s">
        <v>36</v>
      </c>
      <c r="B359" s="121">
        <v>21</v>
      </c>
      <c r="C359" s="121">
        <v>26</v>
      </c>
      <c r="D359" s="121">
        <v>8</v>
      </c>
      <c r="E359" s="121">
        <v>9500</v>
      </c>
    </row>
    <row r="360" spans="1:5" ht="15">
      <c r="A360" s="120" t="s">
        <v>36</v>
      </c>
      <c r="B360" s="121">
        <v>21</v>
      </c>
      <c r="C360" s="121">
        <v>27</v>
      </c>
      <c r="D360" s="121">
        <v>0</v>
      </c>
      <c r="E360" s="121">
        <v>78100</v>
      </c>
    </row>
    <row r="361" spans="1:5" ht="15">
      <c r="A361" s="120" t="s">
        <v>36</v>
      </c>
      <c r="B361" s="121">
        <v>21</v>
      </c>
      <c r="C361" s="121">
        <v>27</v>
      </c>
      <c r="D361" s="121">
        <v>2</v>
      </c>
      <c r="E361" s="121">
        <v>13148057</v>
      </c>
    </row>
    <row r="362" spans="1:5" ht="15">
      <c r="A362" s="120" t="s">
        <v>36</v>
      </c>
      <c r="B362" s="121">
        <v>21</v>
      </c>
      <c r="C362" s="121">
        <v>27</v>
      </c>
      <c r="D362" s="121">
        <v>3</v>
      </c>
      <c r="E362" s="121">
        <v>8349748</v>
      </c>
    </row>
    <row r="363" spans="1:5" ht="15">
      <c r="A363" s="120" t="s">
        <v>36</v>
      </c>
      <c r="B363" s="121">
        <v>21</v>
      </c>
      <c r="C363" s="121">
        <v>27</v>
      </c>
      <c r="D363" s="121">
        <v>4</v>
      </c>
      <c r="E363" s="121">
        <v>10141859</v>
      </c>
    </row>
    <row r="364" spans="1:5" ht="15">
      <c r="A364" s="120" t="s">
        <v>36</v>
      </c>
      <c r="B364" s="121">
        <v>21</v>
      </c>
      <c r="C364" s="121">
        <v>27</v>
      </c>
      <c r="D364" s="121">
        <v>5</v>
      </c>
      <c r="E364" s="121">
        <v>162674</v>
      </c>
    </row>
    <row r="365" spans="1:5" ht="15">
      <c r="A365" s="120" t="s">
        <v>36</v>
      </c>
      <c r="B365" s="121">
        <v>21</v>
      </c>
      <c r="C365" s="121">
        <v>27</v>
      </c>
      <c r="D365" s="121">
        <v>7</v>
      </c>
      <c r="E365" s="121">
        <v>2833964</v>
      </c>
    </row>
    <row r="366" spans="1:5" ht="15">
      <c r="A366" s="120" t="s">
        <v>36</v>
      </c>
      <c r="B366" s="121">
        <v>21</v>
      </c>
      <c r="C366" s="121">
        <v>27</v>
      </c>
      <c r="D366" s="121">
        <v>8</v>
      </c>
      <c r="E366" s="121">
        <v>26000</v>
      </c>
    </row>
    <row r="367" spans="1:5" ht="15">
      <c r="A367" s="120" t="s">
        <v>36</v>
      </c>
      <c r="B367" s="121">
        <v>21</v>
      </c>
      <c r="C367" s="121">
        <v>29</v>
      </c>
      <c r="D367" s="121">
        <v>7</v>
      </c>
      <c r="E367" s="121">
        <v>2219300</v>
      </c>
    </row>
    <row r="368" spans="1:5" ht="15">
      <c r="A368" s="120" t="s">
        <v>36</v>
      </c>
      <c r="B368" s="121">
        <v>21</v>
      </c>
      <c r="C368" s="121">
        <v>31</v>
      </c>
      <c r="D368" s="121">
        <v>2</v>
      </c>
      <c r="E368" s="121">
        <v>174307</v>
      </c>
    </row>
    <row r="369" spans="1:5" ht="15">
      <c r="A369" s="120" t="s">
        <v>36</v>
      </c>
      <c r="B369" s="121">
        <v>21</v>
      </c>
      <c r="C369" s="121">
        <v>31</v>
      </c>
      <c r="D369" s="121">
        <v>3</v>
      </c>
      <c r="E369" s="121">
        <v>35524</v>
      </c>
    </row>
    <row r="370" spans="1:5" ht="15">
      <c r="A370" s="120" t="s">
        <v>36</v>
      </c>
      <c r="B370" s="121">
        <v>21</v>
      </c>
      <c r="C370" s="121">
        <v>31</v>
      </c>
      <c r="D370" s="121">
        <v>4</v>
      </c>
      <c r="E370" s="121">
        <v>67570</v>
      </c>
    </row>
    <row r="371" spans="1:5" ht="15">
      <c r="A371" s="120" t="s">
        <v>36</v>
      </c>
      <c r="B371" s="121">
        <v>21</v>
      </c>
      <c r="C371" s="121">
        <v>31</v>
      </c>
      <c r="D371" s="121">
        <v>5</v>
      </c>
      <c r="E371" s="121">
        <v>3500</v>
      </c>
    </row>
    <row r="372" spans="1:5" ht="15">
      <c r="A372" s="120" t="s">
        <v>36</v>
      </c>
      <c r="B372" s="121">
        <v>21</v>
      </c>
      <c r="C372" s="121">
        <v>31</v>
      </c>
      <c r="D372" s="121">
        <v>7</v>
      </c>
      <c r="E372" s="121">
        <v>73000</v>
      </c>
    </row>
    <row r="373" spans="1:5" ht="15">
      <c r="A373" s="120" t="s">
        <v>36</v>
      </c>
      <c r="B373" s="121">
        <v>21</v>
      </c>
      <c r="C373" s="121">
        <v>31</v>
      </c>
      <c r="D373" s="121">
        <v>8</v>
      </c>
      <c r="E373" s="121">
        <v>31000</v>
      </c>
    </row>
    <row r="374" spans="1:5" ht="15">
      <c r="A374" s="120" t="s">
        <v>36</v>
      </c>
      <c r="B374" s="121">
        <v>21</v>
      </c>
      <c r="C374" s="121">
        <v>34</v>
      </c>
      <c r="D374" s="121">
        <v>2</v>
      </c>
      <c r="E374" s="121">
        <v>246015</v>
      </c>
    </row>
    <row r="375" spans="1:5" ht="15">
      <c r="A375" s="120" t="s">
        <v>36</v>
      </c>
      <c r="B375" s="121">
        <v>21</v>
      </c>
      <c r="C375" s="121">
        <v>34</v>
      </c>
      <c r="D375" s="121">
        <v>4</v>
      </c>
      <c r="E375" s="121">
        <v>86992</v>
      </c>
    </row>
    <row r="376" spans="1:5" ht="15">
      <c r="A376" s="120" t="s">
        <v>17</v>
      </c>
      <c r="B376" s="121">
        <v>21</v>
      </c>
      <c r="C376" s="121">
        <v>21</v>
      </c>
      <c r="D376" s="121">
        <v>2</v>
      </c>
      <c r="E376" s="121">
        <v>204853</v>
      </c>
    </row>
    <row r="377" spans="1:5" ht="15">
      <c r="A377" s="120" t="s">
        <v>17</v>
      </c>
      <c r="B377" s="121">
        <v>21</v>
      </c>
      <c r="C377" s="121">
        <v>21</v>
      </c>
      <c r="D377" s="121">
        <v>3</v>
      </c>
      <c r="E377" s="121">
        <v>97086</v>
      </c>
    </row>
    <row r="378" spans="1:5" ht="15">
      <c r="A378" s="120" t="s">
        <v>17</v>
      </c>
      <c r="B378" s="121">
        <v>21</v>
      </c>
      <c r="C378" s="121">
        <v>21</v>
      </c>
      <c r="D378" s="121">
        <v>4</v>
      </c>
      <c r="E378" s="121">
        <v>83712</v>
      </c>
    </row>
    <row r="379" spans="1:5" ht="15">
      <c r="A379" s="120" t="s">
        <v>17</v>
      </c>
      <c r="B379" s="121">
        <v>21</v>
      </c>
      <c r="C379" s="121">
        <v>21</v>
      </c>
      <c r="D379" s="121">
        <v>5</v>
      </c>
      <c r="E379" s="121">
        <v>1400</v>
      </c>
    </row>
    <row r="380" spans="1:5" ht="15">
      <c r="A380" s="120" t="s">
        <v>17</v>
      </c>
      <c r="B380" s="121">
        <v>21</v>
      </c>
      <c r="C380" s="121">
        <v>21</v>
      </c>
      <c r="D380" s="121">
        <v>7</v>
      </c>
      <c r="E380" s="121">
        <v>9354</v>
      </c>
    </row>
    <row r="381" spans="1:5" ht="15">
      <c r="A381" s="120" t="s">
        <v>17</v>
      </c>
      <c r="B381" s="121">
        <v>21</v>
      </c>
      <c r="C381" s="121">
        <v>26</v>
      </c>
      <c r="D381" s="121">
        <v>2</v>
      </c>
      <c r="E381" s="121">
        <v>2317436</v>
      </c>
    </row>
    <row r="382" spans="1:5" ht="15">
      <c r="A382" s="120" t="s">
        <v>17</v>
      </c>
      <c r="B382" s="121">
        <v>21</v>
      </c>
      <c r="C382" s="121">
        <v>26</v>
      </c>
      <c r="D382" s="121">
        <v>3</v>
      </c>
      <c r="E382" s="121">
        <v>130716</v>
      </c>
    </row>
    <row r="383" spans="1:5" ht="15">
      <c r="A383" s="120" t="s">
        <v>17</v>
      </c>
      <c r="B383" s="121">
        <v>21</v>
      </c>
      <c r="C383" s="121">
        <v>26</v>
      </c>
      <c r="D383" s="121">
        <v>4</v>
      </c>
      <c r="E383" s="121">
        <v>736541</v>
      </c>
    </row>
    <row r="384" spans="1:5" ht="15">
      <c r="A384" s="120" t="s">
        <v>17</v>
      </c>
      <c r="B384" s="121">
        <v>21</v>
      </c>
      <c r="C384" s="121">
        <v>26</v>
      </c>
      <c r="D384" s="121">
        <v>5</v>
      </c>
      <c r="E384" s="121">
        <v>1150</v>
      </c>
    </row>
    <row r="385" spans="1:5" ht="15">
      <c r="A385" s="120" t="s">
        <v>17</v>
      </c>
      <c r="B385" s="121">
        <v>21</v>
      </c>
      <c r="C385" s="121">
        <v>26</v>
      </c>
      <c r="D385" s="121">
        <v>7</v>
      </c>
      <c r="E385" s="121">
        <v>621150</v>
      </c>
    </row>
    <row r="386" spans="1:5" ht="15">
      <c r="A386" s="120" t="s">
        <v>17</v>
      </c>
      <c r="B386" s="121">
        <v>21</v>
      </c>
      <c r="C386" s="121">
        <v>26</v>
      </c>
      <c r="D386" s="121">
        <v>8</v>
      </c>
      <c r="E386" s="121">
        <v>800</v>
      </c>
    </row>
    <row r="387" spans="1:5" ht="15">
      <c r="A387" s="120" t="s">
        <v>17</v>
      </c>
      <c r="B387" s="121">
        <v>21</v>
      </c>
      <c r="C387" s="121">
        <v>27</v>
      </c>
      <c r="D387" s="121">
        <v>0</v>
      </c>
      <c r="E387" s="121">
        <v>3000</v>
      </c>
    </row>
    <row r="388" spans="1:5" ht="15">
      <c r="A388" s="120" t="s">
        <v>17</v>
      </c>
      <c r="B388" s="121">
        <v>21</v>
      </c>
      <c r="C388" s="121">
        <v>27</v>
      </c>
      <c r="D388" s="121">
        <v>2</v>
      </c>
      <c r="E388" s="121">
        <v>4483391</v>
      </c>
    </row>
    <row r="389" spans="1:5" ht="15">
      <c r="A389" s="120" t="s">
        <v>17</v>
      </c>
      <c r="B389" s="121">
        <v>21</v>
      </c>
      <c r="C389" s="121">
        <v>27</v>
      </c>
      <c r="D389" s="121">
        <v>3</v>
      </c>
      <c r="E389" s="121">
        <v>3858555</v>
      </c>
    </row>
    <row r="390" spans="1:5" ht="15">
      <c r="A390" s="120" t="s">
        <v>17</v>
      </c>
      <c r="B390" s="121">
        <v>21</v>
      </c>
      <c r="C390" s="121">
        <v>27</v>
      </c>
      <c r="D390" s="121">
        <v>4</v>
      </c>
      <c r="E390" s="121">
        <v>3523336</v>
      </c>
    </row>
    <row r="391" spans="1:5" ht="15">
      <c r="A391" s="120" t="s">
        <v>17</v>
      </c>
      <c r="B391" s="121">
        <v>21</v>
      </c>
      <c r="C391" s="121">
        <v>27</v>
      </c>
      <c r="D391" s="121">
        <v>5</v>
      </c>
      <c r="E391" s="121">
        <v>235000</v>
      </c>
    </row>
    <row r="392" spans="1:5" ht="15">
      <c r="A392" s="120" t="s">
        <v>17</v>
      </c>
      <c r="B392" s="121">
        <v>21</v>
      </c>
      <c r="C392" s="121">
        <v>27</v>
      </c>
      <c r="D392" s="121">
        <v>7</v>
      </c>
      <c r="E392" s="121">
        <v>1313000</v>
      </c>
    </row>
    <row r="393" spans="1:5" ht="15">
      <c r="A393" s="120" t="s">
        <v>17</v>
      </c>
      <c r="B393" s="121">
        <v>21</v>
      </c>
      <c r="C393" s="121">
        <v>27</v>
      </c>
      <c r="D393" s="121">
        <v>8</v>
      </c>
      <c r="E393" s="121">
        <v>2500</v>
      </c>
    </row>
    <row r="394" spans="1:5" ht="15">
      <c r="A394" s="120" t="s">
        <v>17</v>
      </c>
      <c r="B394" s="121">
        <v>21</v>
      </c>
      <c r="C394" s="121">
        <v>29</v>
      </c>
      <c r="D394" s="121">
        <v>7</v>
      </c>
      <c r="E394" s="121">
        <v>175000</v>
      </c>
    </row>
    <row r="395" spans="1:5" ht="15">
      <c r="A395" s="120" t="s">
        <v>17</v>
      </c>
      <c r="B395" s="121">
        <v>21</v>
      </c>
      <c r="C395" s="121">
        <v>31</v>
      </c>
      <c r="D395" s="121">
        <v>5</v>
      </c>
      <c r="E395" s="121">
        <v>1500</v>
      </c>
    </row>
    <row r="396" spans="1:5" ht="15">
      <c r="A396" s="120" t="s">
        <v>17</v>
      </c>
      <c r="B396" s="121">
        <v>21</v>
      </c>
      <c r="C396" s="121">
        <v>31</v>
      </c>
      <c r="D396" s="121">
        <v>7</v>
      </c>
      <c r="E396" s="121">
        <v>720</v>
      </c>
    </row>
    <row r="397" spans="1:5" ht="15">
      <c r="A397" s="120" t="s">
        <v>17</v>
      </c>
      <c r="B397" s="121">
        <v>21</v>
      </c>
      <c r="C397" s="121">
        <v>33</v>
      </c>
      <c r="D397" s="121">
        <v>5</v>
      </c>
      <c r="E397" s="121">
        <v>2320</v>
      </c>
    </row>
    <row r="398" spans="1:5" ht="15">
      <c r="A398" s="120" t="s">
        <v>36</v>
      </c>
      <c r="B398" s="121">
        <v>24</v>
      </c>
      <c r="C398" s="121">
        <v>21</v>
      </c>
      <c r="D398" s="121">
        <v>3</v>
      </c>
      <c r="E398" s="121">
        <v>378724</v>
      </c>
    </row>
    <row r="399" spans="1:5" ht="15">
      <c r="A399" s="120" t="s">
        <v>36</v>
      </c>
      <c r="B399" s="121">
        <v>24</v>
      </c>
      <c r="C399" s="121">
        <v>21</v>
      </c>
      <c r="D399" s="121">
        <v>4</v>
      </c>
      <c r="E399" s="121">
        <v>130271</v>
      </c>
    </row>
    <row r="400" spans="1:5" ht="15">
      <c r="A400" s="120" t="s">
        <v>36</v>
      </c>
      <c r="B400" s="121">
        <v>24</v>
      </c>
      <c r="C400" s="121">
        <v>24</v>
      </c>
      <c r="D400" s="121">
        <v>7</v>
      </c>
      <c r="E400" s="121">
        <v>102576</v>
      </c>
    </row>
    <row r="401" spans="1:5" ht="15">
      <c r="A401" s="120" t="s">
        <v>36</v>
      </c>
      <c r="B401" s="121">
        <v>24</v>
      </c>
      <c r="C401" s="121">
        <v>26</v>
      </c>
      <c r="D401" s="121">
        <v>3</v>
      </c>
      <c r="E401" s="121">
        <v>103451</v>
      </c>
    </row>
    <row r="402" spans="1:5" ht="15">
      <c r="A402" s="120" t="s">
        <v>36</v>
      </c>
      <c r="B402" s="121">
        <v>24</v>
      </c>
      <c r="C402" s="121">
        <v>26</v>
      </c>
      <c r="D402" s="121">
        <v>4</v>
      </c>
      <c r="E402" s="121">
        <v>66072</v>
      </c>
    </row>
    <row r="403" spans="1:5" ht="15">
      <c r="A403" s="120" t="s">
        <v>36</v>
      </c>
      <c r="B403" s="121">
        <v>24</v>
      </c>
      <c r="C403" s="121">
        <v>27</v>
      </c>
      <c r="D403" s="121">
        <v>2</v>
      </c>
      <c r="E403" s="121">
        <v>1013361</v>
      </c>
    </row>
    <row r="404" spans="1:5" ht="15">
      <c r="A404" s="120" t="s">
        <v>36</v>
      </c>
      <c r="B404" s="121">
        <v>24</v>
      </c>
      <c r="C404" s="121">
        <v>27</v>
      </c>
      <c r="D404" s="121">
        <v>3</v>
      </c>
      <c r="E404" s="121">
        <v>1299642</v>
      </c>
    </row>
    <row r="405" spans="1:5" ht="15">
      <c r="A405" s="120" t="s">
        <v>36</v>
      </c>
      <c r="B405" s="121">
        <v>24</v>
      </c>
      <c r="C405" s="121">
        <v>27</v>
      </c>
      <c r="D405" s="121">
        <v>4</v>
      </c>
      <c r="E405" s="121">
        <v>1129411</v>
      </c>
    </row>
    <row r="406" spans="1:5" ht="15">
      <c r="A406" s="120" t="s">
        <v>36</v>
      </c>
      <c r="B406" s="121">
        <v>24</v>
      </c>
      <c r="C406" s="121">
        <v>29</v>
      </c>
      <c r="D406" s="121">
        <v>7</v>
      </c>
      <c r="E406" s="121">
        <v>250073</v>
      </c>
    </row>
    <row r="407" spans="1:5" ht="15">
      <c r="A407" s="120" t="s">
        <v>17</v>
      </c>
      <c r="B407" s="121">
        <v>24</v>
      </c>
      <c r="C407" s="121">
        <v>21</v>
      </c>
      <c r="D407" s="121">
        <v>2</v>
      </c>
      <c r="E407" s="121">
        <v>98477</v>
      </c>
    </row>
    <row r="408" spans="1:5" ht="15">
      <c r="A408" s="120" t="s">
        <v>17</v>
      </c>
      <c r="B408" s="121">
        <v>24</v>
      </c>
      <c r="C408" s="121">
        <v>21</v>
      </c>
      <c r="D408" s="121">
        <v>4</v>
      </c>
      <c r="E408" s="121">
        <v>23322</v>
      </c>
    </row>
    <row r="409" spans="1:5" ht="15">
      <c r="A409" s="120" t="s">
        <v>17</v>
      </c>
      <c r="B409" s="121">
        <v>24</v>
      </c>
      <c r="C409" s="121">
        <v>26</v>
      </c>
      <c r="D409" s="121">
        <v>2</v>
      </c>
      <c r="E409" s="121">
        <v>789258</v>
      </c>
    </row>
    <row r="410" spans="1:5" ht="15">
      <c r="A410" s="120" t="s">
        <v>17</v>
      </c>
      <c r="B410" s="121">
        <v>24</v>
      </c>
      <c r="C410" s="121">
        <v>26</v>
      </c>
      <c r="D410" s="121">
        <v>4</v>
      </c>
      <c r="E410" s="121">
        <v>222790</v>
      </c>
    </row>
    <row r="411" spans="1:5" ht="15">
      <c r="A411" s="120" t="s">
        <v>17</v>
      </c>
      <c r="B411" s="121">
        <v>24</v>
      </c>
      <c r="C411" s="121">
        <v>27</v>
      </c>
      <c r="D411" s="121">
        <v>2</v>
      </c>
      <c r="E411" s="121">
        <v>3000</v>
      </c>
    </row>
    <row r="412" spans="1:5" ht="15">
      <c r="A412" s="120" t="s">
        <v>17</v>
      </c>
      <c r="B412" s="121">
        <v>24</v>
      </c>
      <c r="C412" s="121">
        <v>27</v>
      </c>
      <c r="D412" s="121">
        <v>3</v>
      </c>
      <c r="E412" s="121">
        <v>2000</v>
      </c>
    </row>
    <row r="413" spans="1:5" ht="15">
      <c r="A413" s="120" t="s">
        <v>17</v>
      </c>
      <c r="B413" s="121">
        <v>24</v>
      </c>
      <c r="C413" s="121">
        <v>27</v>
      </c>
      <c r="D413" s="121">
        <v>4</v>
      </c>
      <c r="E413" s="121">
        <v>538</v>
      </c>
    </row>
    <row r="414" spans="1:5" ht="15">
      <c r="A414" s="120" t="s">
        <v>55</v>
      </c>
      <c r="B414" s="121">
        <v>21</v>
      </c>
      <c r="C414" s="121">
        <v>21</v>
      </c>
      <c r="D414" s="121">
        <v>2</v>
      </c>
      <c r="E414" s="121">
        <v>176245</v>
      </c>
    </row>
    <row r="415" spans="1:5" ht="15">
      <c r="A415" s="120" t="s">
        <v>55</v>
      </c>
      <c r="B415" s="121">
        <v>21</v>
      </c>
      <c r="C415" s="121">
        <v>21</v>
      </c>
      <c r="D415" s="121">
        <v>3</v>
      </c>
      <c r="E415" s="121">
        <v>110701</v>
      </c>
    </row>
    <row r="416" spans="1:5" ht="15">
      <c r="A416" s="120" t="s">
        <v>55</v>
      </c>
      <c r="B416" s="121">
        <v>21</v>
      </c>
      <c r="C416" s="121">
        <v>21</v>
      </c>
      <c r="D416" s="121">
        <v>4</v>
      </c>
      <c r="E416" s="121">
        <v>90809</v>
      </c>
    </row>
    <row r="417" spans="1:5" ht="15">
      <c r="A417" s="120" t="s">
        <v>55</v>
      </c>
      <c r="B417" s="121">
        <v>21</v>
      </c>
      <c r="C417" s="121">
        <v>26</v>
      </c>
      <c r="D417" s="121">
        <v>2</v>
      </c>
      <c r="E417" s="121">
        <v>1355010</v>
      </c>
    </row>
    <row r="418" spans="1:5" ht="15">
      <c r="A418" s="120" t="s">
        <v>55</v>
      </c>
      <c r="B418" s="121">
        <v>21</v>
      </c>
      <c r="C418" s="121">
        <v>26</v>
      </c>
      <c r="D418" s="121">
        <v>3</v>
      </c>
      <c r="E418" s="121">
        <v>47368</v>
      </c>
    </row>
    <row r="419" spans="1:5" ht="15">
      <c r="A419" s="120" t="s">
        <v>55</v>
      </c>
      <c r="B419" s="121">
        <v>21</v>
      </c>
      <c r="C419" s="121">
        <v>26</v>
      </c>
      <c r="D419" s="121">
        <v>4</v>
      </c>
      <c r="E419" s="121">
        <v>430007</v>
      </c>
    </row>
    <row r="420" spans="1:5" ht="15">
      <c r="A420" s="120" t="s">
        <v>55</v>
      </c>
      <c r="B420" s="121">
        <v>21</v>
      </c>
      <c r="C420" s="121">
        <v>27</v>
      </c>
      <c r="D420" s="121">
        <v>2</v>
      </c>
      <c r="E420" s="121">
        <v>3113587</v>
      </c>
    </row>
    <row r="421" spans="1:5" ht="15">
      <c r="A421" s="120" t="s">
        <v>55</v>
      </c>
      <c r="B421" s="121">
        <v>21</v>
      </c>
      <c r="C421" s="121">
        <v>27</v>
      </c>
      <c r="D421" s="121">
        <v>3</v>
      </c>
      <c r="E421" s="121">
        <v>2211902</v>
      </c>
    </row>
    <row r="422" spans="1:5" ht="15">
      <c r="A422" s="120" t="s">
        <v>55</v>
      </c>
      <c r="B422" s="121">
        <v>21</v>
      </c>
      <c r="C422" s="121">
        <v>27</v>
      </c>
      <c r="D422" s="121">
        <v>4</v>
      </c>
      <c r="E422" s="121">
        <v>2287263</v>
      </c>
    </row>
    <row r="423" spans="1:5" ht="15">
      <c r="A423" s="120" t="s">
        <v>55</v>
      </c>
      <c r="B423" s="121">
        <v>21</v>
      </c>
      <c r="C423" s="121">
        <v>27</v>
      </c>
      <c r="D423" s="121">
        <v>7</v>
      </c>
      <c r="E423" s="121">
        <v>600000</v>
      </c>
    </row>
    <row r="424" spans="1:5" ht="15">
      <c r="A424" s="120" t="s">
        <v>55</v>
      </c>
      <c r="B424" s="121">
        <v>21</v>
      </c>
      <c r="C424" s="121">
        <v>31</v>
      </c>
      <c r="D424" s="121">
        <v>2</v>
      </c>
      <c r="E424" s="121">
        <v>242179</v>
      </c>
    </row>
    <row r="425" spans="1:5" ht="15">
      <c r="A425" s="120" t="s">
        <v>55</v>
      </c>
      <c r="B425" s="121">
        <v>21</v>
      </c>
      <c r="C425" s="121">
        <v>31</v>
      </c>
      <c r="D425" s="121">
        <v>4</v>
      </c>
      <c r="E425" s="121">
        <v>39153</v>
      </c>
    </row>
    <row r="426" spans="1:5" ht="15">
      <c r="A426" s="120" t="s">
        <v>55</v>
      </c>
      <c r="B426" s="121">
        <v>21</v>
      </c>
      <c r="C426" s="121">
        <v>34</v>
      </c>
      <c r="D426" s="121">
        <v>2</v>
      </c>
      <c r="E426" s="121">
        <v>65928</v>
      </c>
    </row>
    <row r="427" spans="1:5" ht="15">
      <c r="A427" s="120" t="s">
        <v>55</v>
      </c>
      <c r="B427" s="121">
        <v>21</v>
      </c>
      <c r="C427" s="121">
        <v>34</v>
      </c>
      <c r="D427" s="121">
        <v>4</v>
      </c>
      <c r="E427" s="121">
        <v>10710</v>
      </c>
    </row>
    <row r="428" spans="1:5" ht="15">
      <c r="A428" s="120" t="s">
        <v>25</v>
      </c>
      <c r="B428" s="121">
        <v>21</v>
      </c>
      <c r="C428" s="121">
        <v>21</v>
      </c>
      <c r="D428" s="121">
        <v>2</v>
      </c>
      <c r="E428" s="121">
        <v>368862</v>
      </c>
    </row>
    <row r="429" spans="1:5" ht="15">
      <c r="A429" s="120" t="s">
        <v>25</v>
      </c>
      <c r="B429" s="121">
        <v>21</v>
      </c>
      <c r="C429" s="121">
        <v>21</v>
      </c>
      <c r="D429" s="121">
        <v>3</v>
      </c>
      <c r="E429" s="121">
        <v>45126</v>
      </c>
    </row>
    <row r="430" spans="1:5" ht="15">
      <c r="A430" s="120" t="s">
        <v>25</v>
      </c>
      <c r="B430" s="121">
        <v>21</v>
      </c>
      <c r="C430" s="121">
        <v>21</v>
      </c>
      <c r="D430" s="121">
        <v>4</v>
      </c>
      <c r="E430" s="121">
        <v>104338</v>
      </c>
    </row>
    <row r="431" spans="1:5" ht="15">
      <c r="A431" s="120" t="s">
        <v>25</v>
      </c>
      <c r="B431" s="121">
        <v>21</v>
      </c>
      <c r="C431" s="121">
        <v>21</v>
      </c>
      <c r="D431" s="121">
        <v>5</v>
      </c>
      <c r="E431" s="121">
        <v>2960</v>
      </c>
    </row>
    <row r="432" spans="1:5" ht="15">
      <c r="A432" s="120" t="s">
        <v>25</v>
      </c>
      <c r="B432" s="121">
        <v>21</v>
      </c>
      <c r="C432" s="121">
        <v>21</v>
      </c>
      <c r="D432" s="121">
        <v>8</v>
      </c>
      <c r="E432" s="121">
        <v>250</v>
      </c>
    </row>
    <row r="433" spans="1:5" ht="15">
      <c r="A433" s="120" t="s">
        <v>25</v>
      </c>
      <c r="B433" s="121">
        <v>21</v>
      </c>
      <c r="C433" s="121">
        <v>25</v>
      </c>
      <c r="D433" s="121">
        <v>3</v>
      </c>
      <c r="E433" s="121">
        <v>38853</v>
      </c>
    </row>
    <row r="434" spans="1:5" ht="15">
      <c r="A434" s="120" t="s">
        <v>25</v>
      </c>
      <c r="B434" s="121">
        <v>21</v>
      </c>
      <c r="C434" s="121">
        <v>25</v>
      </c>
      <c r="D434" s="121">
        <v>4</v>
      </c>
      <c r="E434" s="121">
        <v>6123</v>
      </c>
    </row>
    <row r="435" spans="1:5" ht="15">
      <c r="A435" s="120" t="s">
        <v>25</v>
      </c>
      <c r="B435" s="121">
        <v>21</v>
      </c>
      <c r="C435" s="121">
        <v>26</v>
      </c>
      <c r="D435" s="121">
        <v>2</v>
      </c>
      <c r="E435" s="121">
        <v>1283328</v>
      </c>
    </row>
    <row r="436" spans="1:5" ht="15">
      <c r="A436" s="120" t="s">
        <v>25</v>
      </c>
      <c r="B436" s="121">
        <v>21</v>
      </c>
      <c r="C436" s="121">
        <v>26</v>
      </c>
      <c r="D436" s="121">
        <v>3</v>
      </c>
      <c r="E436" s="121">
        <v>201</v>
      </c>
    </row>
    <row r="437" spans="1:5" ht="15">
      <c r="A437" s="120" t="s">
        <v>25</v>
      </c>
      <c r="B437" s="121">
        <v>21</v>
      </c>
      <c r="C437" s="121">
        <v>26</v>
      </c>
      <c r="D437" s="121">
        <v>4</v>
      </c>
      <c r="E437" s="121">
        <v>414432</v>
      </c>
    </row>
    <row r="438" spans="1:5" ht="15">
      <c r="A438" s="120" t="s">
        <v>25</v>
      </c>
      <c r="B438" s="121">
        <v>21</v>
      </c>
      <c r="C438" s="121">
        <v>26</v>
      </c>
      <c r="D438" s="121">
        <v>5</v>
      </c>
      <c r="E438" s="121">
        <v>1250</v>
      </c>
    </row>
    <row r="439" spans="1:5" ht="15">
      <c r="A439" s="120" t="s">
        <v>25</v>
      </c>
      <c r="B439" s="121">
        <v>21</v>
      </c>
      <c r="C439" s="121">
        <v>26</v>
      </c>
      <c r="D439" s="121">
        <v>7</v>
      </c>
      <c r="E439" s="121">
        <v>1250</v>
      </c>
    </row>
    <row r="440" spans="1:5" ht="15">
      <c r="A440" s="120" t="s">
        <v>25</v>
      </c>
      <c r="B440" s="121">
        <v>21</v>
      </c>
      <c r="C440" s="121">
        <v>27</v>
      </c>
      <c r="D440" s="121">
        <v>2</v>
      </c>
      <c r="E440" s="121">
        <v>2036017</v>
      </c>
    </row>
    <row r="441" spans="1:5" ht="15">
      <c r="A441" s="120" t="s">
        <v>25</v>
      </c>
      <c r="B441" s="121">
        <v>21</v>
      </c>
      <c r="C441" s="121">
        <v>27</v>
      </c>
      <c r="D441" s="121">
        <v>3</v>
      </c>
      <c r="E441" s="121">
        <v>2283667</v>
      </c>
    </row>
    <row r="442" spans="1:5" ht="15">
      <c r="A442" s="120" t="s">
        <v>25</v>
      </c>
      <c r="B442" s="121">
        <v>21</v>
      </c>
      <c r="C442" s="121">
        <v>27</v>
      </c>
      <c r="D442" s="121">
        <v>4</v>
      </c>
      <c r="E442" s="121">
        <v>1951807</v>
      </c>
    </row>
    <row r="443" spans="1:5" ht="15">
      <c r="A443" s="120" t="s">
        <v>25</v>
      </c>
      <c r="B443" s="121">
        <v>21</v>
      </c>
      <c r="C443" s="121">
        <v>27</v>
      </c>
      <c r="D443" s="121">
        <v>5</v>
      </c>
      <c r="E443" s="121">
        <v>8450</v>
      </c>
    </row>
    <row r="444" spans="1:5" ht="15">
      <c r="A444" s="120" t="s">
        <v>25</v>
      </c>
      <c r="B444" s="121">
        <v>21</v>
      </c>
      <c r="C444" s="121">
        <v>27</v>
      </c>
      <c r="D444" s="121">
        <v>7</v>
      </c>
      <c r="E444" s="121">
        <v>2562846</v>
      </c>
    </row>
    <row r="445" spans="1:5" ht="15">
      <c r="A445" s="120" t="s">
        <v>25</v>
      </c>
      <c r="B445" s="121">
        <v>21</v>
      </c>
      <c r="C445" s="121">
        <v>27</v>
      </c>
      <c r="D445" s="121">
        <v>8</v>
      </c>
      <c r="E445" s="121">
        <v>10000</v>
      </c>
    </row>
    <row r="446" spans="1:5" ht="15">
      <c r="A446" s="120" t="s">
        <v>25</v>
      </c>
      <c r="B446" s="121">
        <v>21</v>
      </c>
      <c r="C446" s="121">
        <v>28</v>
      </c>
      <c r="D446" s="121">
        <v>3</v>
      </c>
      <c r="E446" s="121">
        <v>1496</v>
      </c>
    </row>
    <row r="447" spans="1:5" ht="15">
      <c r="A447" s="120" t="s">
        <v>25</v>
      </c>
      <c r="B447" s="121">
        <v>21</v>
      </c>
      <c r="C447" s="121">
        <v>28</v>
      </c>
      <c r="D447" s="121">
        <v>4</v>
      </c>
      <c r="E447" s="121">
        <v>209</v>
      </c>
    </row>
    <row r="448" spans="1:5" ht="15">
      <c r="A448" s="120" t="s">
        <v>25</v>
      </c>
      <c r="B448" s="121">
        <v>21</v>
      </c>
      <c r="C448" s="121">
        <v>31</v>
      </c>
      <c r="D448" s="121">
        <v>2</v>
      </c>
      <c r="E448" s="121">
        <v>151384</v>
      </c>
    </row>
    <row r="449" spans="1:5" ht="15">
      <c r="A449" s="120" t="s">
        <v>25</v>
      </c>
      <c r="B449" s="121">
        <v>21</v>
      </c>
      <c r="C449" s="121">
        <v>31</v>
      </c>
      <c r="D449" s="121">
        <v>3</v>
      </c>
      <c r="E449" s="121">
        <v>11993</v>
      </c>
    </row>
    <row r="450" spans="1:5" ht="15">
      <c r="A450" s="120" t="s">
        <v>25</v>
      </c>
      <c r="B450" s="121">
        <v>21</v>
      </c>
      <c r="C450" s="121">
        <v>31</v>
      </c>
      <c r="D450" s="121">
        <v>4</v>
      </c>
      <c r="E450" s="121">
        <v>41472</v>
      </c>
    </row>
    <row r="451" spans="1:5" ht="15">
      <c r="A451" s="120" t="s">
        <v>25</v>
      </c>
      <c r="B451" s="121">
        <v>21</v>
      </c>
      <c r="C451" s="121">
        <v>31</v>
      </c>
      <c r="D451" s="121">
        <v>7</v>
      </c>
      <c r="E451" s="121">
        <v>3967</v>
      </c>
    </row>
    <row r="452" spans="1:5" ht="15">
      <c r="A452" s="120" t="s">
        <v>25</v>
      </c>
      <c r="B452" s="121">
        <v>21</v>
      </c>
      <c r="C452" s="121">
        <v>33</v>
      </c>
      <c r="D452" s="121">
        <v>5</v>
      </c>
      <c r="E452" s="121">
        <v>6000</v>
      </c>
    </row>
    <row r="453" spans="1:5" ht="15">
      <c r="A453" s="120" t="s">
        <v>25</v>
      </c>
      <c r="B453" s="121">
        <v>21</v>
      </c>
      <c r="C453" s="121">
        <v>33</v>
      </c>
      <c r="D453" s="121">
        <v>7</v>
      </c>
      <c r="E453" s="121">
        <v>7500</v>
      </c>
    </row>
    <row r="454" spans="1:5" ht="15">
      <c r="A454" s="120" t="s">
        <v>25</v>
      </c>
      <c r="B454" s="121">
        <v>21</v>
      </c>
      <c r="C454" s="121">
        <v>34</v>
      </c>
      <c r="D454" s="121">
        <v>2</v>
      </c>
      <c r="E454" s="121">
        <v>55291</v>
      </c>
    </row>
    <row r="455" spans="1:5" ht="15">
      <c r="A455" s="120" t="s">
        <v>25</v>
      </c>
      <c r="B455" s="121">
        <v>21</v>
      </c>
      <c r="C455" s="121">
        <v>34</v>
      </c>
      <c r="D455" s="121">
        <v>4</v>
      </c>
      <c r="E455" s="121">
        <v>8988</v>
      </c>
    </row>
    <row r="456" spans="1:5" ht="15">
      <c r="A456" s="120" t="s">
        <v>55</v>
      </c>
      <c r="B456" s="121">
        <v>24</v>
      </c>
      <c r="C456" s="121">
        <v>26</v>
      </c>
      <c r="D456" s="121">
        <v>2</v>
      </c>
      <c r="E456" s="121">
        <v>550267</v>
      </c>
    </row>
    <row r="457" spans="1:5" ht="15">
      <c r="A457" s="120" t="s">
        <v>55</v>
      </c>
      <c r="B457" s="121">
        <v>24</v>
      </c>
      <c r="C457" s="121">
        <v>26</v>
      </c>
      <c r="D457" s="121">
        <v>4</v>
      </c>
      <c r="E457" s="121">
        <v>173771</v>
      </c>
    </row>
    <row r="458" spans="1:5" ht="15">
      <c r="A458" s="120" t="s">
        <v>55</v>
      </c>
      <c r="B458" s="121">
        <v>24</v>
      </c>
      <c r="C458" s="121">
        <v>27</v>
      </c>
      <c r="D458" s="121">
        <v>7</v>
      </c>
      <c r="E458" s="121">
        <v>2700</v>
      </c>
    </row>
    <row r="459" spans="1:5" ht="15">
      <c r="A459" s="120" t="s">
        <v>55</v>
      </c>
      <c r="B459" s="121">
        <v>24</v>
      </c>
      <c r="C459" s="121">
        <v>31</v>
      </c>
      <c r="D459" s="121">
        <v>2</v>
      </c>
      <c r="E459" s="121">
        <v>48412</v>
      </c>
    </row>
    <row r="460" spans="1:5" ht="15">
      <c r="A460" s="120" t="s">
        <v>55</v>
      </c>
      <c r="B460" s="121">
        <v>24</v>
      </c>
      <c r="C460" s="121">
        <v>31</v>
      </c>
      <c r="D460" s="121">
        <v>4</v>
      </c>
      <c r="E460" s="121">
        <v>7858</v>
      </c>
    </row>
    <row r="461" spans="1:5" ht="15">
      <c r="A461" s="120" t="s">
        <v>25</v>
      </c>
      <c r="B461" s="121">
        <v>24</v>
      </c>
      <c r="C461" s="121">
        <v>26</v>
      </c>
      <c r="D461" s="121">
        <v>2</v>
      </c>
      <c r="E461" s="121">
        <v>214761</v>
      </c>
    </row>
    <row r="462" spans="1:5" ht="15">
      <c r="A462" s="120" t="s">
        <v>25</v>
      </c>
      <c r="B462" s="121">
        <v>24</v>
      </c>
      <c r="C462" s="121">
        <v>26</v>
      </c>
      <c r="D462" s="121">
        <v>4</v>
      </c>
      <c r="E462" s="121">
        <v>59228</v>
      </c>
    </row>
    <row r="463" spans="1:5" ht="15">
      <c r="A463" s="120" t="s">
        <v>25</v>
      </c>
      <c r="B463" s="121">
        <v>24</v>
      </c>
      <c r="C463" s="121">
        <v>27</v>
      </c>
      <c r="D463" s="121">
        <v>7</v>
      </c>
      <c r="E463" s="121">
        <v>710000</v>
      </c>
    </row>
    <row r="464" spans="1:5" ht="15">
      <c r="A464" s="120" t="s">
        <v>25</v>
      </c>
      <c r="B464" s="121">
        <v>24</v>
      </c>
      <c r="C464" s="121">
        <v>31</v>
      </c>
      <c r="D464" s="121">
        <v>2</v>
      </c>
      <c r="E464" s="121">
        <v>1637</v>
      </c>
    </row>
    <row r="465" spans="1:5" ht="15">
      <c r="A465" s="120" t="s">
        <v>25</v>
      </c>
      <c r="B465" s="121">
        <v>24</v>
      </c>
      <c r="C465" s="121">
        <v>31</v>
      </c>
      <c r="D465" s="121">
        <v>4</v>
      </c>
      <c r="E465" s="121">
        <v>264</v>
      </c>
    </row>
    <row r="466" spans="1:5" ht="15">
      <c r="A466" s="120" t="s">
        <v>59</v>
      </c>
      <c r="B466" s="121">
        <v>21</v>
      </c>
      <c r="C466" s="121">
        <v>21</v>
      </c>
      <c r="D466" s="121">
        <v>3</v>
      </c>
      <c r="E466" s="121">
        <v>33987</v>
      </c>
    </row>
    <row r="467" spans="1:5" ht="15">
      <c r="A467" s="120" t="s">
        <v>59</v>
      </c>
      <c r="B467" s="121">
        <v>21</v>
      </c>
      <c r="C467" s="121">
        <v>21</v>
      </c>
      <c r="D467" s="121">
        <v>4</v>
      </c>
      <c r="E467" s="121">
        <v>14106</v>
      </c>
    </row>
    <row r="468" spans="1:5" ht="15">
      <c r="A468" s="120" t="s">
        <v>59</v>
      </c>
      <c r="B468" s="121">
        <v>21</v>
      </c>
      <c r="C468" s="121">
        <v>26</v>
      </c>
      <c r="D468" s="121">
        <v>2</v>
      </c>
      <c r="E468" s="121">
        <v>8016</v>
      </c>
    </row>
    <row r="469" spans="1:5" ht="15">
      <c r="A469" s="120" t="s">
        <v>59</v>
      </c>
      <c r="B469" s="121">
        <v>21</v>
      </c>
      <c r="C469" s="121">
        <v>26</v>
      </c>
      <c r="D469" s="121">
        <v>4</v>
      </c>
      <c r="E469" s="121">
        <v>1377</v>
      </c>
    </row>
    <row r="470" spans="1:5" ht="15">
      <c r="A470" s="120" t="s">
        <v>59</v>
      </c>
      <c r="B470" s="121">
        <v>21</v>
      </c>
      <c r="C470" s="121">
        <v>26</v>
      </c>
      <c r="D470" s="121">
        <v>5</v>
      </c>
      <c r="E470" s="121">
        <v>900</v>
      </c>
    </row>
    <row r="471" spans="1:5" ht="15">
      <c r="A471" s="120" t="s">
        <v>59</v>
      </c>
      <c r="B471" s="121">
        <v>21</v>
      </c>
      <c r="C471" s="121">
        <v>26</v>
      </c>
      <c r="D471" s="121">
        <v>7</v>
      </c>
      <c r="E471" s="121">
        <v>525000</v>
      </c>
    </row>
    <row r="472" spans="1:5" ht="15">
      <c r="A472" s="120" t="s">
        <v>59</v>
      </c>
      <c r="B472" s="121">
        <v>21</v>
      </c>
      <c r="C472" s="121">
        <v>27</v>
      </c>
      <c r="D472" s="121">
        <v>2</v>
      </c>
      <c r="E472" s="121">
        <v>492889</v>
      </c>
    </row>
    <row r="473" spans="1:5" ht="15">
      <c r="A473" s="120" t="s">
        <v>59</v>
      </c>
      <c r="B473" s="121">
        <v>21</v>
      </c>
      <c r="C473" s="121">
        <v>27</v>
      </c>
      <c r="D473" s="121">
        <v>3</v>
      </c>
      <c r="E473" s="121">
        <v>203280</v>
      </c>
    </row>
    <row r="474" spans="1:5" ht="15">
      <c r="A474" s="120" t="s">
        <v>59</v>
      </c>
      <c r="B474" s="121">
        <v>21</v>
      </c>
      <c r="C474" s="121">
        <v>27</v>
      </c>
      <c r="D474" s="121">
        <v>4</v>
      </c>
      <c r="E474" s="121">
        <v>316222</v>
      </c>
    </row>
    <row r="475" spans="1:5" ht="15">
      <c r="A475" s="120" t="s">
        <v>59</v>
      </c>
      <c r="B475" s="121">
        <v>21</v>
      </c>
      <c r="C475" s="121">
        <v>27</v>
      </c>
      <c r="D475" s="121">
        <v>5</v>
      </c>
      <c r="E475" s="121">
        <v>8000</v>
      </c>
    </row>
    <row r="476" spans="1:5" ht="15">
      <c r="A476" s="120" t="s">
        <v>59</v>
      </c>
      <c r="B476" s="121">
        <v>21</v>
      </c>
      <c r="C476" s="121">
        <v>27</v>
      </c>
      <c r="D476" s="121">
        <v>7</v>
      </c>
      <c r="E476" s="121">
        <v>1500</v>
      </c>
    </row>
    <row r="477" spans="1:5" ht="15">
      <c r="A477" s="120" t="s">
        <v>59</v>
      </c>
      <c r="B477" s="121">
        <v>21</v>
      </c>
      <c r="C477" s="121">
        <v>32</v>
      </c>
      <c r="D477" s="121">
        <v>5</v>
      </c>
      <c r="E477" s="121">
        <v>3400</v>
      </c>
    </row>
    <row r="478" spans="1:5" ht="15">
      <c r="A478" s="120" t="s">
        <v>59</v>
      </c>
      <c r="B478" s="121">
        <v>21</v>
      </c>
      <c r="C478" s="121">
        <v>34</v>
      </c>
      <c r="D478" s="121">
        <v>2</v>
      </c>
      <c r="E478" s="121">
        <v>6416</v>
      </c>
    </row>
    <row r="479" spans="1:5" ht="15">
      <c r="A479" s="120" t="s">
        <v>59</v>
      </c>
      <c r="B479" s="121">
        <v>21</v>
      </c>
      <c r="C479" s="121">
        <v>34</v>
      </c>
      <c r="D479" s="121">
        <v>4</v>
      </c>
      <c r="E479" s="121">
        <v>1143</v>
      </c>
    </row>
    <row r="480" spans="1:5" ht="15">
      <c r="A480" s="120" t="s">
        <v>59</v>
      </c>
      <c r="B480" s="121">
        <v>24</v>
      </c>
      <c r="C480" s="121">
        <v>26</v>
      </c>
      <c r="D480" s="121">
        <v>7</v>
      </c>
      <c r="E480" s="121">
        <v>120500</v>
      </c>
    </row>
    <row r="481" spans="1:5" ht="15">
      <c r="A481" s="120" t="s">
        <v>59</v>
      </c>
      <c r="B481" s="121">
        <v>29</v>
      </c>
      <c r="C481" s="121">
        <v>26</v>
      </c>
      <c r="D481" s="121">
        <v>2</v>
      </c>
      <c r="E481" s="121">
        <v>108041</v>
      </c>
    </row>
    <row r="482" spans="1:5" ht="15">
      <c r="A482" s="120" t="s">
        <v>59</v>
      </c>
      <c r="B482" s="121">
        <v>29</v>
      </c>
      <c r="C482" s="121">
        <v>26</v>
      </c>
      <c r="D482" s="121">
        <v>4</v>
      </c>
      <c r="E482" s="121">
        <v>34811</v>
      </c>
    </row>
    <row r="483" spans="1:5" ht="15">
      <c r="A483" s="120" t="s">
        <v>65</v>
      </c>
      <c r="B483" s="121">
        <v>21</v>
      </c>
      <c r="C483" s="121">
        <v>21</v>
      </c>
      <c r="D483" s="121">
        <v>2</v>
      </c>
      <c r="E483" s="121">
        <v>116435</v>
      </c>
    </row>
    <row r="484" spans="1:5" ht="15">
      <c r="A484" s="120" t="s">
        <v>65</v>
      </c>
      <c r="B484" s="121">
        <v>21</v>
      </c>
      <c r="C484" s="121">
        <v>21</v>
      </c>
      <c r="D484" s="121">
        <v>3</v>
      </c>
      <c r="E484" s="121">
        <v>36940</v>
      </c>
    </row>
    <row r="485" spans="1:5" ht="15">
      <c r="A485" s="120" t="s">
        <v>65</v>
      </c>
      <c r="B485" s="121">
        <v>21</v>
      </c>
      <c r="C485" s="121">
        <v>21</v>
      </c>
      <c r="D485" s="121">
        <v>4</v>
      </c>
      <c r="E485" s="121">
        <v>49022</v>
      </c>
    </row>
    <row r="486" spans="1:5" ht="15">
      <c r="A486" s="120" t="s">
        <v>65</v>
      </c>
      <c r="B486" s="121">
        <v>21</v>
      </c>
      <c r="C486" s="121">
        <v>21</v>
      </c>
      <c r="D486" s="121">
        <v>7</v>
      </c>
      <c r="E486" s="121">
        <v>5000</v>
      </c>
    </row>
    <row r="487" spans="1:5" ht="15">
      <c r="A487" s="120" t="s">
        <v>65</v>
      </c>
      <c r="B487" s="121">
        <v>21</v>
      </c>
      <c r="C487" s="121">
        <v>26</v>
      </c>
      <c r="D487" s="121">
        <v>2</v>
      </c>
      <c r="E487" s="121">
        <v>409141</v>
      </c>
    </row>
    <row r="488" spans="1:5" ht="15">
      <c r="A488" s="120" t="s">
        <v>65</v>
      </c>
      <c r="B488" s="121">
        <v>21</v>
      </c>
      <c r="C488" s="121">
        <v>26</v>
      </c>
      <c r="D488" s="121">
        <v>3</v>
      </c>
      <c r="E488" s="121">
        <v>62829</v>
      </c>
    </row>
    <row r="489" spans="1:5" ht="15">
      <c r="A489" s="120" t="s">
        <v>65</v>
      </c>
      <c r="B489" s="121">
        <v>21</v>
      </c>
      <c r="C489" s="121">
        <v>26</v>
      </c>
      <c r="D489" s="121">
        <v>4</v>
      </c>
      <c r="E489" s="121">
        <v>167671</v>
      </c>
    </row>
    <row r="490" spans="1:5" ht="15">
      <c r="A490" s="120" t="s">
        <v>65</v>
      </c>
      <c r="B490" s="121">
        <v>21</v>
      </c>
      <c r="C490" s="121">
        <v>26</v>
      </c>
      <c r="D490" s="121">
        <v>7</v>
      </c>
      <c r="E490" s="121">
        <v>135000</v>
      </c>
    </row>
    <row r="491" spans="1:5" ht="15">
      <c r="A491" s="120" t="s">
        <v>65</v>
      </c>
      <c r="B491" s="121">
        <v>21</v>
      </c>
      <c r="C491" s="121">
        <v>26</v>
      </c>
      <c r="D491" s="121">
        <v>8</v>
      </c>
      <c r="E491" s="121">
        <v>500</v>
      </c>
    </row>
    <row r="492" spans="1:5" ht="15">
      <c r="A492" s="120" t="s">
        <v>65</v>
      </c>
      <c r="B492" s="121">
        <v>21</v>
      </c>
      <c r="C492" s="121">
        <v>27</v>
      </c>
      <c r="D492" s="121">
        <v>2</v>
      </c>
      <c r="E492" s="121">
        <v>563210</v>
      </c>
    </row>
    <row r="493" spans="1:5" ht="15">
      <c r="A493" s="120" t="s">
        <v>65</v>
      </c>
      <c r="B493" s="121">
        <v>21</v>
      </c>
      <c r="C493" s="121">
        <v>27</v>
      </c>
      <c r="D493" s="121">
        <v>3</v>
      </c>
      <c r="E493" s="121">
        <v>564961</v>
      </c>
    </row>
    <row r="494" spans="1:5" ht="15">
      <c r="A494" s="120" t="s">
        <v>65</v>
      </c>
      <c r="B494" s="121">
        <v>21</v>
      </c>
      <c r="C494" s="121">
        <v>27</v>
      </c>
      <c r="D494" s="121">
        <v>4</v>
      </c>
      <c r="E494" s="121">
        <v>534902</v>
      </c>
    </row>
    <row r="495" spans="1:5" ht="15">
      <c r="A495" s="120" t="s">
        <v>65</v>
      </c>
      <c r="B495" s="121">
        <v>21</v>
      </c>
      <c r="C495" s="121">
        <v>27</v>
      </c>
      <c r="D495" s="121">
        <v>5</v>
      </c>
      <c r="E495" s="121">
        <v>36500</v>
      </c>
    </row>
    <row r="496" spans="1:5" ht="15">
      <c r="A496" s="120" t="s">
        <v>65</v>
      </c>
      <c r="B496" s="121">
        <v>21</v>
      </c>
      <c r="C496" s="121">
        <v>27</v>
      </c>
      <c r="D496" s="121">
        <v>7</v>
      </c>
      <c r="E496" s="121">
        <v>138750</v>
      </c>
    </row>
    <row r="497" spans="1:5" ht="15">
      <c r="A497" s="120" t="s">
        <v>65</v>
      </c>
      <c r="B497" s="121">
        <v>21</v>
      </c>
      <c r="C497" s="121">
        <v>27</v>
      </c>
      <c r="D497" s="121">
        <v>8</v>
      </c>
      <c r="E497" s="121">
        <v>1000</v>
      </c>
    </row>
    <row r="498" spans="1:5" ht="15">
      <c r="A498" s="120" t="s">
        <v>65</v>
      </c>
      <c r="B498" s="121">
        <v>21</v>
      </c>
      <c r="C498" s="121">
        <v>31</v>
      </c>
      <c r="D498" s="121">
        <v>7</v>
      </c>
      <c r="E498" s="121">
        <v>1500</v>
      </c>
    </row>
    <row r="499" spans="1:5" ht="15">
      <c r="A499" s="120" t="s">
        <v>65</v>
      </c>
      <c r="B499" s="121">
        <v>21</v>
      </c>
      <c r="C499" s="121">
        <v>31</v>
      </c>
      <c r="D499" s="121">
        <v>8</v>
      </c>
      <c r="E499" s="121">
        <v>250</v>
      </c>
    </row>
    <row r="500" spans="1:5" ht="15">
      <c r="A500" s="120" t="s">
        <v>65</v>
      </c>
      <c r="B500" s="121">
        <v>21</v>
      </c>
      <c r="C500" s="121">
        <v>32</v>
      </c>
      <c r="D500" s="121">
        <v>7</v>
      </c>
      <c r="E500" s="121">
        <v>500</v>
      </c>
    </row>
    <row r="501" spans="1:5" ht="15">
      <c r="A501" s="120" t="s">
        <v>61</v>
      </c>
      <c r="B501" s="121">
        <v>21</v>
      </c>
      <c r="C501" s="121">
        <v>27</v>
      </c>
      <c r="D501" s="121">
        <v>2</v>
      </c>
      <c r="E501" s="121">
        <v>77520</v>
      </c>
    </row>
    <row r="502" spans="1:5" ht="15">
      <c r="A502" s="120" t="s">
        <v>61</v>
      </c>
      <c r="B502" s="121">
        <v>21</v>
      </c>
      <c r="C502" s="121">
        <v>27</v>
      </c>
      <c r="D502" s="121">
        <v>3</v>
      </c>
      <c r="E502" s="121">
        <v>51526</v>
      </c>
    </row>
    <row r="503" spans="1:5" ht="15">
      <c r="A503" s="120" t="s">
        <v>61</v>
      </c>
      <c r="B503" s="121">
        <v>21</v>
      </c>
      <c r="C503" s="121">
        <v>27</v>
      </c>
      <c r="D503" s="121">
        <v>4</v>
      </c>
      <c r="E503" s="121">
        <v>54896</v>
      </c>
    </row>
    <row r="504" spans="1:5" ht="15">
      <c r="A504" s="120" t="s">
        <v>61</v>
      </c>
      <c r="B504" s="121">
        <v>21</v>
      </c>
      <c r="C504" s="121">
        <v>27</v>
      </c>
      <c r="D504" s="121">
        <v>7</v>
      </c>
      <c r="E504" s="121">
        <v>30000</v>
      </c>
    </row>
    <row r="505" spans="1:5" ht="15">
      <c r="A505" s="120" t="s">
        <v>61</v>
      </c>
      <c r="B505" s="121">
        <v>21</v>
      </c>
      <c r="C505" s="121">
        <v>27</v>
      </c>
      <c r="D505" s="121">
        <v>8</v>
      </c>
      <c r="E505" s="121">
        <v>2000</v>
      </c>
    </row>
    <row r="506" spans="1:5" ht="15">
      <c r="A506" s="120" t="s">
        <v>61</v>
      </c>
      <c r="B506" s="121">
        <v>21</v>
      </c>
      <c r="C506" s="121">
        <v>29</v>
      </c>
      <c r="D506" s="121">
        <v>7</v>
      </c>
      <c r="E506" s="121">
        <v>140000</v>
      </c>
    </row>
    <row r="507" spans="1:5" ht="15">
      <c r="A507" s="120" t="s">
        <v>61</v>
      </c>
      <c r="B507" s="121">
        <v>24</v>
      </c>
      <c r="C507" s="121">
        <v>27</v>
      </c>
      <c r="D507" s="121">
        <v>3</v>
      </c>
      <c r="E507" s="121">
        <v>30459</v>
      </c>
    </row>
    <row r="508" spans="1:5" ht="15">
      <c r="A508" s="120" t="s">
        <v>61</v>
      </c>
      <c r="B508" s="121">
        <v>24</v>
      </c>
      <c r="C508" s="121">
        <v>27</v>
      </c>
      <c r="D508" s="121">
        <v>4</v>
      </c>
      <c r="E508" s="121">
        <v>19107</v>
      </c>
    </row>
    <row r="509" spans="1:5" ht="15">
      <c r="A509" s="120" t="s">
        <v>61</v>
      </c>
      <c r="B509" s="121">
        <v>24</v>
      </c>
      <c r="C509" s="121">
        <v>27</v>
      </c>
      <c r="D509" s="121">
        <v>7</v>
      </c>
      <c r="E509" s="121">
        <v>2500</v>
      </c>
    </row>
    <row r="510" spans="1:5" ht="15">
      <c r="A510" s="120" t="s">
        <v>65</v>
      </c>
      <c r="B510" s="121">
        <v>24</v>
      </c>
      <c r="C510" s="121">
        <v>27</v>
      </c>
      <c r="D510" s="121">
        <v>2</v>
      </c>
      <c r="E510" s="121">
        <v>121758</v>
      </c>
    </row>
    <row r="511" spans="1:5" ht="15">
      <c r="A511" s="120" t="s">
        <v>65</v>
      </c>
      <c r="B511" s="121">
        <v>24</v>
      </c>
      <c r="C511" s="121">
        <v>27</v>
      </c>
      <c r="D511" s="121">
        <v>3</v>
      </c>
      <c r="E511" s="121">
        <v>110458</v>
      </c>
    </row>
    <row r="512" spans="1:5" ht="15">
      <c r="A512" s="120" t="s">
        <v>65</v>
      </c>
      <c r="B512" s="121">
        <v>24</v>
      </c>
      <c r="C512" s="121">
        <v>27</v>
      </c>
      <c r="D512" s="121">
        <v>4</v>
      </c>
      <c r="E512" s="121">
        <v>104651</v>
      </c>
    </row>
    <row r="513" spans="1:5" ht="15">
      <c r="A513" s="120" t="s">
        <v>65</v>
      </c>
      <c r="B513" s="121">
        <v>24</v>
      </c>
      <c r="C513" s="121">
        <v>27</v>
      </c>
      <c r="D513" s="121">
        <v>5</v>
      </c>
      <c r="E513" s="121">
        <v>753</v>
      </c>
    </row>
    <row r="514" spans="1:5" ht="15">
      <c r="A514" s="120" t="s">
        <v>63</v>
      </c>
      <c r="B514" s="121">
        <v>21</v>
      </c>
      <c r="C514" s="121">
        <v>26</v>
      </c>
      <c r="D514" s="121">
        <v>2</v>
      </c>
      <c r="E514" s="121">
        <v>165020</v>
      </c>
    </row>
    <row r="515" spans="1:5" ht="15">
      <c r="A515" s="120" t="s">
        <v>63</v>
      </c>
      <c r="B515" s="121">
        <v>21</v>
      </c>
      <c r="C515" s="121">
        <v>26</v>
      </c>
      <c r="D515" s="121">
        <v>4</v>
      </c>
      <c r="E515" s="121">
        <v>59023</v>
      </c>
    </row>
    <row r="516" spans="1:5" ht="15">
      <c r="A516" s="120" t="s">
        <v>63</v>
      </c>
      <c r="B516" s="121">
        <v>21</v>
      </c>
      <c r="C516" s="121">
        <v>27</v>
      </c>
      <c r="D516" s="121">
        <v>2</v>
      </c>
      <c r="E516" s="121">
        <v>630803</v>
      </c>
    </row>
    <row r="517" spans="1:5" ht="15">
      <c r="A517" s="120" t="s">
        <v>63</v>
      </c>
      <c r="B517" s="121">
        <v>21</v>
      </c>
      <c r="C517" s="121">
        <v>27</v>
      </c>
      <c r="D517" s="121">
        <v>3</v>
      </c>
      <c r="E517" s="121">
        <v>519172</v>
      </c>
    </row>
    <row r="518" spans="1:5" ht="15">
      <c r="A518" s="120" t="s">
        <v>63</v>
      </c>
      <c r="B518" s="121">
        <v>21</v>
      </c>
      <c r="C518" s="121">
        <v>27</v>
      </c>
      <c r="D518" s="121">
        <v>4</v>
      </c>
      <c r="E518" s="121">
        <v>527855</v>
      </c>
    </row>
    <row r="519" spans="1:5" ht="15">
      <c r="A519" s="120" t="s">
        <v>63</v>
      </c>
      <c r="B519" s="121">
        <v>21</v>
      </c>
      <c r="C519" s="121">
        <v>34</v>
      </c>
      <c r="D519" s="121">
        <v>2</v>
      </c>
      <c r="E519" s="121">
        <v>11103</v>
      </c>
    </row>
    <row r="520" spans="1:5" ht="15">
      <c r="A520" s="120" t="s">
        <v>63</v>
      </c>
      <c r="B520" s="121">
        <v>21</v>
      </c>
      <c r="C520" s="121">
        <v>34</v>
      </c>
      <c r="D520" s="121">
        <v>4</v>
      </c>
      <c r="E520" s="121">
        <v>2207</v>
      </c>
    </row>
    <row r="521" spans="1:5" ht="15">
      <c r="A521" s="120" t="s">
        <v>63</v>
      </c>
      <c r="B521" s="121">
        <v>24</v>
      </c>
      <c r="C521" s="121">
        <v>27</v>
      </c>
      <c r="D521" s="121">
        <v>3</v>
      </c>
      <c r="E521" s="121">
        <v>94176</v>
      </c>
    </row>
    <row r="522" spans="1:5" ht="15">
      <c r="A522" s="120" t="s">
        <v>63</v>
      </c>
      <c r="B522" s="121">
        <v>24</v>
      </c>
      <c r="C522" s="121">
        <v>27</v>
      </c>
      <c r="D522" s="121">
        <v>4</v>
      </c>
      <c r="E522" s="121">
        <v>66351</v>
      </c>
    </row>
    <row r="523" spans="1:5" ht="15">
      <c r="A523" s="120" t="s">
        <v>71</v>
      </c>
      <c r="B523" s="121">
        <v>21</v>
      </c>
      <c r="C523" s="121">
        <v>27</v>
      </c>
      <c r="D523" s="121">
        <v>7</v>
      </c>
      <c r="E523" s="121">
        <v>152624</v>
      </c>
    </row>
    <row r="524" spans="1:5" ht="15">
      <c r="A524" s="120" t="s">
        <v>57</v>
      </c>
      <c r="B524" s="121">
        <v>21</v>
      </c>
      <c r="C524" s="121">
        <v>21</v>
      </c>
      <c r="D524" s="121">
        <v>2</v>
      </c>
      <c r="E524" s="121">
        <v>334174</v>
      </c>
    </row>
    <row r="525" spans="1:5" ht="15">
      <c r="A525" s="120" t="s">
        <v>57</v>
      </c>
      <c r="B525" s="121">
        <v>21</v>
      </c>
      <c r="C525" s="121">
        <v>21</v>
      </c>
      <c r="D525" s="121">
        <v>3</v>
      </c>
      <c r="E525" s="121">
        <v>136519</v>
      </c>
    </row>
    <row r="526" spans="1:5" ht="15">
      <c r="A526" s="120" t="s">
        <v>57</v>
      </c>
      <c r="B526" s="121">
        <v>21</v>
      </c>
      <c r="C526" s="121">
        <v>21</v>
      </c>
      <c r="D526" s="121">
        <v>4</v>
      </c>
      <c r="E526" s="121">
        <v>135914</v>
      </c>
    </row>
    <row r="527" spans="1:5" ht="15">
      <c r="A527" s="120" t="s">
        <v>57</v>
      </c>
      <c r="B527" s="121">
        <v>21</v>
      </c>
      <c r="C527" s="121">
        <v>21</v>
      </c>
      <c r="D527" s="121">
        <v>5</v>
      </c>
      <c r="E527" s="121">
        <v>21053</v>
      </c>
    </row>
    <row r="528" spans="1:5" ht="15">
      <c r="A528" s="120" t="s">
        <v>57</v>
      </c>
      <c r="B528" s="121">
        <v>21</v>
      </c>
      <c r="C528" s="121">
        <v>21</v>
      </c>
      <c r="D528" s="121">
        <v>7</v>
      </c>
      <c r="E528" s="121">
        <v>10195</v>
      </c>
    </row>
    <row r="529" spans="1:5" ht="15">
      <c r="A529" s="120" t="s">
        <v>57</v>
      </c>
      <c r="B529" s="121">
        <v>21</v>
      </c>
      <c r="C529" s="121">
        <v>21</v>
      </c>
      <c r="D529" s="121">
        <v>8</v>
      </c>
      <c r="E529" s="121">
        <v>9040</v>
      </c>
    </row>
    <row r="530" spans="1:5" ht="15">
      <c r="A530" s="120" t="s">
        <v>57</v>
      </c>
      <c r="B530" s="121">
        <v>21</v>
      </c>
      <c r="C530" s="121">
        <v>25</v>
      </c>
      <c r="D530" s="121">
        <v>7</v>
      </c>
      <c r="E530" s="121">
        <v>11000</v>
      </c>
    </row>
    <row r="531" spans="1:5" ht="15">
      <c r="A531" s="120" t="s">
        <v>57</v>
      </c>
      <c r="B531" s="121">
        <v>21</v>
      </c>
      <c r="C531" s="121">
        <v>25</v>
      </c>
      <c r="D531" s="121">
        <v>8</v>
      </c>
      <c r="E531" s="121">
        <v>4645</v>
      </c>
    </row>
    <row r="532" spans="1:5" ht="15">
      <c r="A532" s="120" t="s">
        <v>57</v>
      </c>
      <c r="B532" s="121">
        <v>21</v>
      </c>
      <c r="C532" s="121">
        <v>26</v>
      </c>
      <c r="D532" s="121">
        <v>2</v>
      </c>
      <c r="E532" s="121">
        <v>2595202</v>
      </c>
    </row>
    <row r="533" spans="1:5" ht="15">
      <c r="A533" s="120" t="s">
        <v>57</v>
      </c>
      <c r="B533" s="121">
        <v>21</v>
      </c>
      <c r="C533" s="121">
        <v>26</v>
      </c>
      <c r="D533" s="121">
        <v>3</v>
      </c>
      <c r="E533" s="121">
        <v>46503</v>
      </c>
    </row>
    <row r="534" spans="1:5" ht="15">
      <c r="A534" s="120" t="s">
        <v>57</v>
      </c>
      <c r="B534" s="121">
        <v>21</v>
      </c>
      <c r="C534" s="121">
        <v>26</v>
      </c>
      <c r="D534" s="121">
        <v>4</v>
      </c>
      <c r="E534" s="121">
        <v>735440</v>
      </c>
    </row>
    <row r="535" spans="1:5" ht="15">
      <c r="A535" s="120" t="s">
        <v>57</v>
      </c>
      <c r="B535" s="121">
        <v>21</v>
      </c>
      <c r="C535" s="121">
        <v>26</v>
      </c>
      <c r="D535" s="121">
        <v>5</v>
      </c>
      <c r="E535" s="121">
        <v>25000</v>
      </c>
    </row>
    <row r="536" spans="1:5" ht="15">
      <c r="A536" s="120" t="s">
        <v>57</v>
      </c>
      <c r="B536" s="121">
        <v>21</v>
      </c>
      <c r="C536" s="121">
        <v>26</v>
      </c>
      <c r="D536" s="121">
        <v>7</v>
      </c>
      <c r="E536" s="121">
        <v>253524</v>
      </c>
    </row>
    <row r="537" spans="1:5" ht="15">
      <c r="A537" s="120" t="s">
        <v>57</v>
      </c>
      <c r="B537" s="121">
        <v>21</v>
      </c>
      <c r="C537" s="121">
        <v>26</v>
      </c>
      <c r="D537" s="121">
        <v>8</v>
      </c>
      <c r="E537" s="121">
        <v>1000</v>
      </c>
    </row>
    <row r="538" spans="1:5" ht="15">
      <c r="A538" s="120" t="s">
        <v>57</v>
      </c>
      <c r="B538" s="121">
        <v>21</v>
      </c>
      <c r="C538" s="121">
        <v>27</v>
      </c>
      <c r="D538" s="121">
        <v>0</v>
      </c>
      <c r="E538" s="121">
        <v>15144</v>
      </c>
    </row>
    <row r="539" spans="1:5" ht="15">
      <c r="A539" s="120" t="s">
        <v>57</v>
      </c>
      <c r="B539" s="121">
        <v>21</v>
      </c>
      <c r="C539" s="121">
        <v>27</v>
      </c>
      <c r="D539" s="121">
        <v>2</v>
      </c>
      <c r="E539" s="121">
        <v>4130885</v>
      </c>
    </row>
    <row r="540" spans="1:5" ht="15">
      <c r="A540" s="120" t="s">
        <v>57</v>
      </c>
      <c r="B540" s="121">
        <v>21</v>
      </c>
      <c r="C540" s="121">
        <v>27</v>
      </c>
      <c r="D540" s="121">
        <v>3</v>
      </c>
      <c r="E540" s="121">
        <v>3416457</v>
      </c>
    </row>
    <row r="541" spans="1:5" ht="15">
      <c r="A541" s="120" t="s">
        <v>57</v>
      </c>
      <c r="B541" s="121">
        <v>21</v>
      </c>
      <c r="C541" s="121">
        <v>27</v>
      </c>
      <c r="D541" s="121">
        <v>4</v>
      </c>
      <c r="E541" s="121">
        <v>3276581</v>
      </c>
    </row>
    <row r="542" spans="1:5" ht="15">
      <c r="A542" s="120" t="s">
        <v>57</v>
      </c>
      <c r="B542" s="121">
        <v>21</v>
      </c>
      <c r="C542" s="121">
        <v>27</v>
      </c>
      <c r="D542" s="121">
        <v>5</v>
      </c>
      <c r="E542" s="121">
        <v>34151</v>
      </c>
    </row>
    <row r="543" spans="1:5" ht="15">
      <c r="A543" s="120" t="s">
        <v>57</v>
      </c>
      <c r="B543" s="121">
        <v>21</v>
      </c>
      <c r="C543" s="121">
        <v>27</v>
      </c>
      <c r="D543" s="121">
        <v>7</v>
      </c>
      <c r="E543" s="121">
        <v>53500</v>
      </c>
    </row>
    <row r="544" spans="1:5" ht="15">
      <c r="A544" s="120" t="s">
        <v>57</v>
      </c>
      <c r="B544" s="121">
        <v>21</v>
      </c>
      <c r="C544" s="121">
        <v>27</v>
      </c>
      <c r="D544" s="121">
        <v>8</v>
      </c>
      <c r="E544" s="121">
        <v>5000</v>
      </c>
    </row>
    <row r="545" spans="1:5" ht="15">
      <c r="A545" s="120" t="s">
        <v>57</v>
      </c>
      <c r="B545" s="121">
        <v>21</v>
      </c>
      <c r="C545" s="121">
        <v>29</v>
      </c>
      <c r="D545" s="121">
        <v>7</v>
      </c>
      <c r="E545" s="121">
        <v>2500000</v>
      </c>
    </row>
    <row r="546" spans="1:5" ht="15">
      <c r="A546" s="120" t="s">
        <v>57</v>
      </c>
      <c r="B546" s="121">
        <v>21</v>
      </c>
      <c r="C546" s="121">
        <v>31</v>
      </c>
      <c r="D546" s="121">
        <v>5</v>
      </c>
      <c r="E546" s="121">
        <v>6000</v>
      </c>
    </row>
    <row r="547" spans="1:5" ht="15">
      <c r="A547" s="120" t="s">
        <v>57</v>
      </c>
      <c r="B547" s="121">
        <v>24</v>
      </c>
      <c r="C547" s="121">
        <v>27</v>
      </c>
      <c r="D547" s="121">
        <v>2</v>
      </c>
      <c r="E547" s="121">
        <v>939094</v>
      </c>
    </row>
    <row r="548" spans="1:5" ht="15">
      <c r="A548" s="120" t="s">
        <v>57</v>
      </c>
      <c r="B548" s="121">
        <v>24</v>
      </c>
      <c r="C548" s="121">
        <v>27</v>
      </c>
      <c r="D548" s="121">
        <v>3</v>
      </c>
      <c r="E548" s="121">
        <v>7997</v>
      </c>
    </row>
    <row r="549" spans="1:5" ht="15">
      <c r="A549" s="120" t="s">
        <v>57</v>
      </c>
      <c r="B549" s="121">
        <v>24</v>
      </c>
      <c r="C549" s="121">
        <v>27</v>
      </c>
      <c r="D549" s="121">
        <v>4</v>
      </c>
      <c r="E549" s="121">
        <v>284408</v>
      </c>
    </row>
    <row r="550" spans="1:5" ht="15">
      <c r="A550" s="120" t="s">
        <v>57</v>
      </c>
      <c r="B550" s="121">
        <v>24</v>
      </c>
      <c r="C550" s="121">
        <v>27</v>
      </c>
      <c r="D550" s="121">
        <v>5</v>
      </c>
      <c r="E550" s="121">
        <v>46813</v>
      </c>
    </row>
    <row r="551" spans="1:5" ht="15">
      <c r="A551" s="120" t="s">
        <v>67</v>
      </c>
      <c r="B551" s="121">
        <v>21</v>
      </c>
      <c r="C551" s="121">
        <v>21</v>
      </c>
      <c r="D551" s="121">
        <v>2</v>
      </c>
      <c r="E551" s="121">
        <v>142018</v>
      </c>
    </row>
    <row r="552" spans="1:5" ht="15">
      <c r="A552" s="120" t="s">
        <v>67</v>
      </c>
      <c r="B552" s="121">
        <v>21</v>
      </c>
      <c r="C552" s="121">
        <v>21</v>
      </c>
      <c r="D552" s="121">
        <v>3</v>
      </c>
      <c r="E552" s="121">
        <v>49392</v>
      </c>
    </row>
    <row r="553" spans="1:5" ht="15">
      <c r="A553" s="120" t="s">
        <v>67</v>
      </c>
      <c r="B553" s="121">
        <v>21</v>
      </c>
      <c r="C553" s="121">
        <v>21</v>
      </c>
      <c r="D553" s="121">
        <v>4</v>
      </c>
      <c r="E553" s="121">
        <v>65842</v>
      </c>
    </row>
    <row r="554" spans="1:5" ht="15">
      <c r="A554" s="120" t="s">
        <v>67</v>
      </c>
      <c r="B554" s="121">
        <v>21</v>
      </c>
      <c r="C554" s="121">
        <v>26</v>
      </c>
      <c r="D554" s="121">
        <v>2</v>
      </c>
      <c r="E554" s="121">
        <v>358757</v>
      </c>
    </row>
    <row r="555" spans="1:5" ht="15">
      <c r="A555" s="120" t="s">
        <v>67</v>
      </c>
      <c r="B555" s="121">
        <v>21</v>
      </c>
      <c r="C555" s="121">
        <v>26</v>
      </c>
      <c r="D555" s="121">
        <v>3</v>
      </c>
      <c r="E555" s="121">
        <v>33011</v>
      </c>
    </row>
    <row r="556" spans="1:5" ht="15">
      <c r="A556" s="120" t="s">
        <v>67</v>
      </c>
      <c r="B556" s="121">
        <v>21</v>
      </c>
      <c r="C556" s="121">
        <v>26</v>
      </c>
      <c r="D556" s="121">
        <v>4</v>
      </c>
      <c r="E556" s="121">
        <v>131544</v>
      </c>
    </row>
    <row r="557" spans="1:5" ht="15">
      <c r="A557" s="120" t="s">
        <v>67</v>
      </c>
      <c r="B557" s="121">
        <v>21</v>
      </c>
      <c r="C557" s="121">
        <v>26</v>
      </c>
      <c r="D557" s="121">
        <v>7</v>
      </c>
      <c r="E557" s="121">
        <v>547554</v>
      </c>
    </row>
    <row r="558" spans="1:5" ht="15">
      <c r="A558" s="120" t="s">
        <v>67</v>
      </c>
      <c r="B558" s="121">
        <v>21</v>
      </c>
      <c r="C558" s="121">
        <v>27</v>
      </c>
      <c r="D558" s="121">
        <v>2</v>
      </c>
      <c r="E558" s="121">
        <v>665741</v>
      </c>
    </row>
    <row r="559" spans="1:5" ht="15">
      <c r="A559" s="120" t="s">
        <v>67</v>
      </c>
      <c r="B559" s="121">
        <v>21</v>
      </c>
      <c r="C559" s="121">
        <v>27</v>
      </c>
      <c r="D559" s="121">
        <v>3</v>
      </c>
      <c r="E559" s="121">
        <v>663573</v>
      </c>
    </row>
    <row r="560" spans="1:5" ht="15">
      <c r="A560" s="120" t="s">
        <v>67</v>
      </c>
      <c r="B560" s="121">
        <v>21</v>
      </c>
      <c r="C560" s="121">
        <v>27</v>
      </c>
      <c r="D560" s="121">
        <v>4</v>
      </c>
      <c r="E560" s="121">
        <v>700179</v>
      </c>
    </row>
    <row r="561" spans="1:5" ht="15">
      <c r="A561" s="120" t="s">
        <v>67</v>
      </c>
      <c r="B561" s="121">
        <v>21</v>
      </c>
      <c r="C561" s="121">
        <v>27</v>
      </c>
      <c r="D561" s="121">
        <v>5</v>
      </c>
      <c r="E561" s="121">
        <v>11000</v>
      </c>
    </row>
    <row r="562" spans="1:5" ht="15">
      <c r="A562" s="120" t="s">
        <v>67</v>
      </c>
      <c r="B562" s="121">
        <v>21</v>
      </c>
      <c r="C562" s="121">
        <v>27</v>
      </c>
      <c r="D562" s="121">
        <v>7</v>
      </c>
      <c r="E562" s="121">
        <v>396278</v>
      </c>
    </row>
    <row r="563" spans="1:5" ht="15">
      <c r="A563" s="120" t="s">
        <v>67</v>
      </c>
      <c r="B563" s="121">
        <v>21</v>
      </c>
      <c r="C563" s="121">
        <v>34</v>
      </c>
      <c r="D563" s="121">
        <v>2</v>
      </c>
      <c r="E563" s="121">
        <v>18073</v>
      </c>
    </row>
    <row r="564" spans="1:5" ht="15">
      <c r="A564" s="120" t="s">
        <v>67</v>
      </c>
      <c r="B564" s="121">
        <v>21</v>
      </c>
      <c r="C564" s="121">
        <v>34</v>
      </c>
      <c r="D564" s="121">
        <v>4</v>
      </c>
      <c r="E564" s="121">
        <v>3101</v>
      </c>
    </row>
    <row r="565" spans="1:5" ht="15">
      <c r="A565" s="120" t="s">
        <v>67</v>
      </c>
      <c r="B565" s="121">
        <v>24</v>
      </c>
      <c r="C565" s="121">
        <v>26</v>
      </c>
      <c r="D565" s="121">
        <v>7</v>
      </c>
      <c r="E565" s="121">
        <v>102446</v>
      </c>
    </row>
    <row r="566" spans="1:5" ht="15">
      <c r="A566" s="120" t="s">
        <v>67</v>
      </c>
      <c r="B566" s="121">
        <v>24</v>
      </c>
      <c r="C566" s="121">
        <v>27</v>
      </c>
      <c r="D566" s="121">
        <v>2</v>
      </c>
      <c r="E566" s="121">
        <v>125512</v>
      </c>
    </row>
    <row r="567" spans="1:5" ht="15">
      <c r="A567" s="120" t="s">
        <v>67</v>
      </c>
      <c r="B567" s="121">
        <v>24</v>
      </c>
      <c r="C567" s="121">
        <v>27</v>
      </c>
      <c r="D567" s="121">
        <v>3</v>
      </c>
      <c r="E567" s="121">
        <v>12521</v>
      </c>
    </row>
    <row r="568" spans="1:5" ht="15">
      <c r="A568" s="120" t="s">
        <v>67</v>
      </c>
      <c r="B568" s="121">
        <v>24</v>
      </c>
      <c r="C568" s="121">
        <v>27</v>
      </c>
      <c r="D568" s="121">
        <v>4</v>
      </c>
      <c r="E568" s="121">
        <v>43577</v>
      </c>
    </row>
    <row r="569" spans="1:5" ht="15">
      <c r="A569" s="120" t="s">
        <v>79</v>
      </c>
      <c r="B569" s="121">
        <v>21</v>
      </c>
      <c r="C569" s="121">
        <v>21</v>
      </c>
      <c r="D569" s="121">
        <v>2</v>
      </c>
      <c r="E569" s="121">
        <v>235054</v>
      </c>
    </row>
    <row r="570" spans="1:5" ht="15">
      <c r="A570" s="120" t="s">
        <v>79</v>
      </c>
      <c r="B570" s="121">
        <v>21</v>
      </c>
      <c r="C570" s="121">
        <v>21</v>
      </c>
      <c r="D570" s="121">
        <v>3</v>
      </c>
      <c r="E570" s="121">
        <v>73726</v>
      </c>
    </row>
    <row r="571" spans="1:5" ht="15">
      <c r="A571" s="120" t="s">
        <v>79</v>
      </c>
      <c r="B571" s="121">
        <v>21</v>
      </c>
      <c r="C571" s="121">
        <v>21</v>
      </c>
      <c r="D571" s="121">
        <v>4</v>
      </c>
      <c r="E571" s="121">
        <v>101893</v>
      </c>
    </row>
    <row r="572" spans="1:5" ht="15">
      <c r="A572" s="120" t="s">
        <v>79</v>
      </c>
      <c r="B572" s="121">
        <v>21</v>
      </c>
      <c r="C572" s="121">
        <v>21</v>
      </c>
      <c r="D572" s="121">
        <v>5</v>
      </c>
      <c r="E572" s="121">
        <v>2400</v>
      </c>
    </row>
    <row r="573" spans="1:5" ht="15">
      <c r="A573" s="120" t="s">
        <v>79</v>
      </c>
      <c r="B573" s="121">
        <v>21</v>
      </c>
      <c r="C573" s="121">
        <v>21</v>
      </c>
      <c r="D573" s="121">
        <v>7</v>
      </c>
      <c r="E573" s="121">
        <v>21125</v>
      </c>
    </row>
    <row r="574" spans="1:5" ht="15">
      <c r="A574" s="120" t="s">
        <v>79</v>
      </c>
      <c r="B574" s="121">
        <v>21</v>
      </c>
      <c r="C574" s="121">
        <v>21</v>
      </c>
      <c r="D574" s="121">
        <v>8</v>
      </c>
      <c r="E574" s="121">
        <v>1200</v>
      </c>
    </row>
    <row r="575" spans="1:5" ht="15">
      <c r="A575" s="120" t="s">
        <v>79</v>
      </c>
      <c r="B575" s="121">
        <v>21</v>
      </c>
      <c r="C575" s="121">
        <v>25</v>
      </c>
      <c r="D575" s="121">
        <v>3</v>
      </c>
      <c r="E575" s="121">
        <v>62289</v>
      </c>
    </row>
    <row r="576" spans="1:5" ht="15">
      <c r="A576" s="120" t="s">
        <v>79</v>
      </c>
      <c r="B576" s="121">
        <v>21</v>
      </c>
      <c r="C576" s="121">
        <v>25</v>
      </c>
      <c r="D576" s="121">
        <v>4</v>
      </c>
      <c r="E576" s="121">
        <v>46390</v>
      </c>
    </row>
    <row r="577" spans="1:5" ht="15">
      <c r="A577" s="120" t="s">
        <v>79</v>
      </c>
      <c r="B577" s="121">
        <v>21</v>
      </c>
      <c r="C577" s="121">
        <v>26</v>
      </c>
      <c r="D577" s="121">
        <v>2</v>
      </c>
      <c r="E577" s="121">
        <v>497651</v>
      </c>
    </row>
    <row r="578" spans="1:5" ht="15">
      <c r="A578" s="120" t="s">
        <v>79</v>
      </c>
      <c r="B578" s="121">
        <v>21</v>
      </c>
      <c r="C578" s="121">
        <v>26</v>
      </c>
      <c r="D578" s="121">
        <v>3</v>
      </c>
      <c r="E578" s="121">
        <v>88761</v>
      </c>
    </row>
    <row r="579" spans="1:5" ht="15">
      <c r="A579" s="120" t="s">
        <v>79</v>
      </c>
      <c r="B579" s="121">
        <v>21</v>
      </c>
      <c r="C579" s="121">
        <v>26</v>
      </c>
      <c r="D579" s="121">
        <v>4</v>
      </c>
      <c r="E579" s="121">
        <v>205692</v>
      </c>
    </row>
    <row r="580" spans="1:5" ht="15">
      <c r="A580" s="120" t="s">
        <v>79</v>
      </c>
      <c r="B580" s="121">
        <v>21</v>
      </c>
      <c r="C580" s="121">
        <v>26</v>
      </c>
      <c r="D580" s="121">
        <v>5</v>
      </c>
      <c r="E580" s="121">
        <v>11505</v>
      </c>
    </row>
    <row r="581" spans="1:5" ht="15">
      <c r="A581" s="120" t="s">
        <v>79</v>
      </c>
      <c r="B581" s="121">
        <v>21</v>
      </c>
      <c r="C581" s="121">
        <v>26</v>
      </c>
      <c r="D581" s="121">
        <v>7</v>
      </c>
      <c r="E581" s="121">
        <v>959000</v>
      </c>
    </row>
    <row r="582" spans="1:5" ht="15">
      <c r="A582" s="120" t="s">
        <v>79</v>
      </c>
      <c r="B582" s="121">
        <v>21</v>
      </c>
      <c r="C582" s="121">
        <v>26</v>
      </c>
      <c r="D582" s="121">
        <v>8</v>
      </c>
      <c r="E582" s="121">
        <v>400</v>
      </c>
    </row>
    <row r="583" spans="1:5" ht="15">
      <c r="A583" s="120" t="s">
        <v>79</v>
      </c>
      <c r="B583" s="121">
        <v>21</v>
      </c>
      <c r="C583" s="121">
        <v>27</v>
      </c>
      <c r="D583" s="121">
        <v>0</v>
      </c>
      <c r="E583" s="121">
        <v>13000</v>
      </c>
    </row>
    <row r="584" spans="1:5" ht="15">
      <c r="A584" s="120" t="s">
        <v>79</v>
      </c>
      <c r="B584" s="121">
        <v>21</v>
      </c>
      <c r="C584" s="121">
        <v>27</v>
      </c>
      <c r="D584" s="121">
        <v>2</v>
      </c>
      <c r="E584" s="121">
        <v>2154875</v>
      </c>
    </row>
    <row r="585" spans="1:5" ht="15">
      <c r="A585" s="120" t="s">
        <v>79</v>
      </c>
      <c r="B585" s="121">
        <v>21</v>
      </c>
      <c r="C585" s="121">
        <v>27</v>
      </c>
      <c r="D585" s="121">
        <v>3</v>
      </c>
      <c r="E585" s="121">
        <v>1250740</v>
      </c>
    </row>
    <row r="586" spans="1:5" ht="15">
      <c r="A586" s="120" t="s">
        <v>79</v>
      </c>
      <c r="B586" s="121">
        <v>21</v>
      </c>
      <c r="C586" s="121">
        <v>27</v>
      </c>
      <c r="D586" s="121">
        <v>4</v>
      </c>
      <c r="E586" s="121">
        <v>1530335</v>
      </c>
    </row>
    <row r="587" spans="1:5" ht="15">
      <c r="A587" s="120" t="s">
        <v>79</v>
      </c>
      <c r="B587" s="121">
        <v>21</v>
      </c>
      <c r="C587" s="121">
        <v>27</v>
      </c>
      <c r="D587" s="121">
        <v>5</v>
      </c>
      <c r="E587" s="121">
        <v>3300</v>
      </c>
    </row>
    <row r="588" spans="1:5" ht="15">
      <c r="A588" s="120" t="s">
        <v>79</v>
      </c>
      <c r="B588" s="121">
        <v>21</v>
      </c>
      <c r="C588" s="121">
        <v>27</v>
      </c>
      <c r="D588" s="121">
        <v>7</v>
      </c>
      <c r="E588" s="121">
        <v>170950</v>
      </c>
    </row>
    <row r="589" spans="1:5" ht="15">
      <c r="A589" s="120" t="s">
        <v>79</v>
      </c>
      <c r="B589" s="121">
        <v>21</v>
      </c>
      <c r="C589" s="121">
        <v>27</v>
      </c>
      <c r="D589" s="121">
        <v>8</v>
      </c>
      <c r="E589" s="121">
        <v>1800</v>
      </c>
    </row>
    <row r="590" spans="1:5" ht="15">
      <c r="A590" s="120" t="s">
        <v>79</v>
      </c>
      <c r="B590" s="121">
        <v>21</v>
      </c>
      <c r="C590" s="121">
        <v>31</v>
      </c>
      <c r="D590" s="121">
        <v>2</v>
      </c>
      <c r="E590" s="121">
        <v>48486</v>
      </c>
    </row>
    <row r="591" spans="1:5" ht="15">
      <c r="A591" s="120" t="s">
        <v>79</v>
      </c>
      <c r="B591" s="121">
        <v>21</v>
      </c>
      <c r="C591" s="121">
        <v>31</v>
      </c>
      <c r="D591" s="121">
        <v>3</v>
      </c>
      <c r="E591" s="121">
        <v>1000</v>
      </c>
    </row>
    <row r="592" spans="1:5" ht="15">
      <c r="A592" s="120" t="s">
        <v>79</v>
      </c>
      <c r="B592" s="121">
        <v>21</v>
      </c>
      <c r="C592" s="121">
        <v>31</v>
      </c>
      <c r="D592" s="121">
        <v>4</v>
      </c>
      <c r="E592" s="121">
        <v>8182</v>
      </c>
    </row>
    <row r="593" spans="1:5" ht="15">
      <c r="A593" s="120" t="s">
        <v>79</v>
      </c>
      <c r="B593" s="121">
        <v>21</v>
      </c>
      <c r="C593" s="121">
        <v>31</v>
      </c>
      <c r="D593" s="121">
        <v>7</v>
      </c>
      <c r="E593" s="121">
        <v>1000</v>
      </c>
    </row>
    <row r="594" spans="1:5" ht="15">
      <c r="A594" s="120" t="s">
        <v>79</v>
      </c>
      <c r="B594" s="121">
        <v>21</v>
      </c>
      <c r="C594" s="121">
        <v>34</v>
      </c>
      <c r="D594" s="121">
        <v>2</v>
      </c>
      <c r="E594" s="121">
        <v>42355</v>
      </c>
    </row>
    <row r="595" spans="1:5" ht="15">
      <c r="A595" s="120" t="s">
        <v>79</v>
      </c>
      <c r="B595" s="121">
        <v>21</v>
      </c>
      <c r="C595" s="121">
        <v>34</v>
      </c>
      <c r="D595" s="121">
        <v>4</v>
      </c>
      <c r="E595" s="121">
        <v>6980</v>
      </c>
    </row>
    <row r="596" spans="1:5" ht="15">
      <c r="A596" s="120" t="s">
        <v>79</v>
      </c>
      <c r="B596" s="121">
        <v>24</v>
      </c>
      <c r="C596" s="121">
        <v>26</v>
      </c>
      <c r="D596" s="121">
        <v>3</v>
      </c>
      <c r="E596" s="121">
        <v>59554</v>
      </c>
    </row>
    <row r="597" spans="1:5" ht="15">
      <c r="A597" s="120" t="s">
        <v>79</v>
      </c>
      <c r="B597" s="121">
        <v>24</v>
      </c>
      <c r="C597" s="121">
        <v>26</v>
      </c>
      <c r="D597" s="121">
        <v>4</v>
      </c>
      <c r="E597" s="121">
        <v>25361</v>
      </c>
    </row>
    <row r="598" spans="1:5" ht="15">
      <c r="A598" s="120" t="s">
        <v>79</v>
      </c>
      <c r="B598" s="121">
        <v>24</v>
      </c>
      <c r="C598" s="121">
        <v>27</v>
      </c>
      <c r="D598" s="121">
        <v>3</v>
      </c>
      <c r="E598" s="121">
        <v>353949</v>
      </c>
    </row>
    <row r="599" spans="1:5" ht="15">
      <c r="A599" s="120" t="s">
        <v>79</v>
      </c>
      <c r="B599" s="121">
        <v>24</v>
      </c>
      <c r="C599" s="121">
        <v>27</v>
      </c>
      <c r="D599" s="121">
        <v>4</v>
      </c>
      <c r="E599" s="121">
        <v>264483</v>
      </c>
    </row>
    <row r="600" spans="1:5" ht="15">
      <c r="A600" s="120" t="s">
        <v>73</v>
      </c>
      <c r="B600" s="121">
        <v>21</v>
      </c>
      <c r="C600" s="121">
        <v>21</v>
      </c>
      <c r="D600" s="121">
        <v>0</v>
      </c>
      <c r="E600" s="121">
        <v>60</v>
      </c>
    </row>
    <row r="601" spans="1:5" ht="15">
      <c r="A601" s="120" t="s">
        <v>73</v>
      </c>
      <c r="B601" s="121">
        <v>21</v>
      </c>
      <c r="C601" s="121">
        <v>21</v>
      </c>
      <c r="D601" s="121">
        <v>2</v>
      </c>
      <c r="E601" s="121">
        <v>1063679</v>
      </c>
    </row>
    <row r="602" spans="1:5" ht="15">
      <c r="A602" s="120" t="s">
        <v>73</v>
      </c>
      <c r="B602" s="121">
        <v>21</v>
      </c>
      <c r="C602" s="121">
        <v>21</v>
      </c>
      <c r="D602" s="121">
        <v>3</v>
      </c>
      <c r="E602" s="121">
        <v>246568</v>
      </c>
    </row>
    <row r="603" spans="1:5" ht="15">
      <c r="A603" s="120" t="s">
        <v>73</v>
      </c>
      <c r="B603" s="121">
        <v>21</v>
      </c>
      <c r="C603" s="121">
        <v>21</v>
      </c>
      <c r="D603" s="121">
        <v>4</v>
      </c>
      <c r="E603" s="121">
        <v>359970</v>
      </c>
    </row>
    <row r="604" spans="1:5" ht="15">
      <c r="A604" s="120" t="s">
        <v>73</v>
      </c>
      <c r="B604" s="121">
        <v>21</v>
      </c>
      <c r="C604" s="121">
        <v>21</v>
      </c>
      <c r="D604" s="121">
        <v>5</v>
      </c>
      <c r="E604" s="121">
        <v>13150</v>
      </c>
    </row>
    <row r="605" spans="1:5" ht="15">
      <c r="A605" s="120" t="s">
        <v>73</v>
      </c>
      <c r="B605" s="121">
        <v>21</v>
      </c>
      <c r="C605" s="121">
        <v>21</v>
      </c>
      <c r="D605" s="121">
        <v>7</v>
      </c>
      <c r="E605" s="121">
        <v>6559</v>
      </c>
    </row>
    <row r="606" spans="1:5" ht="15">
      <c r="A606" s="120" t="s">
        <v>73</v>
      </c>
      <c r="B606" s="121">
        <v>21</v>
      </c>
      <c r="C606" s="121">
        <v>21</v>
      </c>
      <c r="D606" s="121">
        <v>8</v>
      </c>
      <c r="E606" s="121">
        <v>4500</v>
      </c>
    </row>
    <row r="607" spans="1:5" ht="15">
      <c r="A607" s="120" t="s">
        <v>73</v>
      </c>
      <c r="B607" s="121">
        <v>21</v>
      </c>
      <c r="C607" s="121">
        <v>26</v>
      </c>
      <c r="D607" s="121">
        <v>2</v>
      </c>
      <c r="E607" s="121">
        <v>3785846</v>
      </c>
    </row>
    <row r="608" spans="1:5" ht="15">
      <c r="A608" s="120" t="s">
        <v>73</v>
      </c>
      <c r="B608" s="121">
        <v>21</v>
      </c>
      <c r="C608" s="121">
        <v>26</v>
      </c>
      <c r="D608" s="121">
        <v>3</v>
      </c>
      <c r="E608" s="121">
        <v>281928</v>
      </c>
    </row>
    <row r="609" spans="1:5" ht="15">
      <c r="A609" s="120" t="s">
        <v>73</v>
      </c>
      <c r="B609" s="121">
        <v>21</v>
      </c>
      <c r="C609" s="121">
        <v>26</v>
      </c>
      <c r="D609" s="121">
        <v>4</v>
      </c>
      <c r="E609" s="121">
        <v>1236685</v>
      </c>
    </row>
    <row r="610" spans="1:5" ht="15">
      <c r="A610" s="120" t="s">
        <v>73</v>
      </c>
      <c r="B610" s="121">
        <v>21</v>
      </c>
      <c r="C610" s="121">
        <v>26</v>
      </c>
      <c r="D610" s="121">
        <v>5</v>
      </c>
      <c r="E610" s="121">
        <v>23713</v>
      </c>
    </row>
    <row r="611" spans="1:5" ht="15">
      <c r="A611" s="120" t="s">
        <v>73</v>
      </c>
      <c r="B611" s="121">
        <v>21</v>
      </c>
      <c r="C611" s="121">
        <v>26</v>
      </c>
      <c r="D611" s="121">
        <v>8</v>
      </c>
      <c r="E611" s="121">
        <v>5551</v>
      </c>
    </row>
    <row r="612" spans="1:5" ht="15">
      <c r="A612" s="120" t="s">
        <v>73</v>
      </c>
      <c r="B612" s="121">
        <v>21</v>
      </c>
      <c r="C612" s="121">
        <v>27</v>
      </c>
      <c r="D612" s="121">
        <v>0</v>
      </c>
      <c r="E612" s="121">
        <v>60843</v>
      </c>
    </row>
    <row r="613" spans="1:5" ht="15">
      <c r="A613" s="120" t="s">
        <v>73</v>
      </c>
      <c r="B613" s="121">
        <v>21</v>
      </c>
      <c r="C613" s="121">
        <v>27</v>
      </c>
      <c r="D613" s="121">
        <v>2</v>
      </c>
      <c r="E613" s="121">
        <v>10209959</v>
      </c>
    </row>
    <row r="614" spans="1:5" ht="15">
      <c r="A614" s="120" t="s">
        <v>73</v>
      </c>
      <c r="B614" s="121">
        <v>21</v>
      </c>
      <c r="C614" s="121">
        <v>27</v>
      </c>
      <c r="D614" s="121">
        <v>3</v>
      </c>
      <c r="E614" s="121">
        <v>7110268</v>
      </c>
    </row>
    <row r="615" spans="1:5" ht="15">
      <c r="A615" s="120" t="s">
        <v>73</v>
      </c>
      <c r="B615" s="121">
        <v>21</v>
      </c>
      <c r="C615" s="121">
        <v>27</v>
      </c>
      <c r="D615" s="121">
        <v>4</v>
      </c>
      <c r="E615" s="121">
        <v>7192391</v>
      </c>
    </row>
    <row r="616" spans="1:5" ht="15">
      <c r="A616" s="120" t="s">
        <v>73</v>
      </c>
      <c r="B616" s="121">
        <v>21</v>
      </c>
      <c r="C616" s="121">
        <v>27</v>
      </c>
      <c r="D616" s="121">
        <v>5</v>
      </c>
      <c r="E616" s="121">
        <v>100990</v>
      </c>
    </row>
    <row r="617" spans="1:5" ht="15">
      <c r="A617" s="120" t="s">
        <v>73</v>
      </c>
      <c r="B617" s="121">
        <v>21</v>
      </c>
      <c r="C617" s="121">
        <v>27</v>
      </c>
      <c r="D617" s="121">
        <v>7</v>
      </c>
      <c r="E617" s="121">
        <v>946000</v>
      </c>
    </row>
    <row r="618" spans="1:5" ht="15">
      <c r="A618" s="120" t="s">
        <v>73</v>
      </c>
      <c r="B618" s="121">
        <v>21</v>
      </c>
      <c r="C618" s="121">
        <v>27</v>
      </c>
      <c r="D618" s="121">
        <v>8</v>
      </c>
      <c r="E618" s="121">
        <v>17171</v>
      </c>
    </row>
    <row r="619" spans="1:5" ht="15">
      <c r="A619" s="120" t="s">
        <v>73</v>
      </c>
      <c r="B619" s="121">
        <v>21</v>
      </c>
      <c r="C619" s="121">
        <v>31</v>
      </c>
      <c r="D619" s="121">
        <v>2</v>
      </c>
      <c r="E619" s="121">
        <v>109547</v>
      </c>
    </row>
    <row r="620" spans="1:5" ht="15">
      <c r="A620" s="120" t="s">
        <v>73</v>
      </c>
      <c r="B620" s="121">
        <v>21</v>
      </c>
      <c r="C620" s="121">
        <v>31</v>
      </c>
      <c r="D620" s="121">
        <v>4</v>
      </c>
      <c r="E620" s="121">
        <v>33385</v>
      </c>
    </row>
    <row r="621" spans="1:5" ht="15">
      <c r="A621" s="120" t="s">
        <v>73</v>
      </c>
      <c r="B621" s="121">
        <v>21</v>
      </c>
      <c r="C621" s="121">
        <v>31</v>
      </c>
      <c r="D621" s="121">
        <v>7</v>
      </c>
      <c r="E621" s="121">
        <v>16143</v>
      </c>
    </row>
    <row r="622" spans="1:5" ht="15">
      <c r="A622" s="120" t="s">
        <v>73</v>
      </c>
      <c r="B622" s="121">
        <v>21</v>
      </c>
      <c r="C622" s="121">
        <v>34</v>
      </c>
      <c r="D622" s="121">
        <v>2</v>
      </c>
      <c r="E622" s="121">
        <v>46494</v>
      </c>
    </row>
    <row r="623" spans="1:5" ht="15">
      <c r="A623" s="120" t="s">
        <v>73</v>
      </c>
      <c r="B623" s="121">
        <v>21</v>
      </c>
      <c r="C623" s="121">
        <v>34</v>
      </c>
      <c r="D623" s="121">
        <v>4</v>
      </c>
      <c r="E623" s="121">
        <v>7343</v>
      </c>
    </row>
    <row r="624" spans="1:5" ht="15">
      <c r="A624" s="120" t="s">
        <v>73</v>
      </c>
      <c r="B624" s="121">
        <v>24</v>
      </c>
      <c r="C624" s="121">
        <v>27</v>
      </c>
      <c r="D624" s="121">
        <v>3</v>
      </c>
      <c r="E624" s="121">
        <v>1794281</v>
      </c>
    </row>
    <row r="625" spans="1:5" ht="15">
      <c r="A625" s="120" t="s">
        <v>73</v>
      </c>
      <c r="B625" s="121">
        <v>24</v>
      </c>
      <c r="C625" s="121">
        <v>27</v>
      </c>
      <c r="D625" s="121">
        <v>4</v>
      </c>
      <c r="E625" s="121">
        <v>1073145</v>
      </c>
    </row>
    <row r="626" spans="1:5" ht="15">
      <c r="A626" s="120" t="s">
        <v>85</v>
      </c>
      <c r="B626" s="121">
        <v>21</v>
      </c>
      <c r="C626" s="121">
        <v>21</v>
      </c>
      <c r="D626" s="121">
        <v>2</v>
      </c>
      <c r="E626" s="121">
        <v>69991</v>
      </c>
    </row>
    <row r="627" spans="1:5" ht="15">
      <c r="A627" s="120" t="s">
        <v>85</v>
      </c>
      <c r="B627" s="121">
        <v>21</v>
      </c>
      <c r="C627" s="121">
        <v>21</v>
      </c>
      <c r="D627" s="121">
        <v>3</v>
      </c>
      <c r="E627" s="121">
        <v>51052</v>
      </c>
    </row>
    <row r="628" spans="1:5" ht="15">
      <c r="A628" s="120" t="s">
        <v>85</v>
      </c>
      <c r="B628" s="121">
        <v>21</v>
      </c>
      <c r="C628" s="121">
        <v>21</v>
      </c>
      <c r="D628" s="121">
        <v>4</v>
      </c>
      <c r="E628" s="121">
        <v>43191</v>
      </c>
    </row>
    <row r="629" spans="1:5" ht="15">
      <c r="A629" s="120" t="s">
        <v>73</v>
      </c>
      <c r="B629" s="121">
        <v>29</v>
      </c>
      <c r="C629" s="121">
        <v>27</v>
      </c>
      <c r="D629" s="121">
        <v>2</v>
      </c>
      <c r="E629" s="121">
        <v>477173</v>
      </c>
    </row>
    <row r="630" spans="1:5" ht="15">
      <c r="A630" s="120" t="s">
        <v>73</v>
      </c>
      <c r="B630" s="121">
        <v>29</v>
      </c>
      <c r="C630" s="121">
        <v>27</v>
      </c>
      <c r="D630" s="121">
        <v>4</v>
      </c>
      <c r="E630" s="121">
        <v>155425</v>
      </c>
    </row>
    <row r="631" spans="1:5" ht="15">
      <c r="A631" s="120" t="s">
        <v>73</v>
      </c>
      <c r="B631" s="121">
        <v>29</v>
      </c>
      <c r="C631" s="121">
        <v>31</v>
      </c>
      <c r="D631" s="121">
        <v>2</v>
      </c>
      <c r="E631" s="121">
        <v>1700</v>
      </c>
    </row>
    <row r="632" spans="1:5" ht="15">
      <c r="A632" s="120" t="s">
        <v>73</v>
      </c>
      <c r="B632" s="121">
        <v>29</v>
      </c>
      <c r="C632" s="121">
        <v>31</v>
      </c>
      <c r="D632" s="121">
        <v>4</v>
      </c>
      <c r="E632" s="121">
        <v>268</v>
      </c>
    </row>
    <row r="633" spans="1:5" ht="15">
      <c r="A633" s="120" t="s">
        <v>85</v>
      </c>
      <c r="B633" s="121">
        <v>21</v>
      </c>
      <c r="C633" s="121">
        <v>25</v>
      </c>
      <c r="D633" s="121">
        <v>3</v>
      </c>
      <c r="E633" s="121">
        <v>6308</v>
      </c>
    </row>
    <row r="634" spans="1:5" ht="15">
      <c r="A634" s="120" t="s">
        <v>85</v>
      </c>
      <c r="B634" s="121">
        <v>21</v>
      </c>
      <c r="C634" s="121">
        <v>25</v>
      </c>
      <c r="D634" s="121">
        <v>4</v>
      </c>
      <c r="E634" s="121">
        <v>4105</v>
      </c>
    </row>
    <row r="635" spans="1:5" ht="15">
      <c r="A635" s="120" t="s">
        <v>85</v>
      </c>
      <c r="B635" s="121">
        <v>21</v>
      </c>
      <c r="C635" s="121">
        <v>26</v>
      </c>
      <c r="D635" s="121">
        <v>2</v>
      </c>
      <c r="E635" s="121">
        <v>348099</v>
      </c>
    </row>
    <row r="636" spans="1:5" ht="15">
      <c r="A636" s="120" t="s">
        <v>85</v>
      </c>
      <c r="B636" s="121">
        <v>21</v>
      </c>
      <c r="C636" s="121">
        <v>26</v>
      </c>
      <c r="D636" s="121">
        <v>4</v>
      </c>
      <c r="E636" s="121">
        <v>120419</v>
      </c>
    </row>
    <row r="637" spans="1:5" ht="15">
      <c r="A637" s="120" t="s">
        <v>85</v>
      </c>
      <c r="B637" s="121">
        <v>21</v>
      </c>
      <c r="C637" s="121">
        <v>26</v>
      </c>
      <c r="D637" s="121">
        <v>7</v>
      </c>
      <c r="E637" s="121">
        <v>102750</v>
      </c>
    </row>
    <row r="638" spans="1:5" ht="15">
      <c r="A638" s="120" t="s">
        <v>85</v>
      </c>
      <c r="B638" s="121">
        <v>21</v>
      </c>
      <c r="C638" s="121">
        <v>27</v>
      </c>
      <c r="D638" s="121">
        <v>2</v>
      </c>
      <c r="E638" s="121">
        <v>225296</v>
      </c>
    </row>
    <row r="639" spans="1:5" ht="15">
      <c r="A639" s="120" t="s">
        <v>85</v>
      </c>
      <c r="B639" s="121">
        <v>21</v>
      </c>
      <c r="C639" s="121">
        <v>27</v>
      </c>
      <c r="D639" s="121">
        <v>3</v>
      </c>
      <c r="E639" s="121">
        <v>501334</v>
      </c>
    </row>
    <row r="640" spans="1:5" ht="15">
      <c r="A640" s="120" t="s">
        <v>85</v>
      </c>
      <c r="B640" s="121">
        <v>21</v>
      </c>
      <c r="C640" s="121">
        <v>27</v>
      </c>
      <c r="D640" s="121">
        <v>4</v>
      </c>
      <c r="E640" s="121">
        <v>411865</v>
      </c>
    </row>
    <row r="641" spans="1:5" ht="15">
      <c r="A641" s="120" t="s">
        <v>85</v>
      </c>
      <c r="B641" s="121">
        <v>21</v>
      </c>
      <c r="C641" s="121">
        <v>27</v>
      </c>
      <c r="D641" s="121">
        <v>5</v>
      </c>
      <c r="E641" s="121">
        <v>25000</v>
      </c>
    </row>
    <row r="642" spans="1:5" ht="15">
      <c r="A642" s="120" t="s">
        <v>85</v>
      </c>
      <c r="B642" s="121">
        <v>21</v>
      </c>
      <c r="C642" s="121">
        <v>27</v>
      </c>
      <c r="D642" s="121">
        <v>7</v>
      </c>
      <c r="E642" s="121">
        <v>783000</v>
      </c>
    </row>
    <row r="643" spans="1:5" ht="15">
      <c r="A643" s="120" t="s">
        <v>85</v>
      </c>
      <c r="B643" s="121">
        <v>21</v>
      </c>
      <c r="C643" s="121">
        <v>31</v>
      </c>
      <c r="D643" s="121">
        <v>2</v>
      </c>
      <c r="E643" s="121">
        <v>10279</v>
      </c>
    </row>
    <row r="644" spans="1:5" ht="15">
      <c r="A644" s="120" t="s">
        <v>85</v>
      </c>
      <c r="B644" s="121">
        <v>21</v>
      </c>
      <c r="C644" s="121">
        <v>31</v>
      </c>
      <c r="D644" s="121">
        <v>4</v>
      </c>
      <c r="E644" s="121">
        <v>3388</v>
      </c>
    </row>
    <row r="645" spans="1:5" ht="15">
      <c r="A645" s="120" t="s">
        <v>85</v>
      </c>
      <c r="B645" s="121">
        <v>21</v>
      </c>
      <c r="C645" s="121">
        <v>34</v>
      </c>
      <c r="D645" s="121">
        <v>2</v>
      </c>
      <c r="E645" s="121">
        <v>10278</v>
      </c>
    </row>
    <row r="646" spans="1:5" ht="15">
      <c r="A646" s="120" t="s">
        <v>85</v>
      </c>
      <c r="B646" s="121">
        <v>24</v>
      </c>
      <c r="C646" s="121">
        <v>27</v>
      </c>
      <c r="D646" s="121">
        <v>2</v>
      </c>
      <c r="E646" s="121">
        <v>186408</v>
      </c>
    </row>
    <row r="647" spans="1:5" ht="15">
      <c r="A647" s="120" t="s">
        <v>85</v>
      </c>
      <c r="B647" s="121">
        <v>24</v>
      </c>
      <c r="C647" s="121">
        <v>27</v>
      </c>
      <c r="D647" s="121">
        <v>4</v>
      </c>
      <c r="E647" s="121">
        <v>59422</v>
      </c>
    </row>
    <row r="648" spans="1:5" ht="15">
      <c r="A648" s="120" t="s">
        <v>85</v>
      </c>
      <c r="B648" s="121">
        <v>24</v>
      </c>
      <c r="C648" s="121">
        <v>27</v>
      </c>
      <c r="D648" s="121">
        <v>5</v>
      </c>
      <c r="E648" s="121">
        <v>16975</v>
      </c>
    </row>
    <row r="649" spans="1:5" ht="15">
      <c r="A649" s="120" t="s">
        <v>85</v>
      </c>
      <c r="B649" s="121">
        <v>24</v>
      </c>
      <c r="C649" s="121">
        <v>31</v>
      </c>
      <c r="D649" s="121">
        <v>2</v>
      </c>
      <c r="E649" s="121">
        <v>6213</v>
      </c>
    </row>
    <row r="650" spans="1:5" ht="15">
      <c r="A650" s="120" t="s">
        <v>85</v>
      </c>
      <c r="B650" s="121">
        <v>24</v>
      </c>
      <c r="C650" s="121">
        <v>31</v>
      </c>
      <c r="D650" s="121">
        <v>4</v>
      </c>
      <c r="E650" s="121">
        <v>1012</v>
      </c>
    </row>
    <row r="651" spans="1:5" ht="15">
      <c r="A651" s="120" t="s">
        <v>69</v>
      </c>
      <c r="B651" s="121">
        <v>21</v>
      </c>
      <c r="C651" s="121">
        <v>21</v>
      </c>
      <c r="D651" s="121">
        <v>2</v>
      </c>
      <c r="E651" s="121">
        <v>22310</v>
      </c>
    </row>
    <row r="652" spans="1:5" ht="15">
      <c r="A652" s="120" t="s">
        <v>69</v>
      </c>
      <c r="B652" s="121">
        <v>21</v>
      </c>
      <c r="C652" s="121">
        <v>21</v>
      </c>
      <c r="D652" s="121">
        <v>4</v>
      </c>
      <c r="E652" s="121">
        <v>53275</v>
      </c>
    </row>
    <row r="653" spans="1:5" ht="15">
      <c r="A653" s="120" t="s">
        <v>69</v>
      </c>
      <c r="B653" s="121">
        <v>21</v>
      </c>
      <c r="C653" s="121">
        <v>26</v>
      </c>
      <c r="D653" s="121">
        <v>5</v>
      </c>
      <c r="E653" s="121">
        <v>73000</v>
      </c>
    </row>
    <row r="654" spans="1:5" ht="15">
      <c r="A654" s="120" t="s">
        <v>69</v>
      </c>
      <c r="B654" s="121">
        <v>21</v>
      </c>
      <c r="C654" s="121">
        <v>26</v>
      </c>
      <c r="D654" s="121">
        <v>7</v>
      </c>
      <c r="E654" s="121">
        <v>226630</v>
      </c>
    </row>
    <row r="655" spans="1:5" ht="15">
      <c r="A655" s="120" t="s">
        <v>69</v>
      </c>
      <c r="B655" s="121">
        <v>21</v>
      </c>
      <c r="C655" s="121">
        <v>27</v>
      </c>
      <c r="D655" s="121">
        <v>2</v>
      </c>
      <c r="E655" s="121">
        <v>493414</v>
      </c>
    </row>
    <row r="656" spans="1:5" ht="15">
      <c r="A656" s="120" t="s">
        <v>69</v>
      </c>
      <c r="B656" s="121">
        <v>21</v>
      </c>
      <c r="C656" s="121">
        <v>27</v>
      </c>
      <c r="D656" s="121">
        <v>3</v>
      </c>
      <c r="E656" s="121">
        <v>473774</v>
      </c>
    </row>
    <row r="657" spans="1:5" ht="15">
      <c r="A657" s="120" t="s">
        <v>69</v>
      </c>
      <c r="B657" s="121">
        <v>21</v>
      </c>
      <c r="C657" s="121">
        <v>27</v>
      </c>
      <c r="D657" s="121">
        <v>4</v>
      </c>
      <c r="E657" s="121">
        <v>385610</v>
      </c>
    </row>
    <row r="658" spans="1:5" ht="15">
      <c r="A658" s="120" t="s">
        <v>69</v>
      </c>
      <c r="B658" s="121">
        <v>21</v>
      </c>
      <c r="C658" s="121">
        <v>27</v>
      </c>
      <c r="D658" s="121">
        <v>5</v>
      </c>
      <c r="E658" s="121">
        <v>33538</v>
      </c>
    </row>
    <row r="659" spans="1:5" ht="15">
      <c r="A659" s="120" t="s">
        <v>69</v>
      </c>
      <c r="B659" s="121">
        <v>21</v>
      </c>
      <c r="C659" s="121">
        <v>27</v>
      </c>
      <c r="D659" s="121">
        <v>7</v>
      </c>
      <c r="E659" s="121">
        <v>40000</v>
      </c>
    </row>
    <row r="660" spans="1:5" ht="15">
      <c r="A660" s="120" t="s">
        <v>69</v>
      </c>
      <c r="B660" s="121">
        <v>21</v>
      </c>
      <c r="C660" s="121">
        <v>34</v>
      </c>
      <c r="D660" s="121">
        <v>2</v>
      </c>
      <c r="E660" s="121">
        <v>7378</v>
      </c>
    </row>
    <row r="661" spans="1:5" ht="15">
      <c r="A661" s="120" t="s">
        <v>69</v>
      </c>
      <c r="B661" s="121">
        <v>21</v>
      </c>
      <c r="C661" s="121">
        <v>34</v>
      </c>
      <c r="D661" s="121">
        <v>4</v>
      </c>
      <c r="E661" s="121">
        <v>2718</v>
      </c>
    </row>
    <row r="662" spans="1:5" ht="15">
      <c r="A662" s="120" t="s">
        <v>69</v>
      </c>
      <c r="B662" s="121">
        <v>24</v>
      </c>
      <c r="C662" s="121">
        <v>26</v>
      </c>
      <c r="D662" s="121">
        <v>7</v>
      </c>
      <c r="E662" s="121">
        <v>84800</v>
      </c>
    </row>
    <row r="663" spans="1:5" ht="15">
      <c r="A663" s="120" t="s">
        <v>91</v>
      </c>
      <c r="B663" s="121">
        <v>21</v>
      </c>
      <c r="C663" s="121">
        <v>21</v>
      </c>
      <c r="D663" s="121">
        <v>2</v>
      </c>
      <c r="E663" s="121">
        <v>947369</v>
      </c>
    </row>
    <row r="664" spans="1:5" ht="15">
      <c r="A664" s="120" t="s">
        <v>91</v>
      </c>
      <c r="B664" s="121">
        <v>21</v>
      </c>
      <c r="C664" s="121">
        <v>21</v>
      </c>
      <c r="D664" s="121">
        <v>3</v>
      </c>
      <c r="E664" s="121">
        <v>345764</v>
      </c>
    </row>
    <row r="665" spans="1:5" ht="15">
      <c r="A665" s="120" t="s">
        <v>91</v>
      </c>
      <c r="B665" s="121">
        <v>21</v>
      </c>
      <c r="C665" s="121">
        <v>21</v>
      </c>
      <c r="D665" s="121">
        <v>4</v>
      </c>
      <c r="E665" s="121">
        <v>398486</v>
      </c>
    </row>
    <row r="666" spans="1:5" ht="15">
      <c r="A666" s="120" t="s">
        <v>91</v>
      </c>
      <c r="B666" s="121">
        <v>21</v>
      </c>
      <c r="C666" s="121">
        <v>24</v>
      </c>
      <c r="D666" s="121">
        <v>2</v>
      </c>
      <c r="E666" s="121">
        <v>394928</v>
      </c>
    </row>
    <row r="667" spans="1:5" ht="15">
      <c r="A667" s="120" t="s">
        <v>91</v>
      </c>
      <c r="B667" s="121">
        <v>21</v>
      </c>
      <c r="C667" s="121">
        <v>24</v>
      </c>
      <c r="D667" s="121">
        <v>4</v>
      </c>
      <c r="E667" s="121">
        <v>121144</v>
      </c>
    </row>
    <row r="668" spans="1:5" ht="15">
      <c r="A668" s="120" t="s">
        <v>91</v>
      </c>
      <c r="B668" s="121">
        <v>21</v>
      </c>
      <c r="C668" s="121">
        <v>26</v>
      </c>
      <c r="D668" s="121">
        <v>2</v>
      </c>
      <c r="E668" s="121">
        <v>3830039</v>
      </c>
    </row>
    <row r="669" spans="1:5" ht="15">
      <c r="A669" s="120" t="s">
        <v>91</v>
      </c>
      <c r="B669" s="121">
        <v>21</v>
      </c>
      <c r="C669" s="121">
        <v>26</v>
      </c>
      <c r="D669" s="121">
        <v>3</v>
      </c>
      <c r="E669" s="121">
        <v>1241083</v>
      </c>
    </row>
    <row r="670" spans="1:5" ht="15">
      <c r="A670" s="120" t="s">
        <v>91</v>
      </c>
      <c r="B670" s="121">
        <v>21</v>
      </c>
      <c r="C670" s="121">
        <v>26</v>
      </c>
      <c r="D670" s="121">
        <v>4</v>
      </c>
      <c r="E670" s="121">
        <v>1823333</v>
      </c>
    </row>
    <row r="671" spans="1:5" ht="15">
      <c r="A671" s="120" t="s">
        <v>91</v>
      </c>
      <c r="B671" s="121">
        <v>21</v>
      </c>
      <c r="C671" s="121">
        <v>27</v>
      </c>
      <c r="D671" s="121">
        <v>2</v>
      </c>
      <c r="E671" s="121">
        <v>13219117</v>
      </c>
    </row>
    <row r="672" spans="1:5" ht="15">
      <c r="A672" s="120" t="s">
        <v>91</v>
      </c>
      <c r="B672" s="121">
        <v>21</v>
      </c>
      <c r="C672" s="121">
        <v>27</v>
      </c>
      <c r="D672" s="121">
        <v>3</v>
      </c>
      <c r="E672" s="121">
        <v>11252087</v>
      </c>
    </row>
    <row r="673" spans="1:5" ht="15">
      <c r="A673" s="120" t="s">
        <v>91</v>
      </c>
      <c r="B673" s="121">
        <v>21</v>
      </c>
      <c r="C673" s="121">
        <v>27</v>
      </c>
      <c r="D673" s="121">
        <v>4</v>
      </c>
      <c r="E673" s="121">
        <v>11159842</v>
      </c>
    </row>
    <row r="674" spans="1:5" ht="15">
      <c r="A674" s="120" t="s">
        <v>91</v>
      </c>
      <c r="B674" s="121">
        <v>21</v>
      </c>
      <c r="C674" s="121">
        <v>27</v>
      </c>
      <c r="D674" s="121">
        <v>5</v>
      </c>
      <c r="E674" s="121">
        <v>255000</v>
      </c>
    </row>
    <row r="675" spans="1:5" ht="15">
      <c r="A675" s="120" t="s">
        <v>91</v>
      </c>
      <c r="B675" s="121">
        <v>21</v>
      </c>
      <c r="C675" s="121">
        <v>31</v>
      </c>
      <c r="D675" s="121">
        <v>2</v>
      </c>
      <c r="E675" s="121">
        <v>544849</v>
      </c>
    </row>
    <row r="676" spans="1:5" ht="15">
      <c r="A676" s="120" t="s">
        <v>91</v>
      </c>
      <c r="B676" s="121">
        <v>21</v>
      </c>
      <c r="C676" s="121">
        <v>31</v>
      </c>
      <c r="D676" s="121">
        <v>3</v>
      </c>
      <c r="E676" s="121">
        <v>8097</v>
      </c>
    </row>
    <row r="677" spans="1:5" ht="15">
      <c r="A677" s="120" t="s">
        <v>91</v>
      </c>
      <c r="B677" s="121">
        <v>21</v>
      </c>
      <c r="C677" s="121">
        <v>31</v>
      </c>
      <c r="D677" s="121">
        <v>4</v>
      </c>
      <c r="E677" s="121">
        <v>57398</v>
      </c>
    </row>
    <row r="678" spans="1:5" ht="15">
      <c r="A678" s="120" t="s">
        <v>91</v>
      </c>
      <c r="B678" s="121">
        <v>24</v>
      </c>
      <c r="C678" s="121">
        <v>27</v>
      </c>
      <c r="D678" s="121">
        <v>5</v>
      </c>
      <c r="E678" s="121">
        <v>104849</v>
      </c>
    </row>
    <row r="679" spans="1:5" ht="15">
      <c r="A679" s="120" t="s">
        <v>91</v>
      </c>
      <c r="B679" s="121">
        <v>24</v>
      </c>
      <c r="C679" s="121">
        <v>27</v>
      </c>
      <c r="D679" s="121">
        <v>7</v>
      </c>
      <c r="E679" s="121">
        <v>2760141</v>
      </c>
    </row>
    <row r="680" spans="1:5" ht="15">
      <c r="A680" s="120" t="s">
        <v>91</v>
      </c>
      <c r="B680" s="121">
        <v>26</v>
      </c>
      <c r="C680" s="121">
        <v>23</v>
      </c>
      <c r="D680" s="121">
        <v>0</v>
      </c>
      <c r="E680" s="121">
        <v>1000</v>
      </c>
    </row>
    <row r="681" spans="1:5" ht="15">
      <c r="A681" s="120" t="s">
        <v>91</v>
      </c>
      <c r="B681" s="121">
        <v>26</v>
      </c>
      <c r="C681" s="121">
        <v>23</v>
      </c>
      <c r="D681" s="121">
        <v>2</v>
      </c>
      <c r="E681" s="121">
        <v>205955</v>
      </c>
    </row>
    <row r="682" spans="1:5" ht="15">
      <c r="A682" s="120" t="s">
        <v>91</v>
      </c>
      <c r="B682" s="121">
        <v>26</v>
      </c>
      <c r="C682" s="121">
        <v>23</v>
      </c>
      <c r="D682" s="121">
        <v>3</v>
      </c>
      <c r="E682" s="121">
        <v>155800</v>
      </c>
    </row>
    <row r="683" spans="1:5" ht="15">
      <c r="A683" s="120" t="s">
        <v>91</v>
      </c>
      <c r="B683" s="121">
        <v>26</v>
      </c>
      <c r="C683" s="121">
        <v>23</v>
      </c>
      <c r="D683" s="121">
        <v>4</v>
      </c>
      <c r="E683" s="121">
        <v>116509</v>
      </c>
    </row>
    <row r="684" spans="1:5" ht="15">
      <c r="A684" s="120" t="s">
        <v>91</v>
      </c>
      <c r="B684" s="121">
        <v>26</v>
      </c>
      <c r="C684" s="121">
        <v>23</v>
      </c>
      <c r="D684" s="121">
        <v>5</v>
      </c>
      <c r="E684" s="121">
        <v>5000</v>
      </c>
    </row>
    <row r="685" spans="1:5" ht="15">
      <c r="A685" s="120" t="s">
        <v>91</v>
      </c>
      <c r="B685" s="121">
        <v>26</v>
      </c>
      <c r="C685" s="121">
        <v>24</v>
      </c>
      <c r="D685" s="121">
        <v>2</v>
      </c>
      <c r="E685" s="121">
        <v>91472</v>
      </c>
    </row>
    <row r="686" spans="1:5" ht="15">
      <c r="A686" s="120" t="s">
        <v>91</v>
      </c>
      <c r="B686" s="121">
        <v>26</v>
      </c>
      <c r="C686" s="121">
        <v>24</v>
      </c>
      <c r="D686" s="121">
        <v>3</v>
      </c>
      <c r="E686" s="121">
        <v>139795</v>
      </c>
    </row>
    <row r="687" spans="1:5" ht="15">
      <c r="A687" s="120" t="s">
        <v>91</v>
      </c>
      <c r="B687" s="121">
        <v>26</v>
      </c>
      <c r="C687" s="121">
        <v>24</v>
      </c>
      <c r="D687" s="121">
        <v>4</v>
      </c>
      <c r="E687" s="121">
        <v>92498</v>
      </c>
    </row>
    <row r="688" spans="1:5" ht="15">
      <c r="A688" s="120" t="s">
        <v>91</v>
      </c>
      <c r="B688" s="121">
        <v>26</v>
      </c>
      <c r="C688" s="121">
        <v>26</v>
      </c>
      <c r="D688" s="121">
        <v>2</v>
      </c>
      <c r="E688" s="121">
        <v>126731</v>
      </c>
    </row>
    <row r="689" spans="1:5" ht="15">
      <c r="A689" s="120" t="s">
        <v>91</v>
      </c>
      <c r="B689" s="121">
        <v>26</v>
      </c>
      <c r="C689" s="121">
        <v>26</v>
      </c>
      <c r="D689" s="121">
        <v>4</v>
      </c>
      <c r="E689" s="121">
        <v>39136</v>
      </c>
    </row>
    <row r="690" spans="1:5" ht="15">
      <c r="A690" s="120" t="s">
        <v>91</v>
      </c>
      <c r="B690" s="121">
        <v>26</v>
      </c>
      <c r="C690" s="121">
        <v>27</v>
      </c>
      <c r="D690" s="121">
        <v>0</v>
      </c>
      <c r="E690" s="121">
        <v>8000</v>
      </c>
    </row>
    <row r="691" spans="1:5" ht="15">
      <c r="A691" s="120" t="s">
        <v>91</v>
      </c>
      <c r="B691" s="121">
        <v>26</v>
      </c>
      <c r="C691" s="121">
        <v>27</v>
      </c>
      <c r="D691" s="121">
        <v>2</v>
      </c>
      <c r="E691" s="121">
        <v>990601</v>
      </c>
    </row>
    <row r="692" spans="1:5" ht="15">
      <c r="A692" s="120" t="s">
        <v>91</v>
      </c>
      <c r="B692" s="121">
        <v>26</v>
      </c>
      <c r="C692" s="121">
        <v>27</v>
      </c>
      <c r="D692" s="121">
        <v>3</v>
      </c>
      <c r="E692" s="121">
        <v>113732</v>
      </c>
    </row>
    <row r="693" spans="1:5" ht="15">
      <c r="A693" s="120" t="s">
        <v>91</v>
      </c>
      <c r="B693" s="121">
        <v>26</v>
      </c>
      <c r="C693" s="121">
        <v>27</v>
      </c>
      <c r="D693" s="121">
        <v>4</v>
      </c>
      <c r="E693" s="121">
        <v>399876</v>
      </c>
    </row>
    <row r="694" spans="1:5" ht="15">
      <c r="A694" s="120" t="s">
        <v>91</v>
      </c>
      <c r="B694" s="121">
        <v>26</v>
      </c>
      <c r="C694" s="121">
        <v>27</v>
      </c>
      <c r="D694" s="121">
        <v>5</v>
      </c>
      <c r="E694" s="121">
        <v>162102</v>
      </c>
    </row>
    <row r="695" spans="1:5" ht="15">
      <c r="A695" s="120" t="s">
        <v>91</v>
      </c>
      <c r="B695" s="121">
        <v>26</v>
      </c>
      <c r="C695" s="121">
        <v>27</v>
      </c>
      <c r="D695" s="121">
        <v>7</v>
      </c>
      <c r="E695" s="121">
        <v>20000</v>
      </c>
    </row>
    <row r="696" spans="1:5" ht="15">
      <c r="A696" s="120" t="s">
        <v>91</v>
      </c>
      <c r="B696" s="121">
        <v>26</v>
      </c>
      <c r="C696" s="121">
        <v>31</v>
      </c>
      <c r="D696" s="121">
        <v>2</v>
      </c>
      <c r="E696" s="121">
        <v>36859</v>
      </c>
    </row>
    <row r="697" spans="1:5" ht="15">
      <c r="A697" s="120" t="s">
        <v>91</v>
      </c>
      <c r="B697" s="121">
        <v>26</v>
      </c>
      <c r="C697" s="121">
        <v>31</v>
      </c>
      <c r="D697" s="121">
        <v>4</v>
      </c>
      <c r="E697" s="121">
        <v>6603</v>
      </c>
    </row>
    <row r="698" spans="1:5" ht="15">
      <c r="A698" s="120" t="s">
        <v>91</v>
      </c>
      <c r="B698" s="121">
        <v>26</v>
      </c>
      <c r="C698" s="121">
        <v>31</v>
      </c>
      <c r="D698" s="121">
        <v>5</v>
      </c>
      <c r="E698" s="121">
        <v>2000</v>
      </c>
    </row>
    <row r="699" spans="1:5" ht="15">
      <c r="A699" s="120" t="s">
        <v>91</v>
      </c>
      <c r="B699" s="121">
        <v>26</v>
      </c>
      <c r="C699" s="121">
        <v>31</v>
      </c>
      <c r="D699" s="121">
        <v>7</v>
      </c>
      <c r="E699" s="121">
        <v>5000</v>
      </c>
    </row>
    <row r="700" spans="1:5" ht="15">
      <c r="A700" s="120" t="s">
        <v>91</v>
      </c>
      <c r="B700" s="121">
        <v>26</v>
      </c>
      <c r="C700" s="121">
        <v>31</v>
      </c>
      <c r="D700" s="121">
        <v>8</v>
      </c>
      <c r="E700" s="121">
        <v>10000</v>
      </c>
    </row>
    <row r="701" spans="1:5" ht="15">
      <c r="A701" s="120" t="s">
        <v>91</v>
      </c>
      <c r="B701" s="121">
        <v>26</v>
      </c>
      <c r="C701" s="121">
        <v>33</v>
      </c>
      <c r="D701" s="121">
        <v>5</v>
      </c>
      <c r="E701" s="121">
        <v>25000</v>
      </c>
    </row>
    <row r="702" spans="1:5" ht="15">
      <c r="A702" s="120" t="s">
        <v>91</v>
      </c>
      <c r="B702" s="121">
        <v>29</v>
      </c>
      <c r="C702" s="121">
        <v>21</v>
      </c>
      <c r="D702" s="121">
        <v>3</v>
      </c>
      <c r="E702" s="121">
        <v>36227</v>
      </c>
    </row>
    <row r="703" spans="1:5" ht="15">
      <c r="A703" s="120" t="s">
        <v>91</v>
      </c>
      <c r="B703" s="121">
        <v>29</v>
      </c>
      <c r="C703" s="121">
        <v>21</v>
      </c>
      <c r="D703" s="121">
        <v>4</v>
      </c>
      <c r="E703" s="121">
        <v>11035</v>
      </c>
    </row>
    <row r="704" spans="1:5" ht="15">
      <c r="A704" s="120" t="s">
        <v>91</v>
      </c>
      <c r="B704" s="121">
        <v>29</v>
      </c>
      <c r="C704" s="121">
        <v>29</v>
      </c>
      <c r="D704" s="121">
        <v>7</v>
      </c>
      <c r="E704" s="121">
        <v>952738</v>
      </c>
    </row>
    <row r="705" spans="1:5" ht="15">
      <c r="A705" s="120" t="s">
        <v>81</v>
      </c>
      <c r="B705" s="121">
        <v>21</v>
      </c>
      <c r="C705" s="121">
        <v>21</v>
      </c>
      <c r="D705" s="121">
        <v>2</v>
      </c>
      <c r="E705" s="121">
        <v>513440</v>
      </c>
    </row>
    <row r="706" spans="1:5" ht="15">
      <c r="A706" s="120" t="s">
        <v>81</v>
      </c>
      <c r="B706" s="121">
        <v>21</v>
      </c>
      <c r="C706" s="121">
        <v>21</v>
      </c>
      <c r="D706" s="121">
        <v>3</v>
      </c>
      <c r="E706" s="121">
        <v>110056</v>
      </c>
    </row>
    <row r="707" spans="1:5" ht="15">
      <c r="A707" s="120" t="s">
        <v>81</v>
      </c>
      <c r="B707" s="121">
        <v>21</v>
      </c>
      <c r="C707" s="121">
        <v>21</v>
      </c>
      <c r="D707" s="121">
        <v>4</v>
      </c>
      <c r="E707" s="121">
        <v>183432</v>
      </c>
    </row>
    <row r="708" spans="1:5" ht="15">
      <c r="A708" s="120" t="s">
        <v>81</v>
      </c>
      <c r="B708" s="121">
        <v>21</v>
      </c>
      <c r="C708" s="121">
        <v>21</v>
      </c>
      <c r="D708" s="121">
        <v>5</v>
      </c>
      <c r="E708" s="121">
        <v>5500</v>
      </c>
    </row>
    <row r="709" spans="1:5" ht="15">
      <c r="A709" s="120" t="s">
        <v>81</v>
      </c>
      <c r="B709" s="121">
        <v>21</v>
      </c>
      <c r="C709" s="121">
        <v>21</v>
      </c>
      <c r="D709" s="121">
        <v>7</v>
      </c>
      <c r="E709" s="121">
        <v>4500</v>
      </c>
    </row>
    <row r="710" spans="1:5" ht="15">
      <c r="A710" s="120" t="s">
        <v>81</v>
      </c>
      <c r="B710" s="121">
        <v>21</v>
      </c>
      <c r="C710" s="121">
        <v>21</v>
      </c>
      <c r="D710" s="121">
        <v>8</v>
      </c>
      <c r="E710" s="121">
        <v>1000</v>
      </c>
    </row>
    <row r="711" spans="1:5" ht="15">
      <c r="A711" s="120" t="s">
        <v>81</v>
      </c>
      <c r="B711" s="121">
        <v>21</v>
      </c>
      <c r="C711" s="121">
        <v>24</v>
      </c>
      <c r="D711" s="121">
        <v>2</v>
      </c>
      <c r="E711" s="121">
        <v>187720</v>
      </c>
    </row>
    <row r="712" spans="1:5" ht="15">
      <c r="A712" s="120" t="s">
        <v>81</v>
      </c>
      <c r="B712" s="121">
        <v>21</v>
      </c>
      <c r="C712" s="121">
        <v>24</v>
      </c>
      <c r="D712" s="121">
        <v>4</v>
      </c>
      <c r="E712" s="121">
        <v>61881</v>
      </c>
    </row>
    <row r="713" spans="1:5" ht="15">
      <c r="A713" s="120" t="s">
        <v>81</v>
      </c>
      <c r="B713" s="121">
        <v>21</v>
      </c>
      <c r="C713" s="121">
        <v>25</v>
      </c>
      <c r="D713" s="121">
        <v>3</v>
      </c>
      <c r="E713" s="121">
        <v>139496</v>
      </c>
    </row>
    <row r="714" spans="1:5" ht="15">
      <c r="A714" s="120" t="s">
        <v>81</v>
      </c>
      <c r="B714" s="121">
        <v>21</v>
      </c>
      <c r="C714" s="121">
        <v>25</v>
      </c>
      <c r="D714" s="121">
        <v>4</v>
      </c>
      <c r="E714" s="121">
        <v>133744</v>
      </c>
    </row>
    <row r="715" spans="1:5" ht="15">
      <c r="A715" s="120" t="s">
        <v>81</v>
      </c>
      <c r="B715" s="121">
        <v>21</v>
      </c>
      <c r="C715" s="121">
        <v>26</v>
      </c>
      <c r="D715" s="121">
        <v>2</v>
      </c>
      <c r="E715" s="121">
        <v>2692609</v>
      </c>
    </row>
    <row r="716" spans="1:5" ht="15">
      <c r="A716" s="120" t="s">
        <v>81</v>
      </c>
      <c r="B716" s="121">
        <v>21</v>
      </c>
      <c r="C716" s="121">
        <v>26</v>
      </c>
      <c r="D716" s="121">
        <v>4</v>
      </c>
      <c r="E716" s="121">
        <v>873506</v>
      </c>
    </row>
    <row r="717" spans="1:5" ht="15">
      <c r="A717" s="120" t="s">
        <v>81</v>
      </c>
      <c r="B717" s="121">
        <v>21</v>
      </c>
      <c r="C717" s="121">
        <v>26</v>
      </c>
      <c r="D717" s="121">
        <v>5</v>
      </c>
      <c r="E717" s="121">
        <v>6000</v>
      </c>
    </row>
    <row r="718" spans="1:5" ht="15">
      <c r="A718" s="120" t="s">
        <v>81</v>
      </c>
      <c r="B718" s="121">
        <v>21</v>
      </c>
      <c r="C718" s="121">
        <v>26</v>
      </c>
      <c r="D718" s="121">
        <v>7</v>
      </c>
      <c r="E718" s="121">
        <v>226000</v>
      </c>
    </row>
    <row r="719" spans="1:5" ht="15">
      <c r="A719" s="120" t="s">
        <v>81</v>
      </c>
      <c r="B719" s="121">
        <v>21</v>
      </c>
      <c r="C719" s="121">
        <v>26</v>
      </c>
      <c r="D719" s="121">
        <v>8</v>
      </c>
      <c r="E719" s="121">
        <v>3700</v>
      </c>
    </row>
    <row r="720" spans="1:5" ht="15">
      <c r="A720" s="120" t="s">
        <v>81</v>
      </c>
      <c r="B720" s="121">
        <v>21</v>
      </c>
      <c r="C720" s="121">
        <v>27</v>
      </c>
      <c r="D720" s="121">
        <v>0</v>
      </c>
      <c r="E720" s="121">
        <v>5500</v>
      </c>
    </row>
    <row r="721" spans="1:5" ht="15">
      <c r="A721" s="120" t="s">
        <v>81</v>
      </c>
      <c r="B721" s="121">
        <v>21</v>
      </c>
      <c r="C721" s="121">
        <v>27</v>
      </c>
      <c r="D721" s="121">
        <v>2</v>
      </c>
      <c r="E721" s="121">
        <v>3598207</v>
      </c>
    </row>
    <row r="722" spans="1:5" ht="15">
      <c r="A722" s="120" t="s">
        <v>81</v>
      </c>
      <c r="B722" s="121">
        <v>21</v>
      </c>
      <c r="C722" s="121">
        <v>27</v>
      </c>
      <c r="D722" s="121">
        <v>3</v>
      </c>
      <c r="E722" s="121">
        <v>2575501</v>
      </c>
    </row>
    <row r="723" spans="1:5" ht="15">
      <c r="A723" s="120" t="s">
        <v>81</v>
      </c>
      <c r="B723" s="121">
        <v>21</v>
      </c>
      <c r="C723" s="121">
        <v>27</v>
      </c>
      <c r="D723" s="121">
        <v>4</v>
      </c>
      <c r="E723" s="121">
        <v>2847065</v>
      </c>
    </row>
    <row r="724" spans="1:5" ht="15">
      <c r="A724" s="120" t="s">
        <v>81</v>
      </c>
      <c r="B724" s="121">
        <v>21</v>
      </c>
      <c r="C724" s="121">
        <v>27</v>
      </c>
      <c r="D724" s="121">
        <v>5</v>
      </c>
      <c r="E724" s="121">
        <v>30312</v>
      </c>
    </row>
    <row r="725" spans="1:5" ht="15">
      <c r="A725" s="120" t="s">
        <v>81</v>
      </c>
      <c r="B725" s="121">
        <v>21</v>
      </c>
      <c r="C725" s="121">
        <v>27</v>
      </c>
      <c r="D725" s="121">
        <v>7</v>
      </c>
      <c r="E725" s="121">
        <v>558000</v>
      </c>
    </row>
    <row r="726" spans="1:5" ht="15">
      <c r="A726" s="120" t="s">
        <v>81</v>
      </c>
      <c r="B726" s="121">
        <v>21</v>
      </c>
      <c r="C726" s="121">
        <v>27</v>
      </c>
      <c r="D726" s="121">
        <v>8</v>
      </c>
      <c r="E726" s="121">
        <v>1500</v>
      </c>
    </row>
    <row r="727" spans="1:5" ht="15">
      <c r="A727" s="120" t="s">
        <v>81</v>
      </c>
      <c r="B727" s="121">
        <v>21</v>
      </c>
      <c r="C727" s="121">
        <v>31</v>
      </c>
      <c r="D727" s="121">
        <v>2</v>
      </c>
      <c r="E727" s="121">
        <v>54290</v>
      </c>
    </row>
    <row r="728" spans="1:5" ht="15">
      <c r="A728" s="120" t="s">
        <v>81</v>
      </c>
      <c r="B728" s="121">
        <v>21</v>
      </c>
      <c r="C728" s="121">
        <v>31</v>
      </c>
      <c r="D728" s="121">
        <v>4</v>
      </c>
      <c r="E728" s="121">
        <v>5693</v>
      </c>
    </row>
    <row r="729" spans="1:5" ht="15">
      <c r="A729" s="120" t="s">
        <v>81</v>
      </c>
      <c r="B729" s="121">
        <v>21</v>
      </c>
      <c r="C729" s="121">
        <v>34</v>
      </c>
      <c r="D729" s="121">
        <v>2</v>
      </c>
      <c r="E729" s="121">
        <v>89000</v>
      </c>
    </row>
    <row r="730" spans="1:5" ht="15">
      <c r="A730" s="120" t="s">
        <v>81</v>
      </c>
      <c r="B730" s="121">
        <v>21</v>
      </c>
      <c r="C730" s="121">
        <v>34</v>
      </c>
      <c r="D730" s="121">
        <v>4</v>
      </c>
      <c r="E730" s="121">
        <v>9333</v>
      </c>
    </row>
    <row r="731" spans="1:5" ht="15">
      <c r="A731" s="120" t="s">
        <v>81</v>
      </c>
      <c r="B731" s="121">
        <v>24</v>
      </c>
      <c r="C731" s="121">
        <v>27</v>
      </c>
      <c r="D731" s="121">
        <v>2</v>
      </c>
      <c r="E731" s="121">
        <v>860825</v>
      </c>
    </row>
    <row r="732" spans="1:5" ht="15">
      <c r="A732" s="120" t="s">
        <v>81</v>
      </c>
      <c r="B732" s="121">
        <v>24</v>
      </c>
      <c r="C732" s="121">
        <v>27</v>
      </c>
      <c r="D732" s="121">
        <v>4</v>
      </c>
      <c r="E732" s="121">
        <v>289879</v>
      </c>
    </row>
    <row r="733" spans="1:5" ht="15">
      <c r="A733" s="120" t="s">
        <v>81</v>
      </c>
      <c r="B733" s="121">
        <v>24</v>
      </c>
      <c r="C733" s="121">
        <v>31</v>
      </c>
      <c r="D733" s="121">
        <v>2</v>
      </c>
      <c r="E733" s="121">
        <v>22250</v>
      </c>
    </row>
    <row r="734" spans="1:5" ht="15">
      <c r="A734" s="120" t="s">
        <v>81</v>
      </c>
      <c r="B734" s="121">
        <v>24</v>
      </c>
      <c r="C734" s="121">
        <v>31</v>
      </c>
      <c r="D734" s="121">
        <v>4</v>
      </c>
      <c r="E734" s="121">
        <v>2333</v>
      </c>
    </row>
    <row r="735" spans="1:5" ht="15">
      <c r="A735" s="120" t="s">
        <v>75</v>
      </c>
      <c r="B735" s="121">
        <v>21</v>
      </c>
      <c r="C735" s="121">
        <v>21</v>
      </c>
      <c r="D735" s="121">
        <v>2</v>
      </c>
      <c r="E735" s="121">
        <v>450343</v>
      </c>
    </row>
    <row r="736" spans="1:5" ht="15">
      <c r="A736" s="120" t="s">
        <v>75</v>
      </c>
      <c r="B736" s="121">
        <v>21</v>
      </c>
      <c r="C736" s="121">
        <v>21</v>
      </c>
      <c r="D736" s="121">
        <v>3</v>
      </c>
      <c r="E736" s="121">
        <v>302913</v>
      </c>
    </row>
    <row r="737" spans="1:5" ht="15">
      <c r="A737" s="120" t="s">
        <v>75</v>
      </c>
      <c r="B737" s="121">
        <v>21</v>
      </c>
      <c r="C737" s="121">
        <v>21</v>
      </c>
      <c r="D737" s="121">
        <v>4</v>
      </c>
      <c r="E737" s="121">
        <v>219833</v>
      </c>
    </row>
    <row r="738" spans="1:5" ht="15">
      <c r="A738" s="120" t="s">
        <v>75</v>
      </c>
      <c r="B738" s="121">
        <v>21</v>
      </c>
      <c r="C738" s="121">
        <v>21</v>
      </c>
      <c r="D738" s="121">
        <v>5</v>
      </c>
      <c r="E738" s="121">
        <v>6500</v>
      </c>
    </row>
    <row r="739" spans="1:5" ht="15">
      <c r="A739" s="120" t="s">
        <v>75</v>
      </c>
      <c r="B739" s="121">
        <v>21</v>
      </c>
      <c r="C739" s="121">
        <v>21</v>
      </c>
      <c r="D739" s="121">
        <v>7</v>
      </c>
      <c r="E739" s="121">
        <v>28200</v>
      </c>
    </row>
    <row r="740" spans="1:5" ht="15">
      <c r="A740" s="120" t="s">
        <v>75</v>
      </c>
      <c r="B740" s="121">
        <v>21</v>
      </c>
      <c r="C740" s="121">
        <v>21</v>
      </c>
      <c r="D740" s="121">
        <v>8</v>
      </c>
      <c r="E740" s="121">
        <v>5500</v>
      </c>
    </row>
    <row r="741" spans="1:5" ht="15">
      <c r="A741" s="120" t="s">
        <v>75</v>
      </c>
      <c r="B741" s="121">
        <v>21</v>
      </c>
      <c r="C741" s="121">
        <v>24</v>
      </c>
      <c r="D741" s="121">
        <v>2</v>
      </c>
      <c r="E741" s="121">
        <v>119586</v>
      </c>
    </row>
    <row r="742" spans="1:5" ht="15">
      <c r="A742" s="120" t="s">
        <v>75</v>
      </c>
      <c r="B742" s="121">
        <v>21</v>
      </c>
      <c r="C742" s="121">
        <v>24</v>
      </c>
      <c r="D742" s="121">
        <v>4</v>
      </c>
      <c r="E742" s="121">
        <v>35152</v>
      </c>
    </row>
    <row r="743" spans="1:5" ht="15">
      <c r="A743" s="120" t="s">
        <v>75</v>
      </c>
      <c r="B743" s="121">
        <v>21</v>
      </c>
      <c r="C743" s="121">
        <v>26</v>
      </c>
      <c r="D743" s="121">
        <v>0</v>
      </c>
      <c r="E743" s="121">
        <v>100</v>
      </c>
    </row>
    <row r="744" spans="1:5" ht="15">
      <c r="A744" s="120" t="s">
        <v>75</v>
      </c>
      <c r="B744" s="121">
        <v>21</v>
      </c>
      <c r="C744" s="121">
        <v>26</v>
      </c>
      <c r="D744" s="121">
        <v>2</v>
      </c>
      <c r="E744" s="121">
        <v>6760378</v>
      </c>
    </row>
    <row r="745" spans="1:5" ht="15">
      <c r="A745" s="120" t="s">
        <v>75</v>
      </c>
      <c r="B745" s="121">
        <v>21</v>
      </c>
      <c r="C745" s="121">
        <v>26</v>
      </c>
      <c r="D745" s="121">
        <v>3</v>
      </c>
      <c r="E745" s="121">
        <v>56364</v>
      </c>
    </row>
    <row r="746" spans="1:5" ht="15">
      <c r="A746" s="120" t="s">
        <v>75</v>
      </c>
      <c r="B746" s="121">
        <v>21</v>
      </c>
      <c r="C746" s="121">
        <v>26</v>
      </c>
      <c r="D746" s="121">
        <v>4</v>
      </c>
      <c r="E746" s="121">
        <v>2220415</v>
      </c>
    </row>
    <row r="747" spans="1:5" ht="15">
      <c r="A747" s="120" t="s">
        <v>75</v>
      </c>
      <c r="B747" s="121">
        <v>21</v>
      </c>
      <c r="C747" s="121">
        <v>26</v>
      </c>
      <c r="D747" s="121">
        <v>5</v>
      </c>
      <c r="E747" s="121">
        <v>89500</v>
      </c>
    </row>
    <row r="748" spans="1:5" ht="15">
      <c r="A748" s="120" t="s">
        <v>75</v>
      </c>
      <c r="B748" s="121">
        <v>21</v>
      </c>
      <c r="C748" s="121">
        <v>26</v>
      </c>
      <c r="D748" s="121">
        <v>7</v>
      </c>
      <c r="E748" s="121">
        <v>116000</v>
      </c>
    </row>
    <row r="749" spans="1:5" ht="15">
      <c r="A749" s="120" t="s">
        <v>75</v>
      </c>
      <c r="B749" s="121">
        <v>21</v>
      </c>
      <c r="C749" s="121">
        <v>26</v>
      </c>
      <c r="D749" s="121">
        <v>8</v>
      </c>
      <c r="E749" s="121">
        <v>10000</v>
      </c>
    </row>
    <row r="750" spans="1:5" ht="15">
      <c r="A750" s="120" t="s">
        <v>75</v>
      </c>
      <c r="B750" s="121">
        <v>21</v>
      </c>
      <c r="C750" s="121">
        <v>26</v>
      </c>
      <c r="D750" s="121">
        <v>9</v>
      </c>
      <c r="E750" s="121">
        <v>15000</v>
      </c>
    </row>
    <row r="751" spans="1:5" ht="15">
      <c r="A751" s="120" t="s">
        <v>75</v>
      </c>
      <c r="B751" s="121">
        <v>21</v>
      </c>
      <c r="C751" s="121">
        <v>27</v>
      </c>
      <c r="D751" s="121">
        <v>0</v>
      </c>
      <c r="E751" s="121">
        <v>2500</v>
      </c>
    </row>
    <row r="752" spans="1:5" ht="15">
      <c r="A752" s="120" t="s">
        <v>75</v>
      </c>
      <c r="B752" s="121">
        <v>21</v>
      </c>
      <c r="C752" s="121">
        <v>27</v>
      </c>
      <c r="D752" s="121">
        <v>2</v>
      </c>
      <c r="E752" s="121">
        <v>10621859</v>
      </c>
    </row>
    <row r="753" spans="1:5" ht="15">
      <c r="A753" s="120" t="s">
        <v>75</v>
      </c>
      <c r="B753" s="121">
        <v>21</v>
      </c>
      <c r="C753" s="121">
        <v>27</v>
      </c>
      <c r="D753" s="121">
        <v>3</v>
      </c>
      <c r="E753" s="121">
        <v>9406479</v>
      </c>
    </row>
    <row r="754" spans="1:5" ht="15">
      <c r="A754" s="120" t="s">
        <v>75</v>
      </c>
      <c r="B754" s="121">
        <v>21</v>
      </c>
      <c r="C754" s="121">
        <v>27</v>
      </c>
      <c r="D754" s="121">
        <v>4</v>
      </c>
      <c r="E754" s="121">
        <v>9095843</v>
      </c>
    </row>
    <row r="755" spans="1:5" ht="15">
      <c r="A755" s="120" t="s">
        <v>75</v>
      </c>
      <c r="B755" s="121">
        <v>21</v>
      </c>
      <c r="C755" s="121">
        <v>27</v>
      </c>
      <c r="D755" s="121">
        <v>5</v>
      </c>
      <c r="E755" s="121">
        <v>107749</v>
      </c>
    </row>
    <row r="756" spans="1:5" ht="15">
      <c r="A756" s="120" t="s">
        <v>75</v>
      </c>
      <c r="B756" s="121">
        <v>21</v>
      </c>
      <c r="C756" s="121">
        <v>27</v>
      </c>
      <c r="D756" s="121">
        <v>7</v>
      </c>
      <c r="E756" s="121">
        <v>277200</v>
      </c>
    </row>
    <row r="757" spans="1:5" ht="15">
      <c r="A757" s="120" t="s">
        <v>75</v>
      </c>
      <c r="B757" s="121">
        <v>21</v>
      </c>
      <c r="C757" s="121">
        <v>27</v>
      </c>
      <c r="D757" s="121">
        <v>8</v>
      </c>
      <c r="E757" s="121">
        <v>5000</v>
      </c>
    </row>
    <row r="758" spans="1:5" ht="15">
      <c r="A758" s="120" t="s">
        <v>75</v>
      </c>
      <c r="B758" s="121">
        <v>21</v>
      </c>
      <c r="C758" s="121">
        <v>31</v>
      </c>
      <c r="D758" s="121">
        <v>2</v>
      </c>
      <c r="E758" s="121">
        <v>512242</v>
      </c>
    </row>
    <row r="759" spans="1:5" ht="15">
      <c r="A759" s="120" t="s">
        <v>75</v>
      </c>
      <c r="B759" s="121">
        <v>21</v>
      </c>
      <c r="C759" s="121">
        <v>31</v>
      </c>
      <c r="D759" s="121">
        <v>3</v>
      </c>
      <c r="E759" s="121">
        <v>9385</v>
      </c>
    </row>
    <row r="760" spans="1:5" ht="15">
      <c r="A760" s="120" t="s">
        <v>75</v>
      </c>
      <c r="B760" s="121">
        <v>21</v>
      </c>
      <c r="C760" s="121">
        <v>31</v>
      </c>
      <c r="D760" s="121">
        <v>4</v>
      </c>
      <c r="E760" s="121">
        <v>149945</v>
      </c>
    </row>
    <row r="761" spans="1:5" ht="15">
      <c r="A761" s="120" t="s">
        <v>75</v>
      </c>
      <c r="B761" s="121">
        <v>21</v>
      </c>
      <c r="C761" s="121">
        <v>31</v>
      </c>
      <c r="D761" s="121">
        <v>5</v>
      </c>
      <c r="E761" s="121">
        <v>3000</v>
      </c>
    </row>
    <row r="762" spans="1:5" ht="15">
      <c r="A762" s="120" t="s">
        <v>75</v>
      </c>
      <c r="B762" s="121">
        <v>21</v>
      </c>
      <c r="C762" s="121">
        <v>31</v>
      </c>
      <c r="D762" s="121">
        <v>7</v>
      </c>
      <c r="E762" s="121">
        <v>6000</v>
      </c>
    </row>
    <row r="763" spans="1:5" ht="15">
      <c r="A763" s="120" t="s">
        <v>75</v>
      </c>
      <c r="B763" s="121">
        <v>21</v>
      </c>
      <c r="C763" s="121">
        <v>32</v>
      </c>
      <c r="D763" s="121">
        <v>5</v>
      </c>
      <c r="E763" s="121">
        <v>50000</v>
      </c>
    </row>
    <row r="764" spans="1:5" ht="15">
      <c r="A764" s="120" t="s">
        <v>75</v>
      </c>
      <c r="B764" s="121">
        <v>21</v>
      </c>
      <c r="C764" s="121">
        <v>33</v>
      </c>
      <c r="D764" s="121">
        <v>5</v>
      </c>
      <c r="E764" s="121">
        <v>60000</v>
      </c>
    </row>
    <row r="765" spans="1:5" ht="15">
      <c r="A765" s="120" t="s">
        <v>75</v>
      </c>
      <c r="B765" s="121">
        <v>21</v>
      </c>
      <c r="C765" s="121">
        <v>34</v>
      </c>
      <c r="D765" s="121">
        <v>2</v>
      </c>
      <c r="E765" s="121">
        <v>185505</v>
      </c>
    </row>
    <row r="766" spans="1:5" ht="15">
      <c r="A766" s="120" t="s">
        <v>75</v>
      </c>
      <c r="B766" s="121">
        <v>21</v>
      </c>
      <c r="C766" s="121">
        <v>34</v>
      </c>
      <c r="D766" s="121">
        <v>4</v>
      </c>
      <c r="E766" s="121">
        <v>29010</v>
      </c>
    </row>
    <row r="767" spans="1:5" ht="15">
      <c r="A767" s="120" t="s">
        <v>87</v>
      </c>
      <c r="B767" s="121">
        <v>21</v>
      </c>
      <c r="C767" s="121">
        <v>21</v>
      </c>
      <c r="D767" s="121">
        <v>2</v>
      </c>
      <c r="E767" s="121">
        <v>113227</v>
      </c>
    </row>
    <row r="768" spans="1:5" ht="15">
      <c r="A768" s="120" t="s">
        <v>87</v>
      </c>
      <c r="B768" s="121">
        <v>21</v>
      </c>
      <c r="C768" s="121">
        <v>21</v>
      </c>
      <c r="D768" s="121">
        <v>3</v>
      </c>
      <c r="E768" s="121">
        <v>64328</v>
      </c>
    </row>
    <row r="769" spans="1:5" ht="15">
      <c r="A769" s="120" t="s">
        <v>87</v>
      </c>
      <c r="B769" s="121">
        <v>21</v>
      </c>
      <c r="C769" s="121">
        <v>21</v>
      </c>
      <c r="D769" s="121">
        <v>4</v>
      </c>
      <c r="E769" s="121">
        <v>52246</v>
      </c>
    </row>
    <row r="770" spans="1:5" ht="15">
      <c r="A770" s="120" t="s">
        <v>87</v>
      </c>
      <c r="B770" s="121">
        <v>21</v>
      </c>
      <c r="C770" s="121">
        <v>21</v>
      </c>
      <c r="D770" s="121">
        <v>5</v>
      </c>
      <c r="E770" s="121">
        <v>8500</v>
      </c>
    </row>
    <row r="771" spans="1:5" ht="15">
      <c r="A771" s="120" t="s">
        <v>87</v>
      </c>
      <c r="B771" s="121">
        <v>21</v>
      </c>
      <c r="C771" s="121">
        <v>21</v>
      </c>
      <c r="D771" s="121">
        <v>7</v>
      </c>
      <c r="E771" s="121">
        <v>2350</v>
      </c>
    </row>
    <row r="772" spans="1:5" ht="15">
      <c r="A772" s="120" t="s">
        <v>87</v>
      </c>
      <c r="B772" s="121">
        <v>21</v>
      </c>
      <c r="C772" s="121">
        <v>21</v>
      </c>
      <c r="D772" s="121">
        <v>8</v>
      </c>
      <c r="E772" s="121">
        <v>1000</v>
      </c>
    </row>
    <row r="773" spans="1:5" ht="15">
      <c r="A773" s="120" t="s">
        <v>87</v>
      </c>
      <c r="B773" s="121">
        <v>21</v>
      </c>
      <c r="C773" s="121">
        <v>23</v>
      </c>
      <c r="D773" s="121">
        <v>2</v>
      </c>
      <c r="E773" s="121">
        <v>312976</v>
      </c>
    </row>
    <row r="774" spans="1:5" ht="15">
      <c r="A774" s="120" t="s">
        <v>87</v>
      </c>
      <c r="B774" s="121">
        <v>21</v>
      </c>
      <c r="C774" s="121">
        <v>23</v>
      </c>
      <c r="D774" s="121">
        <v>3</v>
      </c>
      <c r="E774" s="121">
        <v>140107</v>
      </c>
    </row>
    <row r="775" spans="1:5" ht="15">
      <c r="A775" s="120" t="s">
        <v>87</v>
      </c>
      <c r="B775" s="121">
        <v>21</v>
      </c>
      <c r="C775" s="121">
        <v>23</v>
      </c>
      <c r="D775" s="121">
        <v>4</v>
      </c>
      <c r="E775" s="121">
        <v>151225</v>
      </c>
    </row>
    <row r="776" spans="1:5" ht="15">
      <c r="A776" s="120" t="s">
        <v>87</v>
      </c>
      <c r="B776" s="121">
        <v>21</v>
      </c>
      <c r="C776" s="121">
        <v>24</v>
      </c>
      <c r="D776" s="121">
        <v>3</v>
      </c>
      <c r="E776" s="121">
        <v>36995</v>
      </c>
    </row>
    <row r="777" spans="1:5" ht="15">
      <c r="A777" s="120" t="s">
        <v>87</v>
      </c>
      <c r="B777" s="121">
        <v>21</v>
      </c>
      <c r="C777" s="121">
        <v>24</v>
      </c>
      <c r="D777" s="121">
        <v>4</v>
      </c>
      <c r="E777" s="121">
        <v>21671</v>
      </c>
    </row>
    <row r="778" spans="1:5" ht="15">
      <c r="A778" s="120" t="s">
        <v>87</v>
      </c>
      <c r="B778" s="121">
        <v>21</v>
      </c>
      <c r="C778" s="121">
        <v>25</v>
      </c>
      <c r="D778" s="121">
        <v>3</v>
      </c>
      <c r="E778" s="121">
        <v>2324</v>
      </c>
    </row>
    <row r="779" spans="1:5" ht="15">
      <c r="A779" s="120" t="s">
        <v>87</v>
      </c>
      <c r="B779" s="121">
        <v>21</v>
      </c>
      <c r="C779" s="121">
        <v>25</v>
      </c>
      <c r="D779" s="121">
        <v>4</v>
      </c>
      <c r="E779" s="121">
        <v>216</v>
      </c>
    </row>
    <row r="780" spans="1:5" ht="15">
      <c r="A780" s="120" t="s">
        <v>87</v>
      </c>
      <c r="B780" s="121">
        <v>21</v>
      </c>
      <c r="C780" s="121">
        <v>26</v>
      </c>
      <c r="D780" s="121">
        <v>2</v>
      </c>
      <c r="E780" s="121">
        <v>1012917</v>
      </c>
    </row>
    <row r="781" spans="1:5" ht="15">
      <c r="A781" s="120" t="s">
        <v>87</v>
      </c>
      <c r="B781" s="121">
        <v>21</v>
      </c>
      <c r="C781" s="121">
        <v>26</v>
      </c>
      <c r="D781" s="121">
        <v>3</v>
      </c>
      <c r="E781" s="121">
        <v>58535</v>
      </c>
    </row>
    <row r="782" spans="1:5" ht="15">
      <c r="A782" s="120" t="s">
        <v>87</v>
      </c>
      <c r="B782" s="121">
        <v>21</v>
      </c>
      <c r="C782" s="121">
        <v>26</v>
      </c>
      <c r="D782" s="121">
        <v>4</v>
      </c>
      <c r="E782" s="121">
        <v>371353</v>
      </c>
    </row>
    <row r="783" spans="1:5" ht="15">
      <c r="A783" s="120" t="s">
        <v>87</v>
      </c>
      <c r="B783" s="121">
        <v>21</v>
      </c>
      <c r="C783" s="121">
        <v>26</v>
      </c>
      <c r="D783" s="121">
        <v>5</v>
      </c>
      <c r="E783" s="121">
        <v>5925</v>
      </c>
    </row>
    <row r="784" spans="1:5" ht="15">
      <c r="A784" s="120" t="s">
        <v>87</v>
      </c>
      <c r="B784" s="121">
        <v>21</v>
      </c>
      <c r="C784" s="121">
        <v>26</v>
      </c>
      <c r="D784" s="121">
        <v>7</v>
      </c>
      <c r="E784" s="121">
        <v>94000</v>
      </c>
    </row>
    <row r="785" spans="1:5" ht="15">
      <c r="A785" s="120" t="s">
        <v>87</v>
      </c>
      <c r="B785" s="121">
        <v>21</v>
      </c>
      <c r="C785" s="121">
        <v>26</v>
      </c>
      <c r="D785" s="121">
        <v>8</v>
      </c>
      <c r="E785" s="121">
        <v>500</v>
      </c>
    </row>
    <row r="786" spans="1:5" ht="15">
      <c r="A786" s="120" t="s">
        <v>87</v>
      </c>
      <c r="B786" s="121">
        <v>21</v>
      </c>
      <c r="C786" s="121">
        <v>27</v>
      </c>
      <c r="D786" s="121">
        <v>0</v>
      </c>
      <c r="E786" s="121">
        <v>200</v>
      </c>
    </row>
    <row r="787" spans="1:5" ht="15">
      <c r="A787" s="120" t="s">
        <v>87</v>
      </c>
      <c r="B787" s="121">
        <v>21</v>
      </c>
      <c r="C787" s="121">
        <v>27</v>
      </c>
      <c r="D787" s="121">
        <v>2</v>
      </c>
      <c r="E787" s="121">
        <v>1640217</v>
      </c>
    </row>
    <row r="788" spans="1:5" ht="15">
      <c r="A788" s="120" t="s">
        <v>87</v>
      </c>
      <c r="B788" s="121">
        <v>21</v>
      </c>
      <c r="C788" s="121">
        <v>27</v>
      </c>
      <c r="D788" s="121">
        <v>3</v>
      </c>
      <c r="E788" s="121">
        <v>1442177</v>
      </c>
    </row>
    <row r="789" spans="1:5" ht="15">
      <c r="A789" s="120" t="s">
        <v>87</v>
      </c>
      <c r="B789" s="121">
        <v>21</v>
      </c>
      <c r="C789" s="121">
        <v>27</v>
      </c>
      <c r="D789" s="121">
        <v>4</v>
      </c>
      <c r="E789" s="121">
        <v>1477436</v>
      </c>
    </row>
    <row r="790" spans="1:5" ht="15">
      <c r="A790" s="120" t="s">
        <v>87</v>
      </c>
      <c r="B790" s="121">
        <v>21</v>
      </c>
      <c r="C790" s="121">
        <v>27</v>
      </c>
      <c r="D790" s="121">
        <v>5</v>
      </c>
      <c r="E790" s="121">
        <v>22000</v>
      </c>
    </row>
    <row r="791" spans="1:5" ht="15">
      <c r="A791" s="120" t="s">
        <v>87</v>
      </c>
      <c r="B791" s="121">
        <v>21</v>
      </c>
      <c r="C791" s="121">
        <v>27</v>
      </c>
      <c r="D791" s="121">
        <v>7</v>
      </c>
      <c r="E791" s="121">
        <v>308000</v>
      </c>
    </row>
    <row r="792" spans="1:5" ht="15">
      <c r="A792" s="120" t="s">
        <v>87</v>
      </c>
      <c r="B792" s="121">
        <v>21</v>
      </c>
      <c r="C792" s="121">
        <v>31</v>
      </c>
      <c r="D792" s="121">
        <v>7</v>
      </c>
      <c r="E792" s="121">
        <v>3000</v>
      </c>
    </row>
    <row r="793" spans="1:5" ht="15">
      <c r="A793" s="120" t="s">
        <v>87</v>
      </c>
      <c r="B793" s="121">
        <v>24</v>
      </c>
      <c r="C793" s="121">
        <v>27</v>
      </c>
      <c r="D793" s="121">
        <v>2</v>
      </c>
      <c r="E793" s="121">
        <v>88213</v>
      </c>
    </row>
    <row r="794" spans="1:5" ht="15">
      <c r="A794" s="120" t="s">
        <v>87</v>
      </c>
      <c r="B794" s="121">
        <v>24</v>
      </c>
      <c r="C794" s="121">
        <v>27</v>
      </c>
      <c r="D794" s="121">
        <v>3</v>
      </c>
      <c r="E794" s="121">
        <v>389221</v>
      </c>
    </row>
    <row r="795" spans="1:5" ht="15">
      <c r="A795" s="120" t="s">
        <v>87</v>
      </c>
      <c r="B795" s="121">
        <v>24</v>
      </c>
      <c r="C795" s="121">
        <v>27</v>
      </c>
      <c r="D795" s="121">
        <v>4</v>
      </c>
      <c r="E795" s="121">
        <v>275086</v>
      </c>
    </row>
    <row r="796" spans="1:5" ht="15">
      <c r="A796" s="120" t="s">
        <v>87</v>
      </c>
      <c r="B796" s="121">
        <v>24</v>
      </c>
      <c r="C796" s="121">
        <v>27</v>
      </c>
      <c r="D796" s="121">
        <v>5</v>
      </c>
      <c r="E796" s="121">
        <v>3200</v>
      </c>
    </row>
    <row r="797" spans="1:5" ht="15">
      <c r="A797" s="120" t="s">
        <v>87</v>
      </c>
      <c r="B797" s="121">
        <v>24</v>
      </c>
      <c r="C797" s="121">
        <v>27</v>
      </c>
      <c r="D797" s="121">
        <v>7</v>
      </c>
      <c r="E797" s="121">
        <v>8000</v>
      </c>
    </row>
    <row r="798" spans="1:5" ht="15">
      <c r="A798" s="120" t="s">
        <v>87</v>
      </c>
      <c r="B798" s="121">
        <v>24</v>
      </c>
      <c r="C798" s="121">
        <v>27</v>
      </c>
      <c r="D798" s="121">
        <v>8</v>
      </c>
      <c r="E798" s="121">
        <v>150</v>
      </c>
    </row>
    <row r="799" spans="1:5" ht="15">
      <c r="A799" s="120" t="s">
        <v>87</v>
      </c>
      <c r="B799" s="121">
        <v>24</v>
      </c>
      <c r="C799" s="121">
        <v>31</v>
      </c>
      <c r="D799" s="121">
        <v>7</v>
      </c>
      <c r="E799" s="121">
        <v>1000</v>
      </c>
    </row>
    <row r="800" spans="1:5" ht="15">
      <c r="A800" s="120" t="s">
        <v>75</v>
      </c>
      <c r="B800" s="121">
        <v>24</v>
      </c>
      <c r="C800" s="121">
        <v>24</v>
      </c>
      <c r="D800" s="121">
        <v>2</v>
      </c>
      <c r="E800" s="121">
        <v>120128</v>
      </c>
    </row>
    <row r="801" spans="1:5" ht="15">
      <c r="A801" s="120" t="s">
        <v>75</v>
      </c>
      <c r="B801" s="121">
        <v>24</v>
      </c>
      <c r="C801" s="121">
        <v>24</v>
      </c>
      <c r="D801" s="121">
        <v>4</v>
      </c>
      <c r="E801" s="121">
        <v>36126</v>
      </c>
    </row>
    <row r="802" spans="1:5" ht="15">
      <c r="A802" s="120" t="s">
        <v>75</v>
      </c>
      <c r="B802" s="121">
        <v>24</v>
      </c>
      <c r="C802" s="121">
        <v>27</v>
      </c>
      <c r="D802" s="121">
        <v>2</v>
      </c>
      <c r="E802" s="121">
        <v>2115430</v>
      </c>
    </row>
    <row r="803" spans="1:5" ht="15">
      <c r="A803" s="120" t="s">
        <v>75</v>
      </c>
      <c r="B803" s="121">
        <v>24</v>
      </c>
      <c r="C803" s="121">
        <v>27</v>
      </c>
      <c r="D803" s="121">
        <v>4</v>
      </c>
      <c r="E803" s="121">
        <v>659967</v>
      </c>
    </row>
    <row r="804" spans="1:5" ht="15">
      <c r="A804" s="120" t="s">
        <v>75</v>
      </c>
      <c r="B804" s="121">
        <v>24</v>
      </c>
      <c r="C804" s="121">
        <v>27</v>
      </c>
      <c r="D804" s="121">
        <v>7</v>
      </c>
      <c r="E804" s="121">
        <v>27000</v>
      </c>
    </row>
    <row r="805" spans="1:5" ht="15">
      <c r="A805" s="120" t="s">
        <v>75</v>
      </c>
      <c r="B805" s="121">
        <v>24</v>
      </c>
      <c r="C805" s="121">
        <v>31</v>
      </c>
      <c r="D805" s="121">
        <v>2</v>
      </c>
      <c r="E805" s="121">
        <v>23974</v>
      </c>
    </row>
    <row r="806" spans="1:5" ht="15">
      <c r="A806" s="120" t="s">
        <v>75</v>
      </c>
      <c r="B806" s="121">
        <v>24</v>
      </c>
      <c r="C806" s="121">
        <v>31</v>
      </c>
      <c r="D806" s="121">
        <v>4</v>
      </c>
      <c r="E806" s="121">
        <v>3700</v>
      </c>
    </row>
    <row r="807" spans="1:5" ht="15">
      <c r="A807" s="120" t="s">
        <v>93</v>
      </c>
      <c r="B807" s="121">
        <v>21</v>
      </c>
      <c r="C807" s="121">
        <v>21</v>
      </c>
      <c r="D807" s="121">
        <v>2</v>
      </c>
      <c r="E807" s="121">
        <v>39181</v>
      </c>
    </row>
    <row r="808" spans="1:5" ht="15">
      <c r="A808" s="120" t="s">
        <v>93</v>
      </c>
      <c r="B808" s="121">
        <v>21</v>
      </c>
      <c r="C808" s="121">
        <v>21</v>
      </c>
      <c r="D808" s="121">
        <v>3</v>
      </c>
      <c r="E808" s="121">
        <v>41390</v>
      </c>
    </row>
    <row r="809" spans="1:5" ht="15">
      <c r="A809" s="120" t="s">
        <v>93</v>
      </c>
      <c r="B809" s="121">
        <v>21</v>
      </c>
      <c r="C809" s="121">
        <v>21</v>
      </c>
      <c r="D809" s="121">
        <v>4</v>
      </c>
      <c r="E809" s="121">
        <v>33034</v>
      </c>
    </row>
    <row r="810" spans="1:5" ht="15">
      <c r="A810" s="120" t="s">
        <v>93</v>
      </c>
      <c r="B810" s="121">
        <v>21</v>
      </c>
      <c r="C810" s="121">
        <v>26</v>
      </c>
      <c r="D810" s="121">
        <v>2</v>
      </c>
      <c r="E810" s="121">
        <v>74067</v>
      </c>
    </row>
    <row r="811" spans="1:5" ht="15">
      <c r="A811" s="120" t="s">
        <v>93</v>
      </c>
      <c r="B811" s="121">
        <v>21</v>
      </c>
      <c r="C811" s="121">
        <v>26</v>
      </c>
      <c r="D811" s="121">
        <v>4</v>
      </c>
      <c r="E811" s="121">
        <v>27636</v>
      </c>
    </row>
    <row r="812" spans="1:5" ht="15">
      <c r="A812" s="120" t="s">
        <v>93</v>
      </c>
      <c r="B812" s="121">
        <v>21</v>
      </c>
      <c r="C812" s="121">
        <v>26</v>
      </c>
      <c r="D812" s="121">
        <v>5</v>
      </c>
      <c r="E812" s="121">
        <v>2500</v>
      </c>
    </row>
    <row r="813" spans="1:5" ht="15">
      <c r="A813" s="120" t="s">
        <v>93</v>
      </c>
      <c r="B813" s="121">
        <v>21</v>
      </c>
      <c r="C813" s="121">
        <v>26</v>
      </c>
      <c r="D813" s="121">
        <v>7</v>
      </c>
      <c r="E813" s="121">
        <v>105000</v>
      </c>
    </row>
    <row r="814" spans="1:5" ht="15">
      <c r="A814" s="120" t="s">
        <v>93</v>
      </c>
      <c r="B814" s="121">
        <v>21</v>
      </c>
      <c r="C814" s="121">
        <v>27</v>
      </c>
      <c r="D814" s="121">
        <v>0</v>
      </c>
      <c r="E814" s="121">
        <v>750</v>
      </c>
    </row>
    <row r="815" spans="1:5" ht="15">
      <c r="A815" s="120" t="s">
        <v>93</v>
      </c>
      <c r="B815" s="121">
        <v>21</v>
      </c>
      <c r="C815" s="121">
        <v>27</v>
      </c>
      <c r="D815" s="121">
        <v>2</v>
      </c>
      <c r="E815" s="121">
        <v>197771</v>
      </c>
    </row>
    <row r="816" spans="1:5" ht="15">
      <c r="A816" s="120" t="s">
        <v>93</v>
      </c>
      <c r="B816" s="121">
        <v>21</v>
      </c>
      <c r="C816" s="121">
        <v>27</v>
      </c>
      <c r="D816" s="121">
        <v>3</v>
      </c>
      <c r="E816" s="121">
        <v>183852</v>
      </c>
    </row>
    <row r="817" spans="1:5" ht="15">
      <c r="A817" s="120" t="s">
        <v>93</v>
      </c>
      <c r="B817" s="121">
        <v>21</v>
      </c>
      <c r="C817" s="121">
        <v>27</v>
      </c>
      <c r="D817" s="121">
        <v>4</v>
      </c>
      <c r="E817" s="121">
        <v>203300</v>
      </c>
    </row>
    <row r="818" spans="1:5" ht="15">
      <c r="A818" s="120" t="s">
        <v>93</v>
      </c>
      <c r="B818" s="121">
        <v>21</v>
      </c>
      <c r="C818" s="121">
        <v>27</v>
      </c>
      <c r="D818" s="121">
        <v>5</v>
      </c>
      <c r="E818" s="121">
        <v>11500</v>
      </c>
    </row>
    <row r="819" spans="1:5" ht="15">
      <c r="A819" s="120" t="s">
        <v>93</v>
      </c>
      <c r="B819" s="121">
        <v>21</v>
      </c>
      <c r="C819" s="121">
        <v>27</v>
      </c>
      <c r="D819" s="121">
        <v>7</v>
      </c>
      <c r="E819" s="121">
        <v>19000</v>
      </c>
    </row>
    <row r="820" spans="1:5" ht="15">
      <c r="A820" s="120" t="s">
        <v>93</v>
      </c>
      <c r="B820" s="121">
        <v>21</v>
      </c>
      <c r="C820" s="121">
        <v>31</v>
      </c>
      <c r="D820" s="121">
        <v>7</v>
      </c>
      <c r="E820" s="121">
        <v>2000</v>
      </c>
    </row>
    <row r="821" spans="1:5" ht="15">
      <c r="A821" s="120" t="s">
        <v>93</v>
      </c>
      <c r="B821" s="121">
        <v>21</v>
      </c>
      <c r="C821" s="121">
        <v>31</v>
      </c>
      <c r="D821" s="121">
        <v>8</v>
      </c>
      <c r="E821" s="121">
        <v>2500</v>
      </c>
    </row>
    <row r="822" spans="1:5" ht="15">
      <c r="A822" s="120" t="s">
        <v>97</v>
      </c>
      <c r="B822" s="121">
        <v>21</v>
      </c>
      <c r="C822" s="121">
        <v>21</v>
      </c>
      <c r="D822" s="121">
        <v>2</v>
      </c>
      <c r="E822" s="121">
        <v>10525</v>
      </c>
    </row>
    <row r="823" spans="1:5" ht="15">
      <c r="A823" s="120" t="s">
        <v>97</v>
      </c>
      <c r="B823" s="121">
        <v>21</v>
      </c>
      <c r="C823" s="121">
        <v>21</v>
      </c>
      <c r="D823" s="121">
        <v>4</v>
      </c>
      <c r="E823" s="121">
        <v>3287</v>
      </c>
    </row>
    <row r="824" spans="1:5" ht="15">
      <c r="A824" s="120" t="s">
        <v>93</v>
      </c>
      <c r="B824" s="121">
        <v>21</v>
      </c>
      <c r="C824" s="121">
        <v>34</v>
      </c>
      <c r="D824" s="121">
        <v>2</v>
      </c>
      <c r="E824" s="121">
        <v>2767</v>
      </c>
    </row>
    <row r="825" spans="1:5" ht="15">
      <c r="A825" s="120" t="s">
        <v>93</v>
      </c>
      <c r="B825" s="121">
        <v>21</v>
      </c>
      <c r="C825" s="121">
        <v>34</v>
      </c>
      <c r="D825" s="121">
        <v>4</v>
      </c>
      <c r="E825" s="121">
        <v>436</v>
      </c>
    </row>
    <row r="826" spans="1:5" ht="15">
      <c r="A826" s="120" t="s">
        <v>93</v>
      </c>
      <c r="B826" s="121">
        <v>24</v>
      </c>
      <c r="C826" s="121">
        <v>27</v>
      </c>
      <c r="D826" s="121">
        <v>3</v>
      </c>
      <c r="E826" s="121">
        <v>56393</v>
      </c>
    </row>
    <row r="827" spans="1:5" ht="15">
      <c r="A827" s="120" t="s">
        <v>93</v>
      </c>
      <c r="B827" s="121">
        <v>24</v>
      </c>
      <c r="C827" s="121">
        <v>27</v>
      </c>
      <c r="D827" s="121">
        <v>4</v>
      </c>
      <c r="E827" s="121">
        <v>53400</v>
      </c>
    </row>
    <row r="828" spans="1:5" ht="15">
      <c r="A828" s="120" t="s">
        <v>93</v>
      </c>
      <c r="B828" s="121">
        <v>24</v>
      </c>
      <c r="C828" s="121">
        <v>27</v>
      </c>
      <c r="D828" s="121">
        <v>7</v>
      </c>
      <c r="E828" s="121">
        <v>4344</v>
      </c>
    </row>
    <row r="829" spans="1:5" ht="15">
      <c r="A829" s="120" t="s">
        <v>97</v>
      </c>
      <c r="B829" s="121">
        <v>21</v>
      </c>
      <c r="C829" s="121">
        <v>27</v>
      </c>
      <c r="D829" s="121">
        <v>2</v>
      </c>
      <c r="E829" s="121">
        <v>121462</v>
      </c>
    </row>
    <row r="830" spans="1:5" ht="15">
      <c r="A830" s="120" t="s">
        <v>97</v>
      </c>
      <c r="B830" s="121">
        <v>21</v>
      </c>
      <c r="C830" s="121">
        <v>27</v>
      </c>
      <c r="D830" s="121">
        <v>3</v>
      </c>
      <c r="E830" s="121">
        <v>84720</v>
      </c>
    </row>
    <row r="831" spans="1:5" ht="15">
      <c r="A831" s="120" t="s">
        <v>97</v>
      </c>
      <c r="B831" s="121">
        <v>21</v>
      </c>
      <c r="C831" s="121">
        <v>27</v>
      </c>
      <c r="D831" s="121">
        <v>4</v>
      </c>
      <c r="E831" s="121">
        <v>106251</v>
      </c>
    </row>
    <row r="832" spans="1:5" ht="15">
      <c r="A832" s="120" t="s">
        <v>97</v>
      </c>
      <c r="B832" s="121">
        <v>21</v>
      </c>
      <c r="C832" s="121">
        <v>27</v>
      </c>
      <c r="D832" s="121">
        <v>5</v>
      </c>
      <c r="E832" s="121">
        <v>3000</v>
      </c>
    </row>
    <row r="833" spans="1:5" ht="15">
      <c r="A833" s="120" t="s">
        <v>97</v>
      </c>
      <c r="B833" s="121">
        <v>21</v>
      </c>
      <c r="C833" s="121">
        <v>27</v>
      </c>
      <c r="D833" s="121">
        <v>7</v>
      </c>
      <c r="E833" s="121">
        <v>92000</v>
      </c>
    </row>
    <row r="834" spans="1:5" ht="15">
      <c r="A834" s="120" t="s">
        <v>97</v>
      </c>
      <c r="B834" s="121">
        <v>21</v>
      </c>
      <c r="C834" s="121">
        <v>27</v>
      </c>
      <c r="D834" s="121">
        <v>8</v>
      </c>
      <c r="E834" s="121">
        <v>100</v>
      </c>
    </row>
    <row r="835" spans="1:5" ht="15">
      <c r="A835" s="120" t="s">
        <v>97</v>
      </c>
      <c r="B835" s="121">
        <v>21</v>
      </c>
      <c r="C835" s="121">
        <v>27</v>
      </c>
      <c r="D835" s="121">
        <v>9</v>
      </c>
      <c r="E835" s="121">
        <v>1750</v>
      </c>
    </row>
    <row r="836" spans="1:5" ht="15">
      <c r="A836" s="120" t="s">
        <v>97</v>
      </c>
      <c r="B836" s="121">
        <v>24</v>
      </c>
      <c r="C836" s="121">
        <v>26</v>
      </c>
      <c r="D836" s="121">
        <v>7</v>
      </c>
      <c r="E836" s="121">
        <v>40000</v>
      </c>
    </row>
    <row r="837" spans="1:5" ht="15">
      <c r="A837" s="120" t="s">
        <v>83</v>
      </c>
      <c r="B837" s="121">
        <v>21</v>
      </c>
      <c r="C837" s="121">
        <v>21</v>
      </c>
      <c r="D837" s="121">
        <v>2</v>
      </c>
      <c r="E837" s="121">
        <v>110585</v>
      </c>
    </row>
    <row r="838" spans="1:5" ht="15">
      <c r="A838" s="120" t="s">
        <v>83</v>
      </c>
      <c r="B838" s="121">
        <v>21</v>
      </c>
      <c r="C838" s="121">
        <v>21</v>
      </c>
      <c r="D838" s="121">
        <v>3</v>
      </c>
      <c r="E838" s="121">
        <v>11869</v>
      </c>
    </row>
    <row r="839" spans="1:5" ht="15">
      <c r="A839" s="120" t="s">
        <v>83</v>
      </c>
      <c r="B839" s="121">
        <v>21</v>
      </c>
      <c r="C839" s="121">
        <v>21</v>
      </c>
      <c r="D839" s="121">
        <v>4</v>
      </c>
      <c r="E839" s="121">
        <v>41147</v>
      </c>
    </row>
    <row r="840" spans="1:5" ht="15">
      <c r="A840" s="120" t="s">
        <v>83</v>
      </c>
      <c r="B840" s="121">
        <v>21</v>
      </c>
      <c r="C840" s="121">
        <v>26</v>
      </c>
      <c r="D840" s="121">
        <v>2</v>
      </c>
      <c r="E840" s="121">
        <v>190714</v>
      </c>
    </row>
    <row r="841" spans="1:5" ht="15">
      <c r="A841" s="120" t="s">
        <v>83</v>
      </c>
      <c r="B841" s="121">
        <v>21</v>
      </c>
      <c r="C841" s="121">
        <v>26</v>
      </c>
      <c r="D841" s="121">
        <v>4</v>
      </c>
      <c r="E841" s="121">
        <v>63733</v>
      </c>
    </row>
    <row r="842" spans="1:5" ht="15">
      <c r="A842" s="120" t="s">
        <v>83</v>
      </c>
      <c r="B842" s="121">
        <v>21</v>
      </c>
      <c r="C842" s="121">
        <v>26</v>
      </c>
      <c r="D842" s="121">
        <v>7</v>
      </c>
      <c r="E842" s="121">
        <v>155000</v>
      </c>
    </row>
    <row r="843" spans="1:5" ht="15">
      <c r="A843" s="120" t="s">
        <v>83</v>
      </c>
      <c r="B843" s="121">
        <v>21</v>
      </c>
      <c r="C843" s="121">
        <v>27</v>
      </c>
      <c r="D843" s="121">
        <v>2</v>
      </c>
      <c r="E843" s="121">
        <v>355959</v>
      </c>
    </row>
    <row r="844" spans="1:5" ht="15">
      <c r="A844" s="120" t="s">
        <v>83</v>
      </c>
      <c r="B844" s="121">
        <v>21</v>
      </c>
      <c r="C844" s="121">
        <v>27</v>
      </c>
      <c r="D844" s="121">
        <v>3</v>
      </c>
      <c r="E844" s="121">
        <v>379260</v>
      </c>
    </row>
    <row r="845" spans="1:5" ht="15">
      <c r="A845" s="120" t="s">
        <v>83</v>
      </c>
      <c r="B845" s="121">
        <v>21</v>
      </c>
      <c r="C845" s="121">
        <v>27</v>
      </c>
      <c r="D845" s="121">
        <v>4</v>
      </c>
      <c r="E845" s="121">
        <v>347283</v>
      </c>
    </row>
    <row r="846" spans="1:5" ht="15">
      <c r="A846" s="120" t="s">
        <v>83</v>
      </c>
      <c r="B846" s="121">
        <v>21</v>
      </c>
      <c r="C846" s="121">
        <v>27</v>
      </c>
      <c r="D846" s="121">
        <v>5</v>
      </c>
      <c r="E846" s="121">
        <v>8155</v>
      </c>
    </row>
    <row r="847" spans="1:5" ht="15">
      <c r="A847" s="120" t="s">
        <v>83</v>
      </c>
      <c r="B847" s="121">
        <v>21</v>
      </c>
      <c r="C847" s="121">
        <v>27</v>
      </c>
      <c r="D847" s="121">
        <v>7</v>
      </c>
      <c r="E847" s="121">
        <v>123143</v>
      </c>
    </row>
    <row r="848" spans="1:5" ht="15">
      <c r="A848" s="120" t="s">
        <v>83</v>
      </c>
      <c r="B848" s="121">
        <v>21</v>
      </c>
      <c r="C848" s="121">
        <v>31</v>
      </c>
      <c r="D848" s="121">
        <v>2</v>
      </c>
      <c r="E848" s="121">
        <v>5928</v>
      </c>
    </row>
    <row r="849" spans="1:5" ht="15">
      <c r="A849" s="120" t="s">
        <v>83</v>
      </c>
      <c r="B849" s="121">
        <v>21</v>
      </c>
      <c r="C849" s="121">
        <v>31</v>
      </c>
      <c r="D849" s="121">
        <v>4</v>
      </c>
      <c r="E849" s="121">
        <v>1016</v>
      </c>
    </row>
    <row r="850" spans="1:5" ht="15">
      <c r="A850" s="120" t="s">
        <v>83</v>
      </c>
      <c r="B850" s="121">
        <v>21</v>
      </c>
      <c r="C850" s="121">
        <v>32</v>
      </c>
      <c r="D850" s="121">
        <v>3</v>
      </c>
      <c r="E850" s="121">
        <v>7564</v>
      </c>
    </row>
    <row r="851" spans="1:5" ht="15">
      <c r="A851" s="120" t="s">
        <v>83</v>
      </c>
      <c r="B851" s="121">
        <v>21</v>
      </c>
      <c r="C851" s="121">
        <v>32</v>
      </c>
      <c r="D851" s="121">
        <v>4</v>
      </c>
      <c r="E851" s="121">
        <v>2828</v>
      </c>
    </row>
    <row r="852" spans="1:5" ht="15">
      <c r="A852" s="120" t="s">
        <v>83</v>
      </c>
      <c r="B852" s="121">
        <v>21</v>
      </c>
      <c r="C852" s="121">
        <v>34</v>
      </c>
      <c r="D852" s="121">
        <v>2</v>
      </c>
      <c r="E852" s="121">
        <v>8475</v>
      </c>
    </row>
    <row r="853" spans="1:5" ht="15">
      <c r="A853" s="120" t="s">
        <v>83</v>
      </c>
      <c r="B853" s="121">
        <v>21</v>
      </c>
      <c r="C853" s="121">
        <v>34</v>
      </c>
      <c r="D853" s="121">
        <v>4</v>
      </c>
      <c r="E853" s="121">
        <v>1441</v>
      </c>
    </row>
    <row r="854" spans="1:5" ht="15">
      <c r="A854" s="120" t="s">
        <v>89</v>
      </c>
      <c r="B854" s="121">
        <v>21</v>
      </c>
      <c r="C854" s="121">
        <v>21</v>
      </c>
      <c r="D854" s="121">
        <v>2</v>
      </c>
      <c r="E854" s="121">
        <v>103643</v>
      </c>
    </row>
    <row r="855" spans="1:5" ht="15">
      <c r="A855" s="120" t="s">
        <v>89</v>
      </c>
      <c r="B855" s="121">
        <v>21</v>
      </c>
      <c r="C855" s="121">
        <v>21</v>
      </c>
      <c r="D855" s="121">
        <v>3</v>
      </c>
      <c r="E855" s="121">
        <v>31958</v>
      </c>
    </row>
    <row r="856" spans="1:5" ht="15">
      <c r="A856" s="120" t="s">
        <v>89</v>
      </c>
      <c r="B856" s="121">
        <v>21</v>
      </c>
      <c r="C856" s="121">
        <v>21</v>
      </c>
      <c r="D856" s="121">
        <v>4</v>
      </c>
      <c r="E856" s="121">
        <v>37723</v>
      </c>
    </row>
    <row r="857" spans="1:5" ht="15">
      <c r="A857" s="120" t="s">
        <v>89</v>
      </c>
      <c r="B857" s="121">
        <v>21</v>
      </c>
      <c r="C857" s="121">
        <v>23</v>
      </c>
      <c r="D857" s="121">
        <v>7</v>
      </c>
      <c r="E857" s="121">
        <v>2000</v>
      </c>
    </row>
    <row r="858" spans="1:5" ht="15">
      <c r="A858" s="120" t="s">
        <v>89</v>
      </c>
      <c r="B858" s="121">
        <v>21</v>
      </c>
      <c r="C858" s="121">
        <v>26</v>
      </c>
      <c r="D858" s="121">
        <v>2</v>
      </c>
      <c r="E858" s="121">
        <v>59578</v>
      </c>
    </row>
    <row r="859" spans="1:5" ht="15">
      <c r="A859" s="120" t="s">
        <v>89</v>
      </c>
      <c r="B859" s="121">
        <v>21</v>
      </c>
      <c r="C859" s="121">
        <v>26</v>
      </c>
      <c r="D859" s="121">
        <v>3</v>
      </c>
      <c r="E859" s="121">
        <v>89652</v>
      </c>
    </row>
    <row r="860" spans="1:5" ht="15">
      <c r="A860" s="120" t="s">
        <v>89</v>
      </c>
      <c r="B860" s="121">
        <v>21</v>
      </c>
      <c r="C860" s="121">
        <v>26</v>
      </c>
      <c r="D860" s="121">
        <v>4</v>
      </c>
      <c r="E860" s="121">
        <v>67278</v>
      </c>
    </row>
    <row r="861" spans="1:5" ht="15">
      <c r="A861" s="120" t="s">
        <v>89</v>
      </c>
      <c r="B861" s="121">
        <v>21</v>
      </c>
      <c r="C861" s="121">
        <v>26</v>
      </c>
      <c r="D861" s="121">
        <v>7</v>
      </c>
      <c r="E861" s="121">
        <v>300000</v>
      </c>
    </row>
    <row r="862" spans="1:5" ht="15">
      <c r="A862" s="120" t="s">
        <v>89</v>
      </c>
      <c r="B862" s="121">
        <v>21</v>
      </c>
      <c r="C862" s="121">
        <v>27</v>
      </c>
      <c r="D862" s="121">
        <v>2</v>
      </c>
      <c r="E862" s="121">
        <v>540562</v>
      </c>
    </row>
    <row r="863" spans="1:5" ht="15">
      <c r="A863" s="120" t="s">
        <v>89</v>
      </c>
      <c r="B863" s="121">
        <v>21</v>
      </c>
      <c r="C863" s="121">
        <v>27</v>
      </c>
      <c r="D863" s="121">
        <v>3</v>
      </c>
      <c r="E863" s="121">
        <v>390600</v>
      </c>
    </row>
    <row r="864" spans="1:5" ht="15">
      <c r="A864" s="120" t="s">
        <v>89</v>
      </c>
      <c r="B864" s="121">
        <v>21</v>
      </c>
      <c r="C864" s="121">
        <v>27</v>
      </c>
      <c r="D864" s="121">
        <v>4</v>
      </c>
      <c r="E864" s="121">
        <v>438201</v>
      </c>
    </row>
    <row r="865" spans="1:5" ht="15">
      <c r="A865" s="120" t="s">
        <v>89</v>
      </c>
      <c r="B865" s="121">
        <v>21</v>
      </c>
      <c r="C865" s="121">
        <v>27</v>
      </c>
      <c r="D865" s="121">
        <v>5</v>
      </c>
      <c r="E865" s="121">
        <v>147562</v>
      </c>
    </row>
    <row r="866" spans="1:5" ht="15">
      <c r="A866" s="120" t="s">
        <v>89</v>
      </c>
      <c r="B866" s="121">
        <v>21</v>
      </c>
      <c r="C866" s="121">
        <v>27</v>
      </c>
      <c r="D866" s="121">
        <v>7</v>
      </c>
      <c r="E866" s="121">
        <v>11500</v>
      </c>
    </row>
    <row r="867" spans="1:5" ht="15">
      <c r="A867" s="120" t="s">
        <v>83</v>
      </c>
      <c r="B867" s="121">
        <v>24</v>
      </c>
      <c r="C867" s="121">
        <v>27</v>
      </c>
      <c r="D867" s="121">
        <v>2</v>
      </c>
      <c r="E867" s="121">
        <v>149486</v>
      </c>
    </row>
    <row r="868" spans="1:5" ht="15">
      <c r="A868" s="120" t="s">
        <v>83</v>
      </c>
      <c r="B868" s="121">
        <v>24</v>
      </c>
      <c r="C868" s="121">
        <v>27</v>
      </c>
      <c r="D868" s="121">
        <v>4</v>
      </c>
      <c r="E868" s="121">
        <v>52685</v>
      </c>
    </row>
    <row r="869" spans="1:5" ht="15">
      <c r="A869" s="120" t="s">
        <v>83</v>
      </c>
      <c r="B869" s="121">
        <v>24</v>
      </c>
      <c r="C869" s="121">
        <v>27</v>
      </c>
      <c r="D869" s="121">
        <v>5</v>
      </c>
      <c r="E869" s="121">
        <v>1593</v>
      </c>
    </row>
    <row r="870" spans="1:5" ht="15">
      <c r="A870" s="120" t="s">
        <v>89</v>
      </c>
      <c r="B870" s="121">
        <v>21</v>
      </c>
      <c r="C870" s="121">
        <v>31</v>
      </c>
      <c r="D870" s="121">
        <v>2</v>
      </c>
      <c r="E870" s="121">
        <v>2000</v>
      </c>
    </row>
    <row r="871" spans="1:5" ht="15">
      <c r="A871" s="120" t="s">
        <v>89</v>
      </c>
      <c r="B871" s="121">
        <v>21</v>
      </c>
      <c r="C871" s="121">
        <v>31</v>
      </c>
      <c r="D871" s="121">
        <v>4</v>
      </c>
      <c r="E871" s="121">
        <v>313</v>
      </c>
    </row>
    <row r="872" spans="1:5" ht="15">
      <c r="A872" s="120" t="s">
        <v>89</v>
      </c>
      <c r="B872" s="121">
        <v>21</v>
      </c>
      <c r="C872" s="121">
        <v>31</v>
      </c>
      <c r="D872" s="121">
        <v>7</v>
      </c>
      <c r="E872" s="121">
        <v>25000</v>
      </c>
    </row>
    <row r="873" spans="1:5" ht="15">
      <c r="A873" s="120" t="s">
        <v>89</v>
      </c>
      <c r="B873" s="121">
        <v>21</v>
      </c>
      <c r="C873" s="121">
        <v>31</v>
      </c>
      <c r="D873" s="121">
        <v>8</v>
      </c>
      <c r="E873" s="121">
        <v>1000</v>
      </c>
    </row>
    <row r="874" spans="1:5" ht="15">
      <c r="A874" s="120" t="s">
        <v>89</v>
      </c>
      <c r="B874" s="121">
        <v>21</v>
      </c>
      <c r="C874" s="121">
        <v>33</v>
      </c>
      <c r="D874" s="121">
        <v>5</v>
      </c>
      <c r="E874" s="121">
        <v>24000</v>
      </c>
    </row>
    <row r="875" spans="1:5" ht="15">
      <c r="A875" s="120" t="s">
        <v>89</v>
      </c>
      <c r="B875" s="121">
        <v>21</v>
      </c>
      <c r="C875" s="121">
        <v>33</v>
      </c>
      <c r="D875" s="121">
        <v>7</v>
      </c>
      <c r="E875" s="121">
        <v>13500</v>
      </c>
    </row>
    <row r="876" spans="1:5" ht="15">
      <c r="A876" s="120" t="s">
        <v>89</v>
      </c>
      <c r="B876" s="121">
        <v>24</v>
      </c>
      <c r="C876" s="121">
        <v>27</v>
      </c>
      <c r="D876" s="121">
        <v>2</v>
      </c>
      <c r="E876" s="121">
        <v>53422</v>
      </c>
    </row>
    <row r="877" spans="1:5" ht="15">
      <c r="A877" s="120" t="s">
        <v>89</v>
      </c>
      <c r="B877" s="121">
        <v>24</v>
      </c>
      <c r="C877" s="121">
        <v>27</v>
      </c>
      <c r="D877" s="121">
        <v>3</v>
      </c>
      <c r="E877" s="121">
        <v>128711</v>
      </c>
    </row>
    <row r="878" spans="1:5" ht="15">
      <c r="A878" s="120" t="s">
        <v>89</v>
      </c>
      <c r="B878" s="121">
        <v>24</v>
      </c>
      <c r="C878" s="121">
        <v>27</v>
      </c>
      <c r="D878" s="121">
        <v>4</v>
      </c>
      <c r="E878" s="121">
        <v>101839</v>
      </c>
    </row>
    <row r="879" spans="1:5" ht="15">
      <c r="A879" s="120" t="s">
        <v>77</v>
      </c>
      <c r="B879" s="121">
        <v>21</v>
      </c>
      <c r="C879" s="121">
        <v>21</v>
      </c>
      <c r="D879" s="121">
        <v>2</v>
      </c>
      <c r="E879" s="121">
        <v>196287</v>
      </c>
    </row>
    <row r="880" spans="1:5" ht="15">
      <c r="A880" s="120" t="s">
        <v>77</v>
      </c>
      <c r="B880" s="121">
        <v>21</v>
      </c>
      <c r="C880" s="121">
        <v>21</v>
      </c>
      <c r="D880" s="121">
        <v>3</v>
      </c>
      <c r="E880" s="121">
        <v>89170</v>
      </c>
    </row>
    <row r="881" spans="1:5" ht="15">
      <c r="A881" s="120" t="s">
        <v>77</v>
      </c>
      <c r="B881" s="121">
        <v>21</v>
      </c>
      <c r="C881" s="121">
        <v>21</v>
      </c>
      <c r="D881" s="121">
        <v>4</v>
      </c>
      <c r="E881" s="121">
        <v>81427</v>
      </c>
    </row>
    <row r="882" spans="1:5" ht="15">
      <c r="A882" s="120" t="s">
        <v>77</v>
      </c>
      <c r="B882" s="121">
        <v>21</v>
      </c>
      <c r="C882" s="121">
        <v>21</v>
      </c>
      <c r="D882" s="121">
        <v>5</v>
      </c>
      <c r="E882" s="121">
        <v>750</v>
      </c>
    </row>
    <row r="883" spans="1:5" ht="15">
      <c r="A883" s="120" t="s">
        <v>77</v>
      </c>
      <c r="B883" s="121">
        <v>21</v>
      </c>
      <c r="C883" s="121">
        <v>21</v>
      </c>
      <c r="D883" s="121">
        <v>7</v>
      </c>
      <c r="E883" s="121">
        <v>250</v>
      </c>
    </row>
    <row r="884" spans="1:5" ht="15">
      <c r="A884" s="120" t="s">
        <v>77</v>
      </c>
      <c r="B884" s="121">
        <v>21</v>
      </c>
      <c r="C884" s="121">
        <v>21</v>
      </c>
      <c r="D884" s="121">
        <v>8</v>
      </c>
      <c r="E884" s="121">
        <v>500</v>
      </c>
    </row>
    <row r="885" spans="1:5" ht="15">
      <c r="A885" s="120" t="s">
        <v>77</v>
      </c>
      <c r="B885" s="121">
        <v>21</v>
      </c>
      <c r="C885" s="121">
        <v>25</v>
      </c>
      <c r="D885" s="121">
        <v>3</v>
      </c>
      <c r="E885" s="121">
        <v>164613</v>
      </c>
    </row>
    <row r="886" spans="1:5" ht="15">
      <c r="A886" s="120" t="s">
        <v>77</v>
      </c>
      <c r="B886" s="121">
        <v>21</v>
      </c>
      <c r="C886" s="121">
        <v>25</v>
      </c>
      <c r="D886" s="121">
        <v>4</v>
      </c>
      <c r="E886" s="121">
        <v>142182</v>
      </c>
    </row>
    <row r="887" spans="1:5" ht="15">
      <c r="A887" s="120" t="s">
        <v>77</v>
      </c>
      <c r="B887" s="121">
        <v>21</v>
      </c>
      <c r="C887" s="121">
        <v>26</v>
      </c>
      <c r="D887" s="121">
        <v>2</v>
      </c>
      <c r="E887" s="121">
        <v>728453</v>
      </c>
    </row>
    <row r="888" spans="1:5" ht="15">
      <c r="A888" s="120" t="s">
        <v>77</v>
      </c>
      <c r="B888" s="121">
        <v>21</v>
      </c>
      <c r="C888" s="121">
        <v>26</v>
      </c>
      <c r="D888" s="121">
        <v>3</v>
      </c>
      <c r="E888" s="121">
        <v>62796</v>
      </c>
    </row>
    <row r="889" spans="1:5" ht="15">
      <c r="A889" s="120" t="s">
        <v>77</v>
      </c>
      <c r="B889" s="121">
        <v>21</v>
      </c>
      <c r="C889" s="121">
        <v>26</v>
      </c>
      <c r="D889" s="121">
        <v>4</v>
      </c>
      <c r="E889" s="121">
        <v>252954</v>
      </c>
    </row>
    <row r="890" spans="1:5" ht="15">
      <c r="A890" s="120" t="s">
        <v>77</v>
      </c>
      <c r="B890" s="121">
        <v>21</v>
      </c>
      <c r="C890" s="121">
        <v>26</v>
      </c>
      <c r="D890" s="121">
        <v>5</v>
      </c>
      <c r="E890" s="121">
        <v>750</v>
      </c>
    </row>
    <row r="891" spans="1:5" ht="15">
      <c r="A891" s="120" t="s">
        <v>77</v>
      </c>
      <c r="B891" s="121">
        <v>21</v>
      </c>
      <c r="C891" s="121">
        <v>26</v>
      </c>
      <c r="D891" s="121">
        <v>7</v>
      </c>
      <c r="E891" s="121">
        <v>927165</v>
      </c>
    </row>
    <row r="892" spans="1:5" ht="15">
      <c r="A892" s="120" t="s">
        <v>77</v>
      </c>
      <c r="B892" s="121">
        <v>21</v>
      </c>
      <c r="C892" s="121">
        <v>26</v>
      </c>
      <c r="D892" s="121">
        <v>8</v>
      </c>
      <c r="E892" s="121">
        <v>300</v>
      </c>
    </row>
    <row r="893" spans="1:5" ht="15">
      <c r="A893" s="120" t="s">
        <v>77</v>
      </c>
      <c r="B893" s="121">
        <v>21</v>
      </c>
      <c r="C893" s="121">
        <v>27</v>
      </c>
      <c r="D893" s="121">
        <v>2</v>
      </c>
      <c r="E893" s="121">
        <v>2333417</v>
      </c>
    </row>
    <row r="894" spans="1:5" ht="15">
      <c r="A894" s="120" t="s">
        <v>77</v>
      </c>
      <c r="B894" s="121">
        <v>21</v>
      </c>
      <c r="C894" s="121">
        <v>27</v>
      </c>
      <c r="D894" s="121">
        <v>3</v>
      </c>
      <c r="E894" s="121">
        <v>1146020</v>
      </c>
    </row>
    <row r="895" spans="1:5" ht="15">
      <c r="A895" s="120" t="s">
        <v>77</v>
      </c>
      <c r="B895" s="121">
        <v>21</v>
      </c>
      <c r="C895" s="121">
        <v>27</v>
      </c>
      <c r="D895" s="121">
        <v>4</v>
      </c>
      <c r="E895" s="121">
        <v>1437670</v>
      </c>
    </row>
    <row r="896" spans="1:5" ht="15">
      <c r="A896" s="120" t="s">
        <v>77</v>
      </c>
      <c r="B896" s="121">
        <v>21</v>
      </c>
      <c r="C896" s="121">
        <v>27</v>
      </c>
      <c r="D896" s="121">
        <v>5</v>
      </c>
      <c r="E896" s="121">
        <v>237896</v>
      </c>
    </row>
    <row r="897" spans="1:5" ht="15">
      <c r="A897" s="120" t="s">
        <v>77</v>
      </c>
      <c r="B897" s="121">
        <v>21</v>
      </c>
      <c r="C897" s="121">
        <v>27</v>
      </c>
      <c r="D897" s="121">
        <v>7</v>
      </c>
      <c r="E897" s="121">
        <v>539921</v>
      </c>
    </row>
    <row r="898" spans="1:5" ht="15">
      <c r="A898" s="120" t="s">
        <v>77</v>
      </c>
      <c r="B898" s="121">
        <v>21</v>
      </c>
      <c r="C898" s="121">
        <v>29</v>
      </c>
      <c r="D898" s="121">
        <v>7</v>
      </c>
      <c r="E898" s="121">
        <v>1032170</v>
      </c>
    </row>
    <row r="899" spans="1:5" ht="15">
      <c r="A899" s="120" t="s">
        <v>77</v>
      </c>
      <c r="B899" s="121">
        <v>21</v>
      </c>
      <c r="C899" s="121">
        <v>31</v>
      </c>
      <c r="D899" s="121">
        <v>2</v>
      </c>
      <c r="E899" s="121">
        <v>77984</v>
      </c>
    </row>
    <row r="900" spans="1:5" ht="15">
      <c r="A900" s="120" t="s">
        <v>77</v>
      </c>
      <c r="B900" s="121">
        <v>21</v>
      </c>
      <c r="C900" s="121">
        <v>31</v>
      </c>
      <c r="D900" s="121">
        <v>4</v>
      </c>
      <c r="E900" s="121">
        <v>12632</v>
      </c>
    </row>
    <row r="901" spans="1:5" ht="15">
      <c r="A901" s="120" t="s">
        <v>77</v>
      </c>
      <c r="B901" s="121">
        <v>21</v>
      </c>
      <c r="C901" s="121">
        <v>31</v>
      </c>
      <c r="D901" s="121">
        <v>7</v>
      </c>
      <c r="E901" s="121">
        <v>1500</v>
      </c>
    </row>
    <row r="902" spans="1:5" ht="15">
      <c r="A902" s="120" t="s">
        <v>77</v>
      </c>
      <c r="B902" s="121">
        <v>21</v>
      </c>
      <c r="C902" s="121">
        <v>31</v>
      </c>
      <c r="D902" s="121">
        <v>8</v>
      </c>
      <c r="E902" s="121">
        <v>750</v>
      </c>
    </row>
    <row r="903" spans="1:5" ht="15">
      <c r="A903" s="120" t="s">
        <v>77</v>
      </c>
      <c r="B903" s="121">
        <v>21</v>
      </c>
      <c r="C903" s="121">
        <v>32</v>
      </c>
      <c r="D903" s="121">
        <v>5</v>
      </c>
      <c r="E903" s="121">
        <v>13742</v>
      </c>
    </row>
    <row r="904" spans="1:5" ht="15">
      <c r="A904" s="120" t="s">
        <v>77</v>
      </c>
      <c r="B904" s="121">
        <v>21</v>
      </c>
      <c r="C904" s="121">
        <v>34</v>
      </c>
      <c r="D904" s="121">
        <v>2</v>
      </c>
      <c r="E904" s="121">
        <v>47179</v>
      </c>
    </row>
    <row r="905" spans="1:5" ht="15">
      <c r="A905" s="120" t="s">
        <v>77</v>
      </c>
      <c r="B905" s="121">
        <v>21</v>
      </c>
      <c r="C905" s="121">
        <v>34</v>
      </c>
      <c r="D905" s="121">
        <v>4</v>
      </c>
      <c r="E905" s="121">
        <v>7644</v>
      </c>
    </row>
    <row r="906" spans="1:5" ht="15">
      <c r="A906" s="120" t="s">
        <v>77</v>
      </c>
      <c r="B906" s="121">
        <v>24</v>
      </c>
      <c r="C906" s="121">
        <v>26</v>
      </c>
      <c r="D906" s="121">
        <v>7</v>
      </c>
      <c r="E906" s="121">
        <v>200000</v>
      </c>
    </row>
    <row r="907" spans="1:5" ht="15">
      <c r="A907" s="120" t="s">
        <v>77</v>
      </c>
      <c r="B907" s="121">
        <v>24</v>
      </c>
      <c r="C907" s="121">
        <v>27</v>
      </c>
      <c r="D907" s="121">
        <v>3</v>
      </c>
      <c r="E907" s="121">
        <v>398237</v>
      </c>
    </row>
    <row r="908" spans="1:5" ht="15">
      <c r="A908" s="120" t="s">
        <v>77</v>
      </c>
      <c r="B908" s="121">
        <v>24</v>
      </c>
      <c r="C908" s="121">
        <v>27</v>
      </c>
      <c r="D908" s="121">
        <v>4</v>
      </c>
      <c r="E908" s="121">
        <v>253572</v>
      </c>
    </row>
    <row r="909" spans="1:5" ht="15">
      <c r="A909" s="120" t="s">
        <v>77</v>
      </c>
      <c r="B909" s="121">
        <v>24</v>
      </c>
      <c r="C909" s="121">
        <v>27</v>
      </c>
      <c r="D909" s="121">
        <v>7</v>
      </c>
      <c r="E909" s="121">
        <v>61341</v>
      </c>
    </row>
    <row r="910" spans="1:5" ht="15">
      <c r="A910" s="120" t="s">
        <v>103</v>
      </c>
      <c r="B910" s="121">
        <v>21</v>
      </c>
      <c r="C910" s="121">
        <v>21</v>
      </c>
      <c r="D910" s="121">
        <v>2</v>
      </c>
      <c r="E910" s="121">
        <v>127524</v>
      </c>
    </row>
    <row r="911" spans="1:5" ht="15">
      <c r="A911" s="120" t="s">
        <v>103</v>
      </c>
      <c r="B911" s="121">
        <v>21</v>
      </c>
      <c r="C911" s="121">
        <v>21</v>
      </c>
      <c r="D911" s="121">
        <v>3</v>
      </c>
      <c r="E911" s="121">
        <v>148845</v>
      </c>
    </row>
    <row r="912" spans="1:5" ht="15">
      <c r="A912" s="120" t="s">
        <v>103</v>
      </c>
      <c r="B912" s="121">
        <v>21</v>
      </c>
      <c r="C912" s="121">
        <v>21</v>
      </c>
      <c r="D912" s="121">
        <v>4</v>
      </c>
      <c r="E912" s="121">
        <v>90800</v>
      </c>
    </row>
    <row r="913" spans="1:5" ht="15">
      <c r="A913" s="120" t="s">
        <v>103</v>
      </c>
      <c r="B913" s="121">
        <v>21</v>
      </c>
      <c r="C913" s="121">
        <v>21</v>
      </c>
      <c r="D913" s="121">
        <v>5</v>
      </c>
      <c r="E913" s="121">
        <v>63000</v>
      </c>
    </row>
    <row r="914" spans="1:5" ht="15">
      <c r="A914" s="120" t="s">
        <v>103</v>
      </c>
      <c r="B914" s="121">
        <v>21</v>
      </c>
      <c r="C914" s="121">
        <v>26</v>
      </c>
      <c r="D914" s="121">
        <v>2</v>
      </c>
      <c r="E914" s="121">
        <v>435704</v>
      </c>
    </row>
    <row r="915" spans="1:5" ht="15">
      <c r="A915" s="120" t="s">
        <v>103</v>
      </c>
      <c r="B915" s="121">
        <v>21</v>
      </c>
      <c r="C915" s="121">
        <v>26</v>
      </c>
      <c r="D915" s="121">
        <v>3</v>
      </c>
      <c r="E915" s="121">
        <v>29220</v>
      </c>
    </row>
    <row r="916" spans="1:5" ht="15">
      <c r="A916" s="120" t="s">
        <v>103</v>
      </c>
      <c r="B916" s="121">
        <v>21</v>
      </c>
      <c r="C916" s="121">
        <v>26</v>
      </c>
      <c r="D916" s="121">
        <v>4</v>
      </c>
      <c r="E916" s="121">
        <v>160192</v>
      </c>
    </row>
    <row r="917" spans="1:5" ht="15">
      <c r="A917" s="120" t="s">
        <v>103</v>
      </c>
      <c r="B917" s="121">
        <v>21</v>
      </c>
      <c r="C917" s="121">
        <v>26</v>
      </c>
      <c r="D917" s="121">
        <v>7</v>
      </c>
      <c r="E917" s="121">
        <v>389000</v>
      </c>
    </row>
    <row r="918" spans="1:5" ht="15">
      <c r="A918" s="120" t="s">
        <v>103</v>
      </c>
      <c r="B918" s="121">
        <v>21</v>
      </c>
      <c r="C918" s="121">
        <v>27</v>
      </c>
      <c r="D918" s="121">
        <v>2</v>
      </c>
      <c r="E918" s="121">
        <v>800285</v>
      </c>
    </row>
    <row r="919" spans="1:5" ht="15">
      <c r="A919" s="120" t="s">
        <v>103</v>
      </c>
      <c r="B919" s="121">
        <v>21</v>
      </c>
      <c r="C919" s="121">
        <v>27</v>
      </c>
      <c r="D919" s="121">
        <v>3</v>
      </c>
      <c r="E919" s="121">
        <v>796618</v>
      </c>
    </row>
    <row r="920" spans="1:5" ht="15">
      <c r="A920" s="120" t="s">
        <v>103</v>
      </c>
      <c r="B920" s="121">
        <v>21</v>
      </c>
      <c r="C920" s="121">
        <v>27</v>
      </c>
      <c r="D920" s="121">
        <v>4</v>
      </c>
      <c r="E920" s="121">
        <v>795876</v>
      </c>
    </row>
    <row r="921" spans="1:5" ht="15">
      <c r="A921" s="120" t="s">
        <v>103</v>
      </c>
      <c r="B921" s="121">
        <v>21</v>
      </c>
      <c r="C921" s="121">
        <v>27</v>
      </c>
      <c r="D921" s="121">
        <v>5</v>
      </c>
      <c r="E921" s="121">
        <v>31000</v>
      </c>
    </row>
    <row r="922" spans="1:5" ht="15">
      <c r="A922" s="120" t="s">
        <v>103</v>
      </c>
      <c r="B922" s="121">
        <v>21</v>
      </c>
      <c r="C922" s="121">
        <v>27</v>
      </c>
      <c r="D922" s="121">
        <v>7</v>
      </c>
      <c r="E922" s="121">
        <v>67000</v>
      </c>
    </row>
    <row r="923" spans="1:5" ht="15">
      <c r="A923" s="120" t="s">
        <v>103</v>
      </c>
      <c r="B923" s="121">
        <v>21</v>
      </c>
      <c r="C923" s="121">
        <v>31</v>
      </c>
      <c r="D923" s="121">
        <v>7</v>
      </c>
      <c r="E923" s="121">
        <v>20000</v>
      </c>
    </row>
    <row r="924" spans="1:5" ht="15">
      <c r="A924" s="120" t="s">
        <v>109</v>
      </c>
      <c r="B924" s="121">
        <v>21</v>
      </c>
      <c r="C924" s="121">
        <v>26</v>
      </c>
      <c r="D924" s="121">
        <v>7</v>
      </c>
      <c r="E924" s="121">
        <v>115606</v>
      </c>
    </row>
    <row r="925" spans="1:5" ht="15">
      <c r="A925" s="120" t="s">
        <v>109</v>
      </c>
      <c r="B925" s="121">
        <v>21</v>
      </c>
      <c r="C925" s="121">
        <v>27</v>
      </c>
      <c r="D925" s="121">
        <v>2</v>
      </c>
      <c r="E925" s="121">
        <v>98020</v>
      </c>
    </row>
    <row r="926" spans="1:5" ht="15">
      <c r="A926" s="120" t="s">
        <v>109</v>
      </c>
      <c r="B926" s="121">
        <v>21</v>
      </c>
      <c r="C926" s="121">
        <v>27</v>
      </c>
      <c r="D926" s="121">
        <v>3</v>
      </c>
      <c r="E926" s="121">
        <v>113024</v>
      </c>
    </row>
    <row r="927" spans="1:5" ht="15">
      <c r="A927" s="120" t="s">
        <v>109</v>
      </c>
      <c r="B927" s="121">
        <v>21</v>
      </c>
      <c r="C927" s="121">
        <v>27</v>
      </c>
      <c r="D927" s="121">
        <v>4</v>
      </c>
      <c r="E927" s="121">
        <v>104803</v>
      </c>
    </row>
    <row r="928" spans="1:5" ht="15">
      <c r="A928" s="120" t="s">
        <v>103</v>
      </c>
      <c r="B928" s="121">
        <v>21</v>
      </c>
      <c r="C928" s="121">
        <v>33</v>
      </c>
      <c r="D928" s="121">
        <v>5</v>
      </c>
      <c r="E928" s="121">
        <v>3500</v>
      </c>
    </row>
    <row r="929" spans="1:5" ht="15">
      <c r="A929" s="120" t="s">
        <v>103</v>
      </c>
      <c r="B929" s="121">
        <v>21</v>
      </c>
      <c r="C929" s="121">
        <v>34</v>
      </c>
      <c r="D929" s="121">
        <v>2</v>
      </c>
      <c r="E929" s="121">
        <v>22161</v>
      </c>
    </row>
    <row r="930" spans="1:5" ht="15">
      <c r="A930" s="120" t="s">
        <v>103</v>
      </c>
      <c r="B930" s="121">
        <v>21</v>
      </c>
      <c r="C930" s="121">
        <v>34</v>
      </c>
      <c r="D930" s="121">
        <v>4</v>
      </c>
      <c r="E930" s="121">
        <v>3492</v>
      </c>
    </row>
    <row r="931" spans="1:5" ht="15">
      <c r="A931" s="120" t="s">
        <v>95</v>
      </c>
      <c r="B931" s="121">
        <v>21</v>
      </c>
      <c r="C931" s="121">
        <v>21</v>
      </c>
      <c r="D931" s="121">
        <v>2</v>
      </c>
      <c r="E931" s="121">
        <v>156517</v>
      </c>
    </row>
    <row r="932" spans="1:5" ht="15">
      <c r="A932" s="120" t="s">
        <v>95</v>
      </c>
      <c r="B932" s="121">
        <v>21</v>
      </c>
      <c r="C932" s="121">
        <v>21</v>
      </c>
      <c r="D932" s="121">
        <v>3</v>
      </c>
      <c r="E932" s="121">
        <v>56784</v>
      </c>
    </row>
    <row r="933" spans="1:5" ht="15">
      <c r="A933" s="120" t="s">
        <v>95</v>
      </c>
      <c r="B933" s="121">
        <v>21</v>
      </c>
      <c r="C933" s="121">
        <v>21</v>
      </c>
      <c r="D933" s="121">
        <v>4</v>
      </c>
      <c r="E933" s="121">
        <v>64433</v>
      </c>
    </row>
    <row r="934" spans="1:5" ht="15">
      <c r="A934" s="120" t="s">
        <v>95</v>
      </c>
      <c r="B934" s="121">
        <v>21</v>
      </c>
      <c r="C934" s="121">
        <v>25</v>
      </c>
      <c r="D934" s="121">
        <v>3</v>
      </c>
      <c r="E934" s="121">
        <v>39698</v>
      </c>
    </row>
    <row r="935" spans="1:5" ht="15">
      <c r="A935" s="120" t="s">
        <v>95</v>
      </c>
      <c r="B935" s="121">
        <v>21</v>
      </c>
      <c r="C935" s="121">
        <v>25</v>
      </c>
      <c r="D935" s="121">
        <v>4</v>
      </c>
      <c r="E935" s="121">
        <v>37746</v>
      </c>
    </row>
    <row r="936" spans="1:5" ht="15">
      <c r="A936" s="120" t="s">
        <v>103</v>
      </c>
      <c r="B936" s="121">
        <v>24</v>
      </c>
      <c r="C936" s="121">
        <v>26</v>
      </c>
      <c r="D936" s="121">
        <v>2</v>
      </c>
      <c r="E936" s="121">
        <v>126420</v>
      </c>
    </row>
    <row r="937" spans="1:5" ht="15">
      <c r="A937" s="120" t="s">
        <v>103</v>
      </c>
      <c r="B937" s="121">
        <v>24</v>
      </c>
      <c r="C937" s="121">
        <v>26</v>
      </c>
      <c r="D937" s="121">
        <v>4</v>
      </c>
      <c r="E937" s="121">
        <v>44731</v>
      </c>
    </row>
    <row r="938" spans="1:5" ht="15">
      <c r="A938" s="120" t="s">
        <v>103</v>
      </c>
      <c r="B938" s="121">
        <v>24</v>
      </c>
      <c r="C938" s="121">
        <v>27</v>
      </c>
      <c r="D938" s="121">
        <v>2</v>
      </c>
      <c r="E938" s="121">
        <v>201710</v>
      </c>
    </row>
    <row r="939" spans="1:5" ht="15">
      <c r="A939" s="120" t="s">
        <v>103</v>
      </c>
      <c r="B939" s="121">
        <v>24</v>
      </c>
      <c r="C939" s="121">
        <v>27</v>
      </c>
      <c r="D939" s="121">
        <v>4</v>
      </c>
      <c r="E939" s="121">
        <v>73392</v>
      </c>
    </row>
    <row r="940" spans="1:5" ht="15">
      <c r="A940" s="120" t="s">
        <v>103</v>
      </c>
      <c r="B940" s="121">
        <v>24</v>
      </c>
      <c r="C940" s="121">
        <v>31</v>
      </c>
      <c r="D940" s="121">
        <v>2</v>
      </c>
      <c r="E940" s="121">
        <v>7128</v>
      </c>
    </row>
    <row r="941" spans="1:5" ht="15">
      <c r="A941" s="120" t="s">
        <v>103</v>
      </c>
      <c r="B941" s="121">
        <v>24</v>
      </c>
      <c r="C941" s="121">
        <v>31</v>
      </c>
      <c r="D941" s="121">
        <v>4</v>
      </c>
      <c r="E941" s="121">
        <v>1123</v>
      </c>
    </row>
    <row r="942" spans="1:5" ht="15">
      <c r="A942" s="120" t="s">
        <v>99</v>
      </c>
      <c r="B942" s="121">
        <v>21</v>
      </c>
      <c r="C942" s="121">
        <v>21</v>
      </c>
      <c r="D942" s="121">
        <v>2</v>
      </c>
      <c r="E942" s="121">
        <v>15500</v>
      </c>
    </row>
    <row r="943" spans="1:5" ht="15">
      <c r="A943" s="120" t="s">
        <v>99</v>
      </c>
      <c r="B943" s="121">
        <v>21</v>
      </c>
      <c r="C943" s="121">
        <v>21</v>
      </c>
      <c r="D943" s="121">
        <v>4</v>
      </c>
      <c r="E943" s="121">
        <v>4604</v>
      </c>
    </row>
    <row r="944" spans="1:5" ht="15">
      <c r="A944" s="120" t="s">
        <v>99</v>
      </c>
      <c r="B944" s="121">
        <v>21</v>
      </c>
      <c r="C944" s="121">
        <v>26</v>
      </c>
      <c r="D944" s="121">
        <v>7</v>
      </c>
      <c r="E944" s="121">
        <v>18639</v>
      </c>
    </row>
    <row r="945" spans="1:5" ht="15">
      <c r="A945" s="120" t="s">
        <v>99</v>
      </c>
      <c r="B945" s="121">
        <v>21</v>
      </c>
      <c r="C945" s="121">
        <v>27</v>
      </c>
      <c r="D945" s="121">
        <v>2</v>
      </c>
      <c r="E945" s="121">
        <v>57945</v>
      </c>
    </row>
    <row r="946" spans="1:5" ht="15">
      <c r="A946" s="120" t="s">
        <v>99</v>
      </c>
      <c r="B946" s="121">
        <v>21</v>
      </c>
      <c r="C946" s="121">
        <v>27</v>
      </c>
      <c r="D946" s="121">
        <v>3</v>
      </c>
      <c r="E946" s="121">
        <v>64568</v>
      </c>
    </row>
    <row r="947" spans="1:5" ht="15">
      <c r="A947" s="120" t="s">
        <v>99</v>
      </c>
      <c r="B947" s="121">
        <v>21</v>
      </c>
      <c r="C947" s="121">
        <v>27</v>
      </c>
      <c r="D947" s="121">
        <v>4</v>
      </c>
      <c r="E947" s="121">
        <v>64223</v>
      </c>
    </row>
    <row r="948" spans="1:5" ht="15">
      <c r="A948" s="120" t="s">
        <v>99</v>
      </c>
      <c r="B948" s="121">
        <v>21</v>
      </c>
      <c r="C948" s="121">
        <v>27</v>
      </c>
      <c r="D948" s="121">
        <v>5</v>
      </c>
      <c r="E948" s="121">
        <v>1000</v>
      </c>
    </row>
    <row r="949" spans="1:5" ht="15">
      <c r="A949" s="120" t="s">
        <v>99</v>
      </c>
      <c r="B949" s="121">
        <v>21</v>
      </c>
      <c r="C949" s="121">
        <v>34</v>
      </c>
      <c r="D949" s="121">
        <v>2</v>
      </c>
      <c r="E949" s="121">
        <v>1212</v>
      </c>
    </row>
    <row r="950" spans="1:5" ht="15">
      <c r="A950" s="120" t="s">
        <v>99</v>
      </c>
      <c r="B950" s="121">
        <v>21</v>
      </c>
      <c r="C950" s="121">
        <v>34</v>
      </c>
      <c r="D950" s="121">
        <v>4</v>
      </c>
      <c r="E950" s="121">
        <v>221</v>
      </c>
    </row>
    <row r="951" spans="1:5" ht="15">
      <c r="A951" s="120" t="s">
        <v>95</v>
      </c>
      <c r="B951" s="121">
        <v>21</v>
      </c>
      <c r="C951" s="121">
        <v>26</v>
      </c>
      <c r="D951" s="121">
        <v>2</v>
      </c>
      <c r="E951" s="121">
        <v>162536</v>
      </c>
    </row>
    <row r="952" spans="1:5" ht="15">
      <c r="A952" s="120" t="s">
        <v>95</v>
      </c>
      <c r="B952" s="121">
        <v>21</v>
      </c>
      <c r="C952" s="121">
        <v>26</v>
      </c>
      <c r="D952" s="121">
        <v>3</v>
      </c>
      <c r="E952" s="121">
        <v>77748</v>
      </c>
    </row>
    <row r="953" spans="1:5" ht="15">
      <c r="A953" s="120" t="s">
        <v>95</v>
      </c>
      <c r="B953" s="121">
        <v>21</v>
      </c>
      <c r="C953" s="121">
        <v>26</v>
      </c>
      <c r="D953" s="121">
        <v>4</v>
      </c>
      <c r="E953" s="121">
        <v>88130</v>
      </c>
    </row>
    <row r="954" spans="1:5" ht="15">
      <c r="A954" s="120" t="s">
        <v>95</v>
      </c>
      <c r="B954" s="121">
        <v>21</v>
      </c>
      <c r="C954" s="121">
        <v>27</v>
      </c>
      <c r="D954" s="121">
        <v>2</v>
      </c>
      <c r="E954" s="121">
        <v>1005300</v>
      </c>
    </row>
    <row r="955" spans="1:5" ht="15">
      <c r="A955" s="120" t="s">
        <v>95</v>
      </c>
      <c r="B955" s="121">
        <v>21</v>
      </c>
      <c r="C955" s="121">
        <v>27</v>
      </c>
      <c r="D955" s="121">
        <v>3</v>
      </c>
      <c r="E955" s="121">
        <v>569073</v>
      </c>
    </row>
    <row r="956" spans="1:5" ht="15">
      <c r="A956" s="120" t="s">
        <v>95</v>
      </c>
      <c r="B956" s="121">
        <v>21</v>
      </c>
      <c r="C956" s="121">
        <v>27</v>
      </c>
      <c r="D956" s="121">
        <v>4</v>
      </c>
      <c r="E956" s="121">
        <v>680278</v>
      </c>
    </row>
    <row r="957" spans="1:5" ht="15">
      <c r="A957" s="120" t="s">
        <v>95</v>
      </c>
      <c r="B957" s="121">
        <v>21</v>
      </c>
      <c r="C957" s="121">
        <v>27</v>
      </c>
      <c r="D957" s="121">
        <v>5</v>
      </c>
      <c r="E957" s="121">
        <v>589167</v>
      </c>
    </row>
    <row r="958" spans="1:5" ht="15">
      <c r="A958" s="120" t="s">
        <v>95</v>
      </c>
      <c r="B958" s="121">
        <v>21</v>
      </c>
      <c r="C958" s="121">
        <v>31</v>
      </c>
      <c r="D958" s="121">
        <v>2</v>
      </c>
      <c r="E958" s="121">
        <v>17000</v>
      </c>
    </row>
    <row r="959" spans="1:5" ht="15">
      <c r="A959" s="120" t="s">
        <v>95</v>
      </c>
      <c r="B959" s="121">
        <v>21</v>
      </c>
      <c r="C959" s="121">
        <v>31</v>
      </c>
      <c r="D959" s="121">
        <v>3</v>
      </c>
      <c r="E959" s="121">
        <v>1500</v>
      </c>
    </row>
    <row r="960" spans="1:5" ht="15">
      <c r="A960" s="120" t="s">
        <v>95</v>
      </c>
      <c r="B960" s="121">
        <v>21</v>
      </c>
      <c r="C960" s="121">
        <v>31</v>
      </c>
      <c r="D960" s="121">
        <v>4</v>
      </c>
      <c r="E960" s="121">
        <v>3101</v>
      </c>
    </row>
    <row r="961" spans="1:5" ht="15">
      <c r="A961" s="120" t="s">
        <v>95</v>
      </c>
      <c r="B961" s="121">
        <v>21</v>
      </c>
      <c r="C961" s="121">
        <v>34</v>
      </c>
      <c r="D961" s="121">
        <v>2</v>
      </c>
      <c r="E961" s="121">
        <v>18107</v>
      </c>
    </row>
    <row r="962" spans="1:5" ht="15">
      <c r="A962" s="120" t="s">
        <v>95</v>
      </c>
      <c r="B962" s="121">
        <v>21</v>
      </c>
      <c r="C962" s="121">
        <v>34</v>
      </c>
      <c r="D962" s="121">
        <v>4</v>
      </c>
      <c r="E962" s="121">
        <v>2918</v>
      </c>
    </row>
    <row r="963" spans="1:5" ht="15">
      <c r="A963" s="120" t="s">
        <v>109</v>
      </c>
      <c r="B963" s="121">
        <v>24</v>
      </c>
      <c r="C963" s="121">
        <v>26</v>
      </c>
      <c r="D963" s="121">
        <v>7</v>
      </c>
      <c r="E963" s="121">
        <v>43925</v>
      </c>
    </row>
    <row r="964" spans="1:5" ht="15">
      <c r="A964" s="120" t="s">
        <v>95</v>
      </c>
      <c r="B964" s="121">
        <v>24</v>
      </c>
      <c r="C964" s="121">
        <v>27</v>
      </c>
      <c r="D964" s="121">
        <v>3</v>
      </c>
      <c r="E964" s="121">
        <v>287484</v>
      </c>
    </row>
    <row r="965" spans="1:5" ht="15">
      <c r="A965" s="120" t="s">
        <v>95</v>
      </c>
      <c r="B965" s="121">
        <v>24</v>
      </c>
      <c r="C965" s="121">
        <v>27</v>
      </c>
      <c r="D965" s="121">
        <v>4</v>
      </c>
      <c r="E965" s="121">
        <v>172168</v>
      </c>
    </row>
    <row r="966" spans="1:5" ht="15">
      <c r="A966" s="120" t="s">
        <v>99</v>
      </c>
      <c r="B966" s="121">
        <v>24</v>
      </c>
      <c r="C966" s="121">
        <v>26</v>
      </c>
      <c r="D966" s="121">
        <v>7</v>
      </c>
      <c r="E966" s="121">
        <v>33083</v>
      </c>
    </row>
    <row r="967" spans="1:5" ht="15">
      <c r="A967" s="120" t="s">
        <v>115</v>
      </c>
      <c r="B967" s="121">
        <v>21</v>
      </c>
      <c r="C967" s="121">
        <v>23</v>
      </c>
      <c r="D967" s="121">
        <v>2</v>
      </c>
      <c r="E967" s="121">
        <v>25388</v>
      </c>
    </row>
    <row r="968" spans="1:5" ht="15">
      <c r="A968" s="120" t="s">
        <v>115</v>
      </c>
      <c r="B968" s="121">
        <v>21</v>
      </c>
      <c r="C968" s="121">
        <v>23</v>
      </c>
      <c r="D968" s="121">
        <v>4</v>
      </c>
      <c r="E968" s="121">
        <v>7254</v>
      </c>
    </row>
    <row r="969" spans="1:5" ht="15">
      <c r="A969" s="120" t="s">
        <v>115</v>
      </c>
      <c r="B969" s="121">
        <v>21</v>
      </c>
      <c r="C969" s="121">
        <v>27</v>
      </c>
      <c r="D969" s="121">
        <v>2</v>
      </c>
      <c r="E969" s="121">
        <v>148062</v>
      </c>
    </row>
    <row r="970" spans="1:5" ht="15">
      <c r="A970" s="120" t="s">
        <v>115</v>
      </c>
      <c r="B970" s="121">
        <v>21</v>
      </c>
      <c r="C970" s="121">
        <v>27</v>
      </c>
      <c r="D970" s="121">
        <v>3</v>
      </c>
      <c r="E970" s="121">
        <v>248939</v>
      </c>
    </row>
    <row r="971" spans="1:5" ht="15">
      <c r="A971" s="120" t="s">
        <v>115</v>
      </c>
      <c r="B971" s="121">
        <v>21</v>
      </c>
      <c r="C971" s="121">
        <v>27</v>
      </c>
      <c r="D971" s="121">
        <v>4</v>
      </c>
      <c r="E971" s="121">
        <v>177950</v>
      </c>
    </row>
    <row r="972" spans="1:5" ht="15">
      <c r="A972" s="120" t="s">
        <v>115</v>
      </c>
      <c r="B972" s="121">
        <v>21</v>
      </c>
      <c r="C972" s="121">
        <v>27</v>
      </c>
      <c r="D972" s="121">
        <v>5</v>
      </c>
      <c r="E972" s="121">
        <v>2000</v>
      </c>
    </row>
    <row r="973" spans="1:5" ht="15">
      <c r="A973" s="120" t="s">
        <v>115</v>
      </c>
      <c r="B973" s="121">
        <v>21</v>
      </c>
      <c r="C973" s="121">
        <v>27</v>
      </c>
      <c r="D973" s="121">
        <v>7</v>
      </c>
      <c r="E973" s="121">
        <v>185378</v>
      </c>
    </row>
    <row r="974" spans="1:5" ht="15">
      <c r="A974" s="120" t="s">
        <v>99</v>
      </c>
      <c r="B974" s="121">
        <v>29</v>
      </c>
      <c r="C974" s="121">
        <v>26</v>
      </c>
      <c r="D974" s="121">
        <v>7</v>
      </c>
      <c r="E974" s="121">
        <v>11000</v>
      </c>
    </row>
    <row r="975" spans="1:5" ht="15">
      <c r="A975" s="120" t="s">
        <v>115</v>
      </c>
      <c r="B975" s="121">
        <v>24</v>
      </c>
      <c r="C975" s="121">
        <v>27</v>
      </c>
      <c r="D975" s="121">
        <v>3</v>
      </c>
      <c r="E975" s="121">
        <v>48925</v>
      </c>
    </row>
    <row r="976" spans="1:5" ht="15">
      <c r="A976" s="120" t="s">
        <v>115</v>
      </c>
      <c r="B976" s="121">
        <v>24</v>
      </c>
      <c r="C976" s="121">
        <v>27</v>
      </c>
      <c r="D976" s="121">
        <v>4</v>
      </c>
      <c r="E976" s="121">
        <v>23697</v>
      </c>
    </row>
    <row r="977" spans="1:5" ht="15">
      <c r="A977" s="120" t="s">
        <v>115</v>
      </c>
      <c r="B977" s="121">
        <v>24</v>
      </c>
      <c r="C977" s="121">
        <v>27</v>
      </c>
      <c r="D977" s="121">
        <v>5</v>
      </c>
      <c r="E977" s="121">
        <v>363</v>
      </c>
    </row>
    <row r="978" spans="1:5" ht="15">
      <c r="A978" s="120" t="s">
        <v>121</v>
      </c>
      <c r="B978" s="121">
        <v>21</v>
      </c>
      <c r="C978" s="121">
        <v>21</v>
      </c>
      <c r="D978" s="121">
        <v>4</v>
      </c>
      <c r="E978" s="121">
        <v>9472</v>
      </c>
    </row>
    <row r="979" spans="1:5" ht="15">
      <c r="A979" s="120" t="s">
        <v>121</v>
      </c>
      <c r="B979" s="121">
        <v>21</v>
      </c>
      <c r="C979" s="121">
        <v>23</v>
      </c>
      <c r="D979" s="121">
        <v>3</v>
      </c>
      <c r="E979" s="121">
        <v>5804</v>
      </c>
    </row>
    <row r="980" spans="1:5" ht="15">
      <c r="A980" s="120" t="s">
        <v>121</v>
      </c>
      <c r="B980" s="121">
        <v>21</v>
      </c>
      <c r="C980" s="121">
        <v>23</v>
      </c>
      <c r="D980" s="121">
        <v>4</v>
      </c>
      <c r="E980" s="121">
        <v>3280</v>
      </c>
    </row>
    <row r="981" spans="1:5" ht="15">
      <c r="A981" s="120" t="s">
        <v>121</v>
      </c>
      <c r="B981" s="121">
        <v>21</v>
      </c>
      <c r="C981" s="121">
        <v>26</v>
      </c>
      <c r="D981" s="121">
        <v>2</v>
      </c>
      <c r="E981" s="121">
        <v>41818</v>
      </c>
    </row>
    <row r="982" spans="1:5" ht="15">
      <c r="A982" s="120" t="s">
        <v>121</v>
      </c>
      <c r="B982" s="121">
        <v>21</v>
      </c>
      <c r="C982" s="121">
        <v>26</v>
      </c>
      <c r="D982" s="121">
        <v>4</v>
      </c>
      <c r="E982" s="121">
        <v>22409</v>
      </c>
    </row>
    <row r="983" spans="1:5" ht="15">
      <c r="A983" s="120" t="s">
        <v>121</v>
      </c>
      <c r="B983" s="121">
        <v>21</v>
      </c>
      <c r="C983" s="121">
        <v>26</v>
      </c>
      <c r="D983" s="121">
        <v>5</v>
      </c>
      <c r="E983" s="121">
        <v>200</v>
      </c>
    </row>
    <row r="984" spans="1:5" ht="15">
      <c r="A984" s="120" t="s">
        <v>121</v>
      </c>
      <c r="B984" s="121">
        <v>21</v>
      </c>
      <c r="C984" s="121">
        <v>26</v>
      </c>
      <c r="D984" s="121">
        <v>7</v>
      </c>
      <c r="E984" s="121">
        <v>22500</v>
      </c>
    </row>
    <row r="985" spans="1:5" ht="15">
      <c r="A985" s="120" t="s">
        <v>121</v>
      </c>
      <c r="B985" s="121">
        <v>21</v>
      </c>
      <c r="C985" s="121">
        <v>27</v>
      </c>
      <c r="D985" s="121">
        <v>2</v>
      </c>
      <c r="E985" s="121">
        <v>198103</v>
      </c>
    </row>
    <row r="986" spans="1:5" ht="15">
      <c r="A986" s="120" t="s">
        <v>121</v>
      </c>
      <c r="B986" s="121">
        <v>21</v>
      </c>
      <c r="C986" s="121">
        <v>27</v>
      </c>
      <c r="D986" s="121">
        <v>3</v>
      </c>
      <c r="E986" s="121">
        <v>235891</v>
      </c>
    </row>
    <row r="987" spans="1:5" ht="15">
      <c r="A987" s="120" t="s">
        <v>121</v>
      </c>
      <c r="B987" s="121">
        <v>21</v>
      </c>
      <c r="C987" s="121">
        <v>27</v>
      </c>
      <c r="D987" s="121">
        <v>4</v>
      </c>
      <c r="E987" s="121">
        <v>209736</v>
      </c>
    </row>
    <row r="988" spans="1:5" ht="15">
      <c r="A988" s="120" t="s">
        <v>121</v>
      </c>
      <c r="B988" s="121">
        <v>21</v>
      </c>
      <c r="C988" s="121">
        <v>27</v>
      </c>
      <c r="D988" s="121">
        <v>5</v>
      </c>
      <c r="E988" s="121">
        <v>15250</v>
      </c>
    </row>
    <row r="989" spans="1:5" ht="15">
      <c r="A989" s="120" t="s">
        <v>121</v>
      </c>
      <c r="B989" s="121">
        <v>21</v>
      </c>
      <c r="C989" s="121">
        <v>27</v>
      </c>
      <c r="D989" s="121">
        <v>7</v>
      </c>
      <c r="E989" s="121">
        <v>5650</v>
      </c>
    </row>
    <row r="990" spans="1:5" ht="15">
      <c r="A990" s="120" t="s">
        <v>121</v>
      </c>
      <c r="B990" s="121">
        <v>21</v>
      </c>
      <c r="C990" s="121">
        <v>31</v>
      </c>
      <c r="D990" s="121">
        <v>7</v>
      </c>
      <c r="E990" s="121">
        <v>750</v>
      </c>
    </row>
    <row r="991" spans="1:5" ht="15">
      <c r="A991" s="120" t="s">
        <v>121</v>
      </c>
      <c r="B991" s="121">
        <v>21</v>
      </c>
      <c r="C991" s="121">
        <v>32</v>
      </c>
      <c r="D991" s="121">
        <v>5</v>
      </c>
      <c r="E991" s="121">
        <v>3300</v>
      </c>
    </row>
    <row r="992" spans="1:5" ht="15">
      <c r="A992" s="120" t="s">
        <v>121</v>
      </c>
      <c r="B992" s="121">
        <v>21</v>
      </c>
      <c r="C992" s="121">
        <v>33</v>
      </c>
      <c r="D992" s="121">
        <v>5</v>
      </c>
      <c r="E992" s="121">
        <v>500</v>
      </c>
    </row>
    <row r="993" spans="1:5" ht="15">
      <c r="A993" s="120" t="s">
        <v>121</v>
      </c>
      <c r="B993" s="121">
        <v>24</v>
      </c>
      <c r="C993" s="121">
        <v>27</v>
      </c>
      <c r="D993" s="121">
        <v>2</v>
      </c>
      <c r="E993" s="121">
        <v>62370</v>
      </c>
    </row>
    <row r="994" spans="1:5" ht="15">
      <c r="A994" s="120" t="s">
        <v>121</v>
      </c>
      <c r="B994" s="121">
        <v>24</v>
      </c>
      <c r="C994" s="121">
        <v>27</v>
      </c>
      <c r="D994" s="121">
        <v>4</v>
      </c>
      <c r="E994" s="121">
        <v>19393</v>
      </c>
    </row>
    <row r="995" spans="1:5" ht="15">
      <c r="A995" s="120" t="s">
        <v>121</v>
      </c>
      <c r="B995" s="121">
        <v>29</v>
      </c>
      <c r="C995" s="121">
        <v>27</v>
      </c>
      <c r="D995" s="121">
        <v>5</v>
      </c>
      <c r="E995" s="121">
        <v>4000</v>
      </c>
    </row>
    <row r="996" spans="1:5" ht="15">
      <c r="A996" s="120" t="s">
        <v>121</v>
      </c>
      <c r="B996" s="121">
        <v>29</v>
      </c>
      <c r="C996" s="121">
        <v>27</v>
      </c>
      <c r="D996" s="121">
        <v>7</v>
      </c>
      <c r="E996" s="121">
        <v>3000</v>
      </c>
    </row>
    <row r="997" spans="1:5" ht="15">
      <c r="A997" s="120" t="s">
        <v>105</v>
      </c>
      <c r="B997" s="121">
        <v>21</v>
      </c>
      <c r="C997" s="121">
        <v>21</v>
      </c>
      <c r="D997" s="121">
        <v>2</v>
      </c>
      <c r="E997" s="121">
        <v>72616</v>
      </c>
    </row>
    <row r="998" spans="1:5" ht="15">
      <c r="A998" s="120" t="s">
        <v>105</v>
      </c>
      <c r="B998" s="121">
        <v>21</v>
      </c>
      <c r="C998" s="121">
        <v>21</v>
      </c>
      <c r="D998" s="121">
        <v>3</v>
      </c>
      <c r="E998" s="121">
        <v>25465</v>
      </c>
    </row>
    <row r="999" spans="1:5" ht="15">
      <c r="A999" s="120" t="s">
        <v>105</v>
      </c>
      <c r="B999" s="121">
        <v>21</v>
      </c>
      <c r="C999" s="121">
        <v>21</v>
      </c>
      <c r="D999" s="121">
        <v>4</v>
      </c>
      <c r="E999" s="121">
        <v>29270</v>
      </c>
    </row>
    <row r="1000" spans="1:5" ht="15">
      <c r="A1000" s="120" t="s">
        <v>105</v>
      </c>
      <c r="B1000" s="121">
        <v>21</v>
      </c>
      <c r="C1000" s="121">
        <v>25</v>
      </c>
      <c r="D1000" s="121">
        <v>5</v>
      </c>
      <c r="E1000" s="121">
        <v>500</v>
      </c>
    </row>
    <row r="1001" spans="1:5" ht="15">
      <c r="A1001" s="120" t="s">
        <v>105</v>
      </c>
      <c r="B1001" s="121">
        <v>21</v>
      </c>
      <c r="C1001" s="121">
        <v>26</v>
      </c>
      <c r="D1001" s="121">
        <v>7</v>
      </c>
      <c r="E1001" s="121">
        <v>450000</v>
      </c>
    </row>
    <row r="1002" spans="1:5" ht="15">
      <c r="A1002" s="120" t="s">
        <v>105</v>
      </c>
      <c r="B1002" s="121">
        <v>21</v>
      </c>
      <c r="C1002" s="121">
        <v>27</v>
      </c>
      <c r="D1002" s="121">
        <v>0</v>
      </c>
      <c r="E1002" s="121">
        <v>1000</v>
      </c>
    </row>
    <row r="1003" spans="1:5" ht="15">
      <c r="A1003" s="120" t="s">
        <v>105</v>
      </c>
      <c r="B1003" s="121">
        <v>21</v>
      </c>
      <c r="C1003" s="121">
        <v>27</v>
      </c>
      <c r="D1003" s="121">
        <v>2</v>
      </c>
      <c r="E1003" s="121">
        <v>457990</v>
      </c>
    </row>
    <row r="1004" spans="1:5" ht="15">
      <c r="A1004" s="120" t="s">
        <v>105</v>
      </c>
      <c r="B1004" s="121">
        <v>21</v>
      </c>
      <c r="C1004" s="121">
        <v>27</v>
      </c>
      <c r="D1004" s="121">
        <v>3</v>
      </c>
      <c r="E1004" s="121">
        <v>487007</v>
      </c>
    </row>
    <row r="1005" spans="1:5" ht="15">
      <c r="A1005" s="120" t="s">
        <v>105</v>
      </c>
      <c r="B1005" s="121">
        <v>21</v>
      </c>
      <c r="C1005" s="121">
        <v>27</v>
      </c>
      <c r="D1005" s="121">
        <v>4</v>
      </c>
      <c r="E1005" s="121">
        <v>429226</v>
      </c>
    </row>
    <row r="1006" spans="1:5" ht="15">
      <c r="A1006" s="120" t="s">
        <v>105</v>
      </c>
      <c r="B1006" s="121">
        <v>21</v>
      </c>
      <c r="C1006" s="121">
        <v>27</v>
      </c>
      <c r="D1006" s="121">
        <v>5</v>
      </c>
      <c r="E1006" s="121">
        <v>3000</v>
      </c>
    </row>
    <row r="1007" spans="1:5" ht="15">
      <c r="A1007" s="120" t="s">
        <v>105</v>
      </c>
      <c r="B1007" s="121">
        <v>21</v>
      </c>
      <c r="C1007" s="121">
        <v>27</v>
      </c>
      <c r="D1007" s="121">
        <v>7</v>
      </c>
      <c r="E1007" s="121">
        <v>33000</v>
      </c>
    </row>
    <row r="1008" spans="1:5" ht="15">
      <c r="A1008" s="120" t="s">
        <v>105</v>
      </c>
      <c r="B1008" s="121">
        <v>21</v>
      </c>
      <c r="C1008" s="121">
        <v>31</v>
      </c>
      <c r="D1008" s="121">
        <v>2</v>
      </c>
      <c r="E1008" s="121">
        <v>1332</v>
      </c>
    </row>
    <row r="1009" spans="1:5" ht="15">
      <c r="A1009" s="120" t="s">
        <v>105</v>
      </c>
      <c r="B1009" s="121">
        <v>21</v>
      </c>
      <c r="C1009" s="121">
        <v>31</v>
      </c>
      <c r="D1009" s="121">
        <v>3</v>
      </c>
      <c r="E1009" s="121">
        <v>4741</v>
      </c>
    </row>
    <row r="1010" spans="1:5" ht="15">
      <c r="A1010" s="120" t="s">
        <v>105</v>
      </c>
      <c r="B1010" s="121">
        <v>21</v>
      </c>
      <c r="C1010" s="121">
        <v>31</v>
      </c>
      <c r="D1010" s="121">
        <v>4</v>
      </c>
      <c r="E1010" s="121">
        <v>502</v>
      </c>
    </row>
    <row r="1011" spans="1:5" ht="15">
      <c r="A1011" s="120" t="s">
        <v>105</v>
      </c>
      <c r="B1011" s="121">
        <v>21</v>
      </c>
      <c r="C1011" s="121">
        <v>33</v>
      </c>
      <c r="D1011" s="121">
        <v>5</v>
      </c>
      <c r="E1011" s="121">
        <v>2000</v>
      </c>
    </row>
    <row r="1012" spans="1:5" ht="15">
      <c r="A1012" s="120" t="s">
        <v>105</v>
      </c>
      <c r="B1012" s="121">
        <v>21</v>
      </c>
      <c r="C1012" s="121">
        <v>34</v>
      </c>
      <c r="D1012" s="121">
        <v>2</v>
      </c>
      <c r="E1012" s="121">
        <v>6210</v>
      </c>
    </row>
    <row r="1013" spans="1:5" ht="15">
      <c r="A1013" s="120" t="s">
        <v>105</v>
      </c>
      <c r="B1013" s="121">
        <v>21</v>
      </c>
      <c r="C1013" s="121">
        <v>34</v>
      </c>
      <c r="D1013" s="121">
        <v>4</v>
      </c>
      <c r="E1013" s="121">
        <v>993</v>
      </c>
    </row>
    <row r="1014" spans="1:5" ht="15">
      <c r="A1014" s="120" t="s">
        <v>105</v>
      </c>
      <c r="B1014" s="121">
        <v>24</v>
      </c>
      <c r="C1014" s="121">
        <v>26</v>
      </c>
      <c r="D1014" s="121">
        <v>7</v>
      </c>
      <c r="E1014" s="121">
        <v>149438</v>
      </c>
    </row>
    <row r="1015" spans="1:5" ht="15">
      <c r="A1015" s="120" t="s">
        <v>111</v>
      </c>
      <c r="B1015" s="121">
        <v>21</v>
      </c>
      <c r="C1015" s="121">
        <v>23</v>
      </c>
      <c r="D1015" s="121">
        <v>2</v>
      </c>
      <c r="E1015" s="121">
        <v>13240</v>
      </c>
    </row>
    <row r="1016" spans="1:5" ht="15">
      <c r="A1016" s="120" t="s">
        <v>111</v>
      </c>
      <c r="B1016" s="121">
        <v>21</v>
      </c>
      <c r="C1016" s="121">
        <v>23</v>
      </c>
      <c r="D1016" s="121">
        <v>3</v>
      </c>
      <c r="E1016" s="121">
        <v>9302</v>
      </c>
    </row>
    <row r="1017" spans="1:5" ht="15">
      <c r="A1017" s="120" t="s">
        <v>111</v>
      </c>
      <c r="B1017" s="121">
        <v>21</v>
      </c>
      <c r="C1017" s="121">
        <v>23</v>
      </c>
      <c r="D1017" s="121">
        <v>4</v>
      </c>
      <c r="E1017" s="121">
        <v>9086</v>
      </c>
    </row>
    <row r="1018" spans="1:5" ht="15">
      <c r="A1018" s="120" t="s">
        <v>101</v>
      </c>
      <c r="B1018" s="121">
        <v>21</v>
      </c>
      <c r="C1018" s="121">
        <v>21</v>
      </c>
      <c r="D1018" s="121">
        <v>2</v>
      </c>
      <c r="E1018" s="121">
        <v>101730</v>
      </c>
    </row>
    <row r="1019" spans="1:5" ht="15">
      <c r="A1019" s="120" t="s">
        <v>101</v>
      </c>
      <c r="B1019" s="121">
        <v>21</v>
      </c>
      <c r="C1019" s="121">
        <v>21</v>
      </c>
      <c r="D1019" s="121">
        <v>3</v>
      </c>
      <c r="E1019" s="121">
        <v>10973</v>
      </c>
    </row>
    <row r="1020" spans="1:5" ht="15">
      <c r="A1020" s="120" t="s">
        <v>101</v>
      </c>
      <c r="B1020" s="121">
        <v>21</v>
      </c>
      <c r="C1020" s="121">
        <v>21</v>
      </c>
      <c r="D1020" s="121">
        <v>4</v>
      </c>
      <c r="E1020" s="121">
        <v>35565</v>
      </c>
    </row>
    <row r="1021" spans="1:5" ht="15">
      <c r="A1021" s="120" t="s">
        <v>101</v>
      </c>
      <c r="B1021" s="121">
        <v>21</v>
      </c>
      <c r="C1021" s="121">
        <v>21</v>
      </c>
      <c r="D1021" s="121">
        <v>5</v>
      </c>
      <c r="E1021" s="121">
        <v>1000</v>
      </c>
    </row>
    <row r="1022" spans="1:5" ht="15">
      <c r="A1022" s="120" t="s">
        <v>101</v>
      </c>
      <c r="B1022" s="121">
        <v>21</v>
      </c>
      <c r="C1022" s="121">
        <v>21</v>
      </c>
      <c r="D1022" s="121">
        <v>7</v>
      </c>
      <c r="E1022" s="121">
        <v>6000</v>
      </c>
    </row>
    <row r="1023" spans="1:5" ht="15">
      <c r="A1023" s="120" t="s">
        <v>101</v>
      </c>
      <c r="B1023" s="121">
        <v>21</v>
      </c>
      <c r="C1023" s="121">
        <v>21</v>
      </c>
      <c r="D1023" s="121">
        <v>8</v>
      </c>
      <c r="E1023" s="121">
        <v>1000</v>
      </c>
    </row>
    <row r="1024" spans="1:5" ht="15">
      <c r="A1024" s="120" t="s">
        <v>101</v>
      </c>
      <c r="B1024" s="121">
        <v>21</v>
      </c>
      <c r="C1024" s="121">
        <v>26</v>
      </c>
      <c r="D1024" s="121">
        <v>2</v>
      </c>
      <c r="E1024" s="121">
        <v>118855</v>
      </c>
    </row>
    <row r="1025" spans="1:5" ht="15">
      <c r="A1025" s="120" t="s">
        <v>101</v>
      </c>
      <c r="B1025" s="121">
        <v>21</v>
      </c>
      <c r="C1025" s="121">
        <v>26</v>
      </c>
      <c r="D1025" s="121">
        <v>4</v>
      </c>
      <c r="E1025" s="121">
        <v>36285</v>
      </c>
    </row>
    <row r="1026" spans="1:5" ht="15">
      <c r="A1026" s="120" t="s">
        <v>101</v>
      </c>
      <c r="B1026" s="121">
        <v>21</v>
      </c>
      <c r="C1026" s="121">
        <v>26</v>
      </c>
      <c r="D1026" s="121">
        <v>5</v>
      </c>
      <c r="E1026" s="121">
        <v>6999</v>
      </c>
    </row>
    <row r="1027" spans="1:5" ht="15">
      <c r="A1027" s="120" t="s">
        <v>101</v>
      </c>
      <c r="B1027" s="121">
        <v>21</v>
      </c>
      <c r="C1027" s="121">
        <v>26</v>
      </c>
      <c r="D1027" s="121">
        <v>7</v>
      </c>
      <c r="E1027" s="121">
        <v>39380</v>
      </c>
    </row>
    <row r="1028" spans="1:5" ht="15">
      <c r="A1028" s="120" t="s">
        <v>101</v>
      </c>
      <c r="B1028" s="121">
        <v>21</v>
      </c>
      <c r="C1028" s="121">
        <v>26</v>
      </c>
      <c r="D1028" s="121">
        <v>8</v>
      </c>
      <c r="E1028" s="121">
        <v>1000</v>
      </c>
    </row>
    <row r="1029" spans="1:5" ht="15">
      <c r="A1029" s="120" t="s">
        <v>101</v>
      </c>
      <c r="B1029" s="121">
        <v>21</v>
      </c>
      <c r="C1029" s="121">
        <v>27</v>
      </c>
      <c r="D1029" s="121">
        <v>2</v>
      </c>
      <c r="E1029" s="121">
        <v>490661</v>
      </c>
    </row>
    <row r="1030" spans="1:5" ht="15">
      <c r="A1030" s="120" t="s">
        <v>101</v>
      </c>
      <c r="B1030" s="121">
        <v>21</v>
      </c>
      <c r="C1030" s="121">
        <v>27</v>
      </c>
      <c r="D1030" s="121">
        <v>3</v>
      </c>
      <c r="E1030" s="121">
        <v>294457</v>
      </c>
    </row>
    <row r="1031" spans="1:5" ht="15">
      <c r="A1031" s="120" t="s">
        <v>101</v>
      </c>
      <c r="B1031" s="121">
        <v>21</v>
      </c>
      <c r="C1031" s="121">
        <v>27</v>
      </c>
      <c r="D1031" s="121">
        <v>4</v>
      </c>
      <c r="E1031" s="121">
        <v>379127</v>
      </c>
    </row>
    <row r="1032" spans="1:5" ht="15">
      <c r="A1032" s="120" t="s">
        <v>101</v>
      </c>
      <c r="B1032" s="121">
        <v>21</v>
      </c>
      <c r="C1032" s="121">
        <v>27</v>
      </c>
      <c r="D1032" s="121">
        <v>5</v>
      </c>
      <c r="E1032" s="121">
        <v>6000</v>
      </c>
    </row>
    <row r="1033" spans="1:5" ht="15">
      <c r="A1033" s="120" t="s">
        <v>101</v>
      </c>
      <c r="B1033" s="121">
        <v>21</v>
      </c>
      <c r="C1033" s="121">
        <v>27</v>
      </c>
      <c r="D1033" s="121">
        <v>7</v>
      </c>
      <c r="E1033" s="121">
        <v>16734</v>
      </c>
    </row>
    <row r="1034" spans="1:5" ht="15">
      <c r="A1034" s="120" t="s">
        <v>101</v>
      </c>
      <c r="B1034" s="121">
        <v>21</v>
      </c>
      <c r="C1034" s="121">
        <v>27</v>
      </c>
      <c r="D1034" s="121">
        <v>8</v>
      </c>
      <c r="E1034" s="121">
        <v>2400</v>
      </c>
    </row>
    <row r="1035" spans="1:5" ht="15">
      <c r="A1035" s="120" t="s">
        <v>101</v>
      </c>
      <c r="B1035" s="121">
        <v>21</v>
      </c>
      <c r="C1035" s="121">
        <v>31</v>
      </c>
      <c r="D1035" s="121">
        <v>2</v>
      </c>
      <c r="E1035" s="121">
        <v>11455</v>
      </c>
    </row>
    <row r="1036" spans="1:5" ht="15">
      <c r="A1036" s="120" t="s">
        <v>101</v>
      </c>
      <c r="B1036" s="121">
        <v>21</v>
      </c>
      <c r="C1036" s="121">
        <v>31</v>
      </c>
      <c r="D1036" s="121">
        <v>4</v>
      </c>
      <c r="E1036" s="121">
        <v>1929</v>
      </c>
    </row>
    <row r="1037" spans="1:5" ht="15">
      <c r="A1037" s="120" t="s">
        <v>101</v>
      </c>
      <c r="B1037" s="121">
        <v>21</v>
      </c>
      <c r="C1037" s="121">
        <v>34</v>
      </c>
      <c r="D1037" s="121">
        <v>2</v>
      </c>
      <c r="E1037" s="121">
        <v>9758</v>
      </c>
    </row>
    <row r="1038" spans="1:5" ht="15">
      <c r="A1038" s="120" t="s">
        <v>101</v>
      </c>
      <c r="B1038" s="121">
        <v>21</v>
      </c>
      <c r="C1038" s="121">
        <v>34</v>
      </c>
      <c r="D1038" s="121">
        <v>4</v>
      </c>
      <c r="E1038" s="121">
        <v>1644</v>
      </c>
    </row>
    <row r="1039" spans="1:5" ht="15">
      <c r="A1039" s="120" t="s">
        <v>111</v>
      </c>
      <c r="B1039" s="121">
        <v>21</v>
      </c>
      <c r="C1039" s="121">
        <v>26</v>
      </c>
      <c r="D1039" s="121">
        <v>7</v>
      </c>
      <c r="E1039" s="121">
        <v>78500</v>
      </c>
    </row>
    <row r="1040" spans="1:5" ht="15">
      <c r="A1040" s="120" t="s">
        <v>111</v>
      </c>
      <c r="B1040" s="121">
        <v>21</v>
      </c>
      <c r="C1040" s="121">
        <v>27</v>
      </c>
      <c r="D1040" s="121">
        <v>2</v>
      </c>
      <c r="E1040" s="121">
        <v>52034</v>
      </c>
    </row>
    <row r="1041" spans="1:5" ht="15">
      <c r="A1041" s="120" t="s">
        <v>111</v>
      </c>
      <c r="B1041" s="121">
        <v>21</v>
      </c>
      <c r="C1041" s="121">
        <v>27</v>
      </c>
      <c r="D1041" s="121">
        <v>3</v>
      </c>
      <c r="E1041" s="121">
        <v>96975</v>
      </c>
    </row>
    <row r="1042" spans="1:5" ht="15">
      <c r="A1042" s="120" t="s">
        <v>111</v>
      </c>
      <c r="B1042" s="121">
        <v>21</v>
      </c>
      <c r="C1042" s="121">
        <v>27</v>
      </c>
      <c r="D1042" s="121">
        <v>4</v>
      </c>
      <c r="E1042" s="121">
        <v>82666</v>
      </c>
    </row>
    <row r="1043" spans="1:5" ht="15">
      <c r="A1043" s="120" t="s">
        <v>111</v>
      </c>
      <c r="B1043" s="121">
        <v>21</v>
      </c>
      <c r="C1043" s="121">
        <v>27</v>
      </c>
      <c r="D1043" s="121">
        <v>5</v>
      </c>
      <c r="E1043" s="121">
        <v>3500</v>
      </c>
    </row>
    <row r="1044" spans="1:5" ht="15">
      <c r="A1044" s="120" t="s">
        <v>111</v>
      </c>
      <c r="B1044" s="121">
        <v>21</v>
      </c>
      <c r="C1044" s="121">
        <v>27</v>
      </c>
      <c r="D1044" s="121">
        <v>7</v>
      </c>
      <c r="E1044" s="121">
        <v>5000</v>
      </c>
    </row>
    <row r="1045" spans="1:5" ht="15">
      <c r="A1045" s="120" t="s">
        <v>111</v>
      </c>
      <c r="B1045" s="121">
        <v>21</v>
      </c>
      <c r="C1045" s="121">
        <v>29</v>
      </c>
      <c r="D1045" s="121">
        <v>7</v>
      </c>
      <c r="E1045" s="121">
        <v>8000</v>
      </c>
    </row>
    <row r="1046" spans="1:5" ht="15">
      <c r="A1046" s="120" t="s">
        <v>111</v>
      </c>
      <c r="B1046" s="121">
        <v>21</v>
      </c>
      <c r="C1046" s="121">
        <v>32</v>
      </c>
      <c r="D1046" s="121">
        <v>5</v>
      </c>
      <c r="E1046" s="121">
        <v>1000</v>
      </c>
    </row>
    <row r="1047" spans="1:5" ht="15">
      <c r="A1047" s="120" t="s">
        <v>111</v>
      </c>
      <c r="B1047" s="121">
        <v>21</v>
      </c>
      <c r="C1047" s="121">
        <v>32</v>
      </c>
      <c r="D1047" s="121">
        <v>7</v>
      </c>
      <c r="E1047" s="121">
        <v>1500</v>
      </c>
    </row>
    <row r="1048" spans="1:5" ht="15">
      <c r="A1048" s="120" t="s">
        <v>111</v>
      </c>
      <c r="B1048" s="121">
        <v>21</v>
      </c>
      <c r="C1048" s="121">
        <v>33</v>
      </c>
      <c r="D1048" s="121">
        <v>5</v>
      </c>
      <c r="E1048" s="121">
        <v>1500</v>
      </c>
    </row>
    <row r="1049" spans="1:5" ht="15">
      <c r="A1049" s="120" t="s">
        <v>101</v>
      </c>
      <c r="B1049" s="121">
        <v>24</v>
      </c>
      <c r="C1049" s="121">
        <v>26</v>
      </c>
      <c r="D1049" s="121">
        <v>7</v>
      </c>
      <c r="E1049" s="121">
        <v>150000</v>
      </c>
    </row>
    <row r="1050" spans="1:5" ht="15">
      <c r="A1050" s="120" t="s">
        <v>101</v>
      </c>
      <c r="B1050" s="121">
        <v>24</v>
      </c>
      <c r="C1050" s="121">
        <v>26</v>
      </c>
      <c r="D1050" s="121">
        <v>8</v>
      </c>
      <c r="E1050" s="121">
        <v>3000</v>
      </c>
    </row>
    <row r="1051" spans="1:5" ht="15">
      <c r="A1051" s="120" t="s">
        <v>101</v>
      </c>
      <c r="B1051" s="121">
        <v>24</v>
      </c>
      <c r="C1051" s="121">
        <v>27</v>
      </c>
      <c r="D1051" s="121">
        <v>5</v>
      </c>
      <c r="E1051" s="121">
        <v>15000</v>
      </c>
    </row>
    <row r="1052" spans="1:5" ht="15">
      <c r="A1052" s="120" t="s">
        <v>101</v>
      </c>
      <c r="B1052" s="121">
        <v>24</v>
      </c>
      <c r="C1052" s="121">
        <v>27</v>
      </c>
      <c r="D1052" s="121">
        <v>8</v>
      </c>
      <c r="E1052" s="121">
        <v>3000</v>
      </c>
    </row>
    <row r="1053" spans="1:5" ht="15">
      <c r="A1053" s="120" t="s">
        <v>111</v>
      </c>
      <c r="B1053" s="121">
        <v>24</v>
      </c>
      <c r="C1053" s="121">
        <v>27</v>
      </c>
      <c r="D1053" s="121">
        <v>2</v>
      </c>
      <c r="E1053" s="121">
        <v>34986</v>
      </c>
    </row>
    <row r="1054" spans="1:5" ht="15">
      <c r="A1054" s="120" t="s">
        <v>111</v>
      </c>
      <c r="B1054" s="121">
        <v>24</v>
      </c>
      <c r="C1054" s="121">
        <v>27</v>
      </c>
      <c r="D1054" s="121">
        <v>4</v>
      </c>
      <c r="E1054" s="121">
        <v>12652</v>
      </c>
    </row>
    <row r="1055" spans="1:5" ht="15">
      <c r="A1055" s="120" t="s">
        <v>117</v>
      </c>
      <c r="B1055" s="121">
        <v>21</v>
      </c>
      <c r="C1055" s="121">
        <v>26</v>
      </c>
      <c r="D1055" s="121">
        <v>5</v>
      </c>
      <c r="E1055" s="121">
        <v>500</v>
      </c>
    </row>
    <row r="1056" spans="1:5" ht="15">
      <c r="A1056" s="120" t="s">
        <v>117</v>
      </c>
      <c r="B1056" s="121">
        <v>21</v>
      </c>
      <c r="C1056" s="121">
        <v>26</v>
      </c>
      <c r="D1056" s="121">
        <v>7</v>
      </c>
      <c r="E1056" s="121">
        <v>57000</v>
      </c>
    </row>
    <row r="1057" spans="1:5" ht="15">
      <c r="A1057" s="120" t="s">
        <v>117</v>
      </c>
      <c r="B1057" s="121">
        <v>21</v>
      </c>
      <c r="C1057" s="121">
        <v>27</v>
      </c>
      <c r="D1057" s="121">
        <v>2</v>
      </c>
      <c r="E1057" s="121">
        <v>111521</v>
      </c>
    </row>
    <row r="1058" spans="1:5" ht="15">
      <c r="A1058" s="120" t="s">
        <v>117</v>
      </c>
      <c r="B1058" s="121">
        <v>21</v>
      </c>
      <c r="C1058" s="121">
        <v>27</v>
      </c>
      <c r="D1058" s="121">
        <v>3</v>
      </c>
      <c r="E1058" s="121">
        <v>96019</v>
      </c>
    </row>
    <row r="1059" spans="1:5" ht="15">
      <c r="A1059" s="120" t="s">
        <v>117</v>
      </c>
      <c r="B1059" s="121">
        <v>21</v>
      </c>
      <c r="C1059" s="121">
        <v>27</v>
      </c>
      <c r="D1059" s="121">
        <v>4</v>
      </c>
      <c r="E1059" s="121">
        <v>97373</v>
      </c>
    </row>
    <row r="1060" spans="1:5" ht="15">
      <c r="A1060" s="120" t="s">
        <v>117</v>
      </c>
      <c r="B1060" s="121">
        <v>21</v>
      </c>
      <c r="C1060" s="121">
        <v>27</v>
      </c>
      <c r="D1060" s="121">
        <v>5</v>
      </c>
      <c r="E1060" s="121">
        <v>3000</v>
      </c>
    </row>
    <row r="1061" spans="1:5" ht="15">
      <c r="A1061" s="120" t="s">
        <v>117</v>
      </c>
      <c r="B1061" s="121">
        <v>21</v>
      </c>
      <c r="C1061" s="121">
        <v>33</v>
      </c>
      <c r="D1061" s="121">
        <v>5</v>
      </c>
      <c r="E1061" s="121">
        <v>2000</v>
      </c>
    </row>
    <row r="1062" spans="1:5" ht="15">
      <c r="A1062" s="120" t="s">
        <v>117</v>
      </c>
      <c r="B1062" s="121">
        <v>24</v>
      </c>
      <c r="C1062" s="121">
        <v>26</v>
      </c>
      <c r="D1062" s="121">
        <v>7</v>
      </c>
      <c r="E1062" s="121">
        <v>18000</v>
      </c>
    </row>
    <row r="1063" spans="1:5" ht="15">
      <c r="A1063" s="120" t="s">
        <v>123</v>
      </c>
      <c r="B1063" s="121">
        <v>21</v>
      </c>
      <c r="C1063" s="121">
        <v>24</v>
      </c>
      <c r="D1063" s="121">
        <v>7</v>
      </c>
      <c r="E1063" s="121">
        <v>7500</v>
      </c>
    </row>
    <row r="1064" spans="1:5" ht="15">
      <c r="A1064" s="120" t="s">
        <v>123</v>
      </c>
      <c r="B1064" s="121">
        <v>21</v>
      </c>
      <c r="C1064" s="121">
        <v>26</v>
      </c>
      <c r="D1064" s="121">
        <v>7</v>
      </c>
      <c r="E1064" s="121">
        <v>15000</v>
      </c>
    </row>
    <row r="1065" spans="1:5" ht="15">
      <c r="A1065" s="120" t="s">
        <v>123</v>
      </c>
      <c r="B1065" s="121">
        <v>21</v>
      </c>
      <c r="C1065" s="121">
        <v>27</v>
      </c>
      <c r="D1065" s="121">
        <v>3</v>
      </c>
      <c r="E1065" s="121">
        <v>86605</v>
      </c>
    </row>
    <row r="1066" spans="1:5" ht="15">
      <c r="A1066" s="120" t="s">
        <v>123</v>
      </c>
      <c r="B1066" s="121">
        <v>21</v>
      </c>
      <c r="C1066" s="121">
        <v>27</v>
      </c>
      <c r="D1066" s="121">
        <v>4</v>
      </c>
      <c r="E1066" s="121">
        <v>42170</v>
      </c>
    </row>
    <row r="1067" spans="1:5" ht="15">
      <c r="A1067" s="120" t="s">
        <v>123</v>
      </c>
      <c r="B1067" s="121">
        <v>21</v>
      </c>
      <c r="C1067" s="121">
        <v>27</v>
      </c>
      <c r="D1067" s="121">
        <v>5</v>
      </c>
      <c r="E1067" s="121">
        <v>1000</v>
      </c>
    </row>
    <row r="1068" spans="1:5" ht="15">
      <c r="A1068" s="120" t="s">
        <v>123</v>
      </c>
      <c r="B1068" s="121">
        <v>21</v>
      </c>
      <c r="C1068" s="121">
        <v>32</v>
      </c>
      <c r="D1068" s="121">
        <v>5</v>
      </c>
      <c r="E1068" s="121">
        <v>1500</v>
      </c>
    </row>
    <row r="1069" spans="1:5" ht="15">
      <c r="A1069" s="120" t="s">
        <v>123</v>
      </c>
      <c r="B1069" s="121">
        <v>21</v>
      </c>
      <c r="C1069" s="121">
        <v>32</v>
      </c>
      <c r="D1069" s="121">
        <v>7</v>
      </c>
      <c r="E1069" s="121">
        <v>1500</v>
      </c>
    </row>
    <row r="1070" spans="1:5" ht="15">
      <c r="A1070" s="120" t="s">
        <v>123</v>
      </c>
      <c r="B1070" s="121">
        <v>21</v>
      </c>
      <c r="C1070" s="121">
        <v>33</v>
      </c>
      <c r="D1070" s="121">
        <v>5</v>
      </c>
      <c r="E1070" s="121">
        <v>1500</v>
      </c>
    </row>
    <row r="1071" spans="1:5" ht="15">
      <c r="A1071" s="120" t="s">
        <v>113</v>
      </c>
      <c r="B1071" s="121">
        <v>21</v>
      </c>
      <c r="C1071" s="121">
        <v>21</v>
      </c>
      <c r="D1071" s="121">
        <v>2</v>
      </c>
      <c r="E1071" s="121">
        <v>136200</v>
      </c>
    </row>
    <row r="1072" spans="1:5" ht="15">
      <c r="A1072" s="120" t="s">
        <v>113</v>
      </c>
      <c r="B1072" s="121">
        <v>21</v>
      </c>
      <c r="C1072" s="121">
        <v>21</v>
      </c>
      <c r="D1072" s="121">
        <v>3</v>
      </c>
      <c r="E1072" s="121">
        <v>24366</v>
      </c>
    </row>
    <row r="1073" spans="1:5" ht="15">
      <c r="A1073" s="120" t="s">
        <v>113</v>
      </c>
      <c r="B1073" s="121">
        <v>21</v>
      </c>
      <c r="C1073" s="121">
        <v>21</v>
      </c>
      <c r="D1073" s="121">
        <v>4</v>
      </c>
      <c r="E1073" s="121">
        <v>49756</v>
      </c>
    </row>
    <row r="1074" spans="1:5" ht="15">
      <c r="A1074" s="120" t="s">
        <v>113</v>
      </c>
      <c r="B1074" s="121">
        <v>21</v>
      </c>
      <c r="C1074" s="121">
        <v>26</v>
      </c>
      <c r="D1074" s="121">
        <v>2</v>
      </c>
      <c r="E1074" s="121">
        <v>277516</v>
      </c>
    </row>
    <row r="1075" spans="1:5" ht="15">
      <c r="A1075" s="120" t="s">
        <v>113</v>
      </c>
      <c r="B1075" s="121">
        <v>21</v>
      </c>
      <c r="C1075" s="121">
        <v>26</v>
      </c>
      <c r="D1075" s="121">
        <v>4</v>
      </c>
      <c r="E1075" s="121">
        <v>77681</v>
      </c>
    </row>
    <row r="1076" spans="1:5" ht="15">
      <c r="A1076" s="120" t="s">
        <v>113</v>
      </c>
      <c r="B1076" s="121">
        <v>21</v>
      </c>
      <c r="C1076" s="121">
        <v>26</v>
      </c>
      <c r="D1076" s="121">
        <v>7</v>
      </c>
      <c r="E1076" s="121">
        <v>53000</v>
      </c>
    </row>
    <row r="1077" spans="1:5" ht="15">
      <c r="A1077" s="120" t="s">
        <v>113</v>
      </c>
      <c r="B1077" s="121">
        <v>21</v>
      </c>
      <c r="C1077" s="121">
        <v>27</v>
      </c>
      <c r="D1077" s="121">
        <v>2</v>
      </c>
      <c r="E1077" s="121">
        <v>828760</v>
      </c>
    </row>
    <row r="1078" spans="1:5" ht="15">
      <c r="A1078" s="120" t="s">
        <v>113</v>
      </c>
      <c r="B1078" s="121">
        <v>21</v>
      </c>
      <c r="C1078" s="121">
        <v>27</v>
      </c>
      <c r="D1078" s="121">
        <v>3</v>
      </c>
      <c r="E1078" s="121">
        <v>645629</v>
      </c>
    </row>
    <row r="1079" spans="1:5" ht="15">
      <c r="A1079" s="120" t="s">
        <v>113</v>
      </c>
      <c r="B1079" s="121">
        <v>21</v>
      </c>
      <c r="C1079" s="121">
        <v>27</v>
      </c>
      <c r="D1079" s="121">
        <v>4</v>
      </c>
      <c r="E1079" s="121">
        <v>581158</v>
      </c>
    </row>
    <row r="1080" spans="1:5" ht="15">
      <c r="A1080" s="120" t="s">
        <v>113</v>
      </c>
      <c r="B1080" s="121">
        <v>21</v>
      </c>
      <c r="C1080" s="121">
        <v>27</v>
      </c>
      <c r="D1080" s="121">
        <v>5</v>
      </c>
      <c r="E1080" s="121">
        <v>10000</v>
      </c>
    </row>
    <row r="1081" spans="1:5" ht="15">
      <c r="A1081" s="120" t="s">
        <v>113</v>
      </c>
      <c r="B1081" s="121">
        <v>21</v>
      </c>
      <c r="C1081" s="121">
        <v>29</v>
      </c>
      <c r="D1081" s="121">
        <v>7</v>
      </c>
      <c r="E1081" s="121">
        <v>75000</v>
      </c>
    </row>
    <row r="1082" spans="1:5" ht="15">
      <c r="A1082" s="120" t="s">
        <v>113</v>
      </c>
      <c r="B1082" s="121">
        <v>21</v>
      </c>
      <c r="C1082" s="121">
        <v>31</v>
      </c>
      <c r="D1082" s="121">
        <v>7</v>
      </c>
      <c r="E1082" s="121">
        <v>3000</v>
      </c>
    </row>
    <row r="1083" spans="1:5" ht="15">
      <c r="A1083" s="120" t="s">
        <v>113</v>
      </c>
      <c r="B1083" s="121">
        <v>24</v>
      </c>
      <c r="C1083" s="121">
        <v>26</v>
      </c>
      <c r="D1083" s="121">
        <v>2</v>
      </c>
      <c r="E1083" s="121">
        <v>48084</v>
      </c>
    </row>
    <row r="1084" spans="1:5" ht="15">
      <c r="A1084" s="120" t="s">
        <v>113</v>
      </c>
      <c r="B1084" s="121">
        <v>24</v>
      </c>
      <c r="C1084" s="121">
        <v>26</v>
      </c>
      <c r="D1084" s="121">
        <v>4</v>
      </c>
      <c r="E1084" s="121">
        <v>24173</v>
      </c>
    </row>
    <row r="1085" spans="1:5" ht="15">
      <c r="A1085" s="120" t="s">
        <v>113</v>
      </c>
      <c r="B1085" s="121">
        <v>24</v>
      </c>
      <c r="C1085" s="121">
        <v>27</v>
      </c>
      <c r="D1085" s="121">
        <v>2</v>
      </c>
      <c r="E1085" s="121">
        <v>102257</v>
      </c>
    </row>
    <row r="1086" spans="1:5" ht="15">
      <c r="A1086" s="120" t="s">
        <v>113</v>
      </c>
      <c r="B1086" s="121">
        <v>24</v>
      </c>
      <c r="C1086" s="121">
        <v>27</v>
      </c>
      <c r="D1086" s="121">
        <v>4</v>
      </c>
      <c r="E1086" s="121">
        <v>32982</v>
      </c>
    </row>
    <row r="1087" spans="1:5" ht="15">
      <c r="A1087" s="120" t="s">
        <v>119</v>
      </c>
      <c r="B1087" s="121">
        <v>21</v>
      </c>
      <c r="C1087" s="121">
        <v>26</v>
      </c>
      <c r="D1087" s="121">
        <v>7</v>
      </c>
      <c r="E1087" s="121">
        <v>3000</v>
      </c>
    </row>
    <row r="1088" spans="1:5" ht="15">
      <c r="A1088" s="120" t="s">
        <v>119</v>
      </c>
      <c r="B1088" s="121">
        <v>21</v>
      </c>
      <c r="C1088" s="121">
        <v>27</v>
      </c>
      <c r="D1088" s="121">
        <v>2</v>
      </c>
      <c r="E1088" s="121">
        <v>97622</v>
      </c>
    </row>
    <row r="1089" spans="1:5" ht="15">
      <c r="A1089" s="120" t="s">
        <v>119</v>
      </c>
      <c r="B1089" s="121">
        <v>21</v>
      </c>
      <c r="C1089" s="121">
        <v>27</v>
      </c>
      <c r="D1089" s="121">
        <v>3</v>
      </c>
      <c r="E1089" s="121">
        <v>159207</v>
      </c>
    </row>
    <row r="1090" spans="1:5" ht="15">
      <c r="A1090" s="120" t="s">
        <v>119</v>
      </c>
      <c r="B1090" s="121">
        <v>21</v>
      </c>
      <c r="C1090" s="121">
        <v>27</v>
      </c>
      <c r="D1090" s="121">
        <v>4</v>
      </c>
      <c r="E1090" s="121">
        <v>143212</v>
      </c>
    </row>
    <row r="1091" spans="1:5" ht="15">
      <c r="A1091" s="120" t="s">
        <v>119</v>
      </c>
      <c r="B1091" s="121">
        <v>21</v>
      </c>
      <c r="C1091" s="121">
        <v>27</v>
      </c>
      <c r="D1091" s="121">
        <v>5</v>
      </c>
      <c r="E1091" s="121">
        <v>500</v>
      </c>
    </row>
    <row r="1092" spans="1:5" ht="15">
      <c r="A1092" s="120" t="s">
        <v>119</v>
      </c>
      <c r="B1092" s="121">
        <v>21</v>
      </c>
      <c r="C1092" s="121">
        <v>27</v>
      </c>
      <c r="D1092" s="121">
        <v>7</v>
      </c>
      <c r="E1092" s="121">
        <v>50200</v>
      </c>
    </row>
    <row r="1093" spans="1:5" ht="15">
      <c r="A1093" s="120" t="s">
        <v>119</v>
      </c>
      <c r="B1093" s="121">
        <v>21</v>
      </c>
      <c r="C1093" s="121">
        <v>27</v>
      </c>
      <c r="D1093" s="121">
        <v>8</v>
      </c>
      <c r="E1093" s="121">
        <v>1000</v>
      </c>
    </row>
    <row r="1094" spans="1:5" ht="15">
      <c r="A1094" s="120" t="s">
        <v>107</v>
      </c>
      <c r="B1094" s="121">
        <v>21</v>
      </c>
      <c r="C1094" s="121">
        <v>21</v>
      </c>
      <c r="D1094" s="121">
        <v>3</v>
      </c>
      <c r="E1094" s="121">
        <v>9038</v>
      </c>
    </row>
    <row r="1095" spans="1:5" ht="15">
      <c r="A1095" s="120" t="s">
        <v>107</v>
      </c>
      <c r="B1095" s="121">
        <v>21</v>
      </c>
      <c r="C1095" s="121">
        <v>21</v>
      </c>
      <c r="D1095" s="121">
        <v>4</v>
      </c>
      <c r="E1095" s="121">
        <v>3111</v>
      </c>
    </row>
    <row r="1096" spans="1:5" ht="15">
      <c r="A1096" s="120" t="s">
        <v>107</v>
      </c>
      <c r="B1096" s="121">
        <v>21</v>
      </c>
      <c r="C1096" s="121">
        <v>26</v>
      </c>
      <c r="D1096" s="121">
        <v>2</v>
      </c>
      <c r="E1096" s="121">
        <v>88106</v>
      </c>
    </row>
    <row r="1097" spans="1:5" ht="15">
      <c r="A1097" s="120" t="s">
        <v>107</v>
      </c>
      <c r="B1097" s="121">
        <v>21</v>
      </c>
      <c r="C1097" s="121">
        <v>26</v>
      </c>
      <c r="D1097" s="121">
        <v>4</v>
      </c>
      <c r="E1097" s="121">
        <v>21611</v>
      </c>
    </row>
    <row r="1098" spans="1:5" ht="15">
      <c r="A1098" s="120" t="s">
        <v>107</v>
      </c>
      <c r="B1098" s="121">
        <v>21</v>
      </c>
      <c r="C1098" s="121">
        <v>26</v>
      </c>
      <c r="D1098" s="121">
        <v>5</v>
      </c>
      <c r="E1098" s="121">
        <v>1000</v>
      </c>
    </row>
    <row r="1099" spans="1:5" ht="15">
      <c r="A1099" s="120" t="s">
        <v>107</v>
      </c>
      <c r="B1099" s="121">
        <v>21</v>
      </c>
      <c r="C1099" s="121">
        <v>26</v>
      </c>
      <c r="D1099" s="121">
        <v>7</v>
      </c>
      <c r="E1099" s="121">
        <v>33000</v>
      </c>
    </row>
    <row r="1100" spans="1:5" ht="15">
      <c r="A1100" s="120" t="s">
        <v>107</v>
      </c>
      <c r="B1100" s="121">
        <v>21</v>
      </c>
      <c r="C1100" s="121">
        <v>27</v>
      </c>
      <c r="D1100" s="121">
        <v>2</v>
      </c>
      <c r="E1100" s="121">
        <v>152431</v>
      </c>
    </row>
    <row r="1101" spans="1:5" ht="15">
      <c r="A1101" s="120" t="s">
        <v>107</v>
      </c>
      <c r="B1101" s="121">
        <v>21</v>
      </c>
      <c r="C1101" s="121">
        <v>27</v>
      </c>
      <c r="D1101" s="121">
        <v>3</v>
      </c>
      <c r="E1101" s="121">
        <v>123658</v>
      </c>
    </row>
    <row r="1102" spans="1:5" ht="15">
      <c r="A1102" s="120" t="s">
        <v>107</v>
      </c>
      <c r="B1102" s="121">
        <v>21</v>
      </c>
      <c r="C1102" s="121">
        <v>27</v>
      </c>
      <c r="D1102" s="121">
        <v>4</v>
      </c>
      <c r="E1102" s="121">
        <v>110086</v>
      </c>
    </row>
    <row r="1103" spans="1:5" ht="15">
      <c r="A1103" s="120" t="s">
        <v>107</v>
      </c>
      <c r="B1103" s="121">
        <v>21</v>
      </c>
      <c r="C1103" s="121">
        <v>27</v>
      </c>
      <c r="D1103" s="121">
        <v>5</v>
      </c>
      <c r="E1103" s="121">
        <v>4500</v>
      </c>
    </row>
    <row r="1104" spans="1:5" ht="15">
      <c r="A1104" s="120" t="s">
        <v>107</v>
      </c>
      <c r="B1104" s="121">
        <v>21</v>
      </c>
      <c r="C1104" s="121">
        <v>27</v>
      </c>
      <c r="D1104" s="121">
        <v>7</v>
      </c>
      <c r="E1104" s="121">
        <v>128000</v>
      </c>
    </row>
    <row r="1105" spans="1:5" ht="15">
      <c r="A1105" s="120" t="s">
        <v>107</v>
      </c>
      <c r="B1105" s="121">
        <v>21</v>
      </c>
      <c r="C1105" s="121">
        <v>31</v>
      </c>
      <c r="D1105" s="121">
        <v>2</v>
      </c>
      <c r="E1105" s="121">
        <v>1471</v>
      </c>
    </row>
    <row r="1106" spans="1:5" ht="15">
      <c r="A1106" s="120" t="s">
        <v>107</v>
      </c>
      <c r="B1106" s="121">
        <v>21</v>
      </c>
      <c r="C1106" s="121">
        <v>31</v>
      </c>
      <c r="D1106" s="121">
        <v>4</v>
      </c>
      <c r="E1106" s="121">
        <v>243</v>
      </c>
    </row>
    <row r="1107" spans="1:5" ht="15">
      <c r="A1107" s="120" t="s">
        <v>107</v>
      </c>
      <c r="B1107" s="121">
        <v>21</v>
      </c>
      <c r="C1107" s="121">
        <v>33</v>
      </c>
      <c r="D1107" s="121">
        <v>5</v>
      </c>
      <c r="E1107" s="121">
        <v>1500</v>
      </c>
    </row>
    <row r="1108" spans="1:5" ht="15">
      <c r="A1108" s="120" t="s">
        <v>107</v>
      </c>
      <c r="B1108" s="121">
        <v>21</v>
      </c>
      <c r="C1108" s="121">
        <v>34</v>
      </c>
      <c r="D1108" s="121">
        <v>2</v>
      </c>
      <c r="E1108" s="121">
        <v>3189</v>
      </c>
    </row>
    <row r="1109" spans="1:5" ht="15">
      <c r="A1109" s="120" t="s">
        <v>107</v>
      </c>
      <c r="B1109" s="121">
        <v>21</v>
      </c>
      <c r="C1109" s="121">
        <v>34</v>
      </c>
      <c r="D1109" s="121">
        <v>4</v>
      </c>
      <c r="E1109" s="121">
        <v>710</v>
      </c>
    </row>
    <row r="1110" spans="1:5" ht="15">
      <c r="A1110" s="120" t="s">
        <v>119</v>
      </c>
      <c r="B1110" s="121">
        <v>24</v>
      </c>
      <c r="C1110" s="121">
        <v>26</v>
      </c>
      <c r="D1110" s="121">
        <v>7</v>
      </c>
      <c r="E1110" s="121">
        <v>56278</v>
      </c>
    </row>
    <row r="1111" spans="1:5" ht="15">
      <c r="A1111" s="120" t="s">
        <v>107</v>
      </c>
      <c r="B1111" s="121">
        <v>24</v>
      </c>
      <c r="C1111" s="121">
        <v>26</v>
      </c>
      <c r="D1111" s="121">
        <v>7</v>
      </c>
      <c r="E1111" s="121">
        <v>83273</v>
      </c>
    </row>
    <row r="1112" spans="1:5" ht="15">
      <c r="A1112" s="120" t="s">
        <v>129</v>
      </c>
      <c r="B1112" s="121">
        <v>21</v>
      </c>
      <c r="C1112" s="121">
        <v>29</v>
      </c>
      <c r="D1112" s="121">
        <v>7</v>
      </c>
      <c r="E1112" s="121">
        <v>715372</v>
      </c>
    </row>
    <row r="1113" spans="1:5" ht="15">
      <c r="A1113" s="120" t="s">
        <v>131</v>
      </c>
      <c r="B1113" s="121">
        <v>21</v>
      </c>
      <c r="C1113" s="121">
        <v>21</v>
      </c>
      <c r="D1113" s="121">
        <v>2</v>
      </c>
      <c r="E1113" s="121">
        <v>217550</v>
      </c>
    </row>
    <row r="1114" spans="1:5" ht="15">
      <c r="A1114" s="120" t="s">
        <v>131</v>
      </c>
      <c r="B1114" s="121">
        <v>21</v>
      </c>
      <c r="C1114" s="121">
        <v>21</v>
      </c>
      <c r="D1114" s="121">
        <v>3</v>
      </c>
      <c r="E1114" s="121">
        <v>42505</v>
      </c>
    </row>
    <row r="1115" spans="1:5" ht="15">
      <c r="A1115" s="120" t="s">
        <v>131</v>
      </c>
      <c r="B1115" s="121">
        <v>21</v>
      </c>
      <c r="C1115" s="121">
        <v>21</v>
      </c>
      <c r="D1115" s="121">
        <v>4</v>
      </c>
      <c r="E1115" s="121">
        <v>45899</v>
      </c>
    </row>
    <row r="1116" spans="1:5" ht="15">
      <c r="A1116" s="120" t="s">
        <v>131</v>
      </c>
      <c r="B1116" s="121">
        <v>21</v>
      </c>
      <c r="C1116" s="121">
        <v>21</v>
      </c>
      <c r="D1116" s="121">
        <v>5</v>
      </c>
      <c r="E1116" s="121">
        <v>10250</v>
      </c>
    </row>
    <row r="1117" spans="1:5" ht="15">
      <c r="A1117" s="120" t="s">
        <v>131</v>
      </c>
      <c r="B1117" s="121">
        <v>21</v>
      </c>
      <c r="C1117" s="121">
        <v>21</v>
      </c>
      <c r="D1117" s="121">
        <v>7</v>
      </c>
      <c r="E1117" s="121">
        <v>500</v>
      </c>
    </row>
    <row r="1118" spans="1:5" ht="15">
      <c r="A1118" s="120" t="s">
        <v>131</v>
      </c>
      <c r="B1118" s="121">
        <v>21</v>
      </c>
      <c r="C1118" s="121">
        <v>21</v>
      </c>
      <c r="D1118" s="121">
        <v>8</v>
      </c>
      <c r="E1118" s="121">
        <v>1000</v>
      </c>
    </row>
    <row r="1119" spans="1:5" ht="15">
      <c r="A1119" s="120" t="s">
        <v>131</v>
      </c>
      <c r="B1119" s="121">
        <v>21</v>
      </c>
      <c r="C1119" s="121">
        <v>25</v>
      </c>
      <c r="D1119" s="121">
        <v>3</v>
      </c>
      <c r="E1119" s="121">
        <v>48868</v>
      </c>
    </row>
    <row r="1120" spans="1:5" ht="15">
      <c r="A1120" s="120" t="s">
        <v>131</v>
      </c>
      <c r="B1120" s="121">
        <v>21</v>
      </c>
      <c r="C1120" s="121">
        <v>25</v>
      </c>
      <c r="D1120" s="121">
        <v>4</v>
      </c>
      <c r="E1120" s="121">
        <v>31209</v>
      </c>
    </row>
    <row r="1121" spans="1:5" ht="15">
      <c r="A1121" s="120" t="s">
        <v>131</v>
      </c>
      <c r="B1121" s="121">
        <v>21</v>
      </c>
      <c r="C1121" s="121">
        <v>26</v>
      </c>
      <c r="D1121" s="121">
        <v>2</v>
      </c>
      <c r="E1121" s="121">
        <v>892973</v>
      </c>
    </row>
    <row r="1122" spans="1:5" ht="15">
      <c r="A1122" s="120" t="s">
        <v>131</v>
      </c>
      <c r="B1122" s="121">
        <v>21</v>
      </c>
      <c r="C1122" s="121">
        <v>26</v>
      </c>
      <c r="D1122" s="121">
        <v>4</v>
      </c>
      <c r="E1122" s="121">
        <v>293370</v>
      </c>
    </row>
    <row r="1123" spans="1:5" ht="15">
      <c r="A1123" s="120" t="s">
        <v>131</v>
      </c>
      <c r="B1123" s="121">
        <v>21</v>
      </c>
      <c r="C1123" s="121">
        <v>26</v>
      </c>
      <c r="D1123" s="121">
        <v>5</v>
      </c>
      <c r="E1123" s="121">
        <v>40000</v>
      </c>
    </row>
    <row r="1124" spans="1:5" ht="15">
      <c r="A1124" s="120" t="s">
        <v>131</v>
      </c>
      <c r="B1124" s="121">
        <v>21</v>
      </c>
      <c r="C1124" s="121">
        <v>26</v>
      </c>
      <c r="D1124" s="121">
        <v>7</v>
      </c>
      <c r="E1124" s="121">
        <v>2500</v>
      </c>
    </row>
    <row r="1125" spans="1:5" ht="15">
      <c r="A1125" s="120" t="s">
        <v>131</v>
      </c>
      <c r="B1125" s="121">
        <v>21</v>
      </c>
      <c r="C1125" s="121">
        <v>26</v>
      </c>
      <c r="D1125" s="121">
        <v>8</v>
      </c>
      <c r="E1125" s="121">
        <v>500</v>
      </c>
    </row>
    <row r="1126" spans="1:5" ht="15">
      <c r="A1126" s="120" t="s">
        <v>131</v>
      </c>
      <c r="B1126" s="121">
        <v>21</v>
      </c>
      <c r="C1126" s="121">
        <v>27</v>
      </c>
      <c r="D1126" s="121">
        <v>0</v>
      </c>
      <c r="E1126" s="121">
        <v>1564</v>
      </c>
    </row>
    <row r="1127" spans="1:5" ht="15">
      <c r="A1127" s="120" t="s">
        <v>131</v>
      </c>
      <c r="B1127" s="121">
        <v>21</v>
      </c>
      <c r="C1127" s="121">
        <v>27</v>
      </c>
      <c r="D1127" s="121">
        <v>2</v>
      </c>
      <c r="E1127" s="121">
        <v>1425131</v>
      </c>
    </row>
    <row r="1128" spans="1:5" ht="15">
      <c r="A1128" s="120" t="s">
        <v>131</v>
      </c>
      <c r="B1128" s="121">
        <v>21</v>
      </c>
      <c r="C1128" s="121">
        <v>27</v>
      </c>
      <c r="D1128" s="121">
        <v>3</v>
      </c>
      <c r="E1128" s="121">
        <v>536788</v>
      </c>
    </row>
    <row r="1129" spans="1:5" ht="15">
      <c r="A1129" s="120" t="s">
        <v>131</v>
      </c>
      <c r="B1129" s="121">
        <v>21</v>
      </c>
      <c r="C1129" s="121">
        <v>27</v>
      </c>
      <c r="D1129" s="121">
        <v>4</v>
      </c>
      <c r="E1129" s="121">
        <v>891479</v>
      </c>
    </row>
    <row r="1130" spans="1:5" ht="15">
      <c r="A1130" s="120" t="s">
        <v>131</v>
      </c>
      <c r="B1130" s="121">
        <v>21</v>
      </c>
      <c r="C1130" s="121">
        <v>27</v>
      </c>
      <c r="D1130" s="121">
        <v>5</v>
      </c>
      <c r="E1130" s="121">
        <v>577500</v>
      </c>
    </row>
    <row r="1131" spans="1:5" ht="15">
      <c r="A1131" s="120" t="s">
        <v>131</v>
      </c>
      <c r="B1131" s="121">
        <v>21</v>
      </c>
      <c r="C1131" s="121">
        <v>27</v>
      </c>
      <c r="D1131" s="121">
        <v>7</v>
      </c>
      <c r="E1131" s="121">
        <v>318500</v>
      </c>
    </row>
    <row r="1132" spans="1:5" ht="15">
      <c r="A1132" s="120" t="s">
        <v>131</v>
      </c>
      <c r="B1132" s="121">
        <v>21</v>
      </c>
      <c r="C1132" s="121">
        <v>27</v>
      </c>
      <c r="D1132" s="121">
        <v>8</v>
      </c>
      <c r="E1132" s="121">
        <v>250</v>
      </c>
    </row>
    <row r="1133" spans="1:5" ht="15">
      <c r="A1133" s="120" t="s">
        <v>131</v>
      </c>
      <c r="B1133" s="121">
        <v>21</v>
      </c>
      <c r="C1133" s="121">
        <v>31</v>
      </c>
      <c r="D1133" s="121">
        <v>2</v>
      </c>
      <c r="E1133" s="121">
        <v>36003</v>
      </c>
    </row>
    <row r="1134" spans="1:5" ht="15">
      <c r="A1134" s="120" t="s">
        <v>131</v>
      </c>
      <c r="B1134" s="121">
        <v>21</v>
      </c>
      <c r="C1134" s="121">
        <v>31</v>
      </c>
      <c r="D1134" s="121">
        <v>4</v>
      </c>
      <c r="E1134" s="121">
        <v>5992</v>
      </c>
    </row>
    <row r="1135" spans="1:5" ht="15">
      <c r="A1135" s="120" t="s">
        <v>131</v>
      </c>
      <c r="B1135" s="121">
        <v>21</v>
      </c>
      <c r="C1135" s="121">
        <v>31</v>
      </c>
      <c r="D1135" s="121">
        <v>7</v>
      </c>
      <c r="E1135" s="121">
        <v>4200</v>
      </c>
    </row>
    <row r="1136" spans="1:5" ht="15">
      <c r="A1136" s="120" t="s">
        <v>131</v>
      </c>
      <c r="B1136" s="121">
        <v>21</v>
      </c>
      <c r="C1136" s="121">
        <v>31</v>
      </c>
      <c r="D1136" s="121">
        <v>8</v>
      </c>
      <c r="E1136" s="121">
        <v>1200</v>
      </c>
    </row>
    <row r="1137" spans="1:5" ht="15">
      <c r="A1137" s="120" t="s">
        <v>131</v>
      </c>
      <c r="B1137" s="121">
        <v>21</v>
      </c>
      <c r="C1137" s="121">
        <v>34</v>
      </c>
      <c r="D1137" s="121">
        <v>2</v>
      </c>
      <c r="E1137" s="121">
        <v>3316</v>
      </c>
    </row>
    <row r="1138" spans="1:5" ht="15">
      <c r="A1138" s="120" t="s">
        <v>131</v>
      </c>
      <c r="B1138" s="121">
        <v>21</v>
      </c>
      <c r="C1138" s="121">
        <v>34</v>
      </c>
      <c r="D1138" s="121">
        <v>4</v>
      </c>
      <c r="E1138" s="121">
        <v>536</v>
      </c>
    </row>
    <row r="1139" spans="1:5" ht="15">
      <c r="A1139" s="120" t="s">
        <v>121</v>
      </c>
      <c r="B1139" s="121">
        <v>21</v>
      </c>
      <c r="C1139" s="121">
        <v>21</v>
      </c>
      <c r="D1139" s="121">
        <v>2</v>
      </c>
      <c r="E1139" s="121">
        <v>32000</v>
      </c>
    </row>
    <row r="1140" spans="1:5" ht="15">
      <c r="A1140" s="120" t="s">
        <v>121</v>
      </c>
      <c r="B1140" s="121">
        <v>21</v>
      </c>
      <c r="C1140" s="121">
        <v>21</v>
      </c>
      <c r="D1140" s="121">
        <v>3</v>
      </c>
      <c r="E1140" s="121">
        <v>3000</v>
      </c>
    </row>
    <row r="1141" spans="1:5" ht="15">
      <c r="A1141" s="120" t="s">
        <v>141</v>
      </c>
      <c r="B1141" s="121">
        <v>21</v>
      </c>
      <c r="C1141" s="121">
        <v>21</v>
      </c>
      <c r="D1141" s="121">
        <v>2</v>
      </c>
      <c r="E1141" s="121">
        <v>349931</v>
      </c>
    </row>
    <row r="1142" spans="1:5" ht="15">
      <c r="A1142" s="120" t="s">
        <v>141</v>
      </c>
      <c r="B1142" s="121">
        <v>21</v>
      </c>
      <c r="C1142" s="121">
        <v>21</v>
      </c>
      <c r="D1142" s="121">
        <v>3</v>
      </c>
      <c r="E1142" s="121">
        <v>50232</v>
      </c>
    </row>
    <row r="1143" spans="1:5" ht="15">
      <c r="A1143" s="120" t="s">
        <v>141</v>
      </c>
      <c r="B1143" s="121">
        <v>21</v>
      </c>
      <c r="C1143" s="121">
        <v>21</v>
      </c>
      <c r="D1143" s="121">
        <v>4</v>
      </c>
      <c r="E1143" s="121">
        <v>108271</v>
      </c>
    </row>
    <row r="1144" spans="1:5" ht="15">
      <c r="A1144" s="120" t="s">
        <v>141</v>
      </c>
      <c r="B1144" s="121">
        <v>21</v>
      </c>
      <c r="C1144" s="121">
        <v>21</v>
      </c>
      <c r="D1144" s="121">
        <v>5</v>
      </c>
      <c r="E1144" s="121">
        <v>246000</v>
      </c>
    </row>
    <row r="1145" spans="1:5" ht="15">
      <c r="A1145" s="120" t="s">
        <v>141</v>
      </c>
      <c r="B1145" s="121">
        <v>21</v>
      </c>
      <c r="C1145" s="121">
        <v>21</v>
      </c>
      <c r="D1145" s="121">
        <v>7</v>
      </c>
      <c r="E1145" s="121">
        <v>3500</v>
      </c>
    </row>
    <row r="1146" spans="1:5" ht="15">
      <c r="A1146" s="120" t="s">
        <v>131</v>
      </c>
      <c r="B1146" s="121">
        <v>24</v>
      </c>
      <c r="C1146" s="121">
        <v>27</v>
      </c>
      <c r="D1146" s="121">
        <v>2</v>
      </c>
      <c r="E1146" s="121">
        <v>64608</v>
      </c>
    </row>
    <row r="1147" spans="1:5" ht="15">
      <c r="A1147" s="120" t="s">
        <v>131</v>
      </c>
      <c r="B1147" s="121">
        <v>24</v>
      </c>
      <c r="C1147" s="121">
        <v>27</v>
      </c>
      <c r="D1147" s="121">
        <v>3</v>
      </c>
      <c r="E1147" s="121">
        <v>232162</v>
      </c>
    </row>
    <row r="1148" spans="1:5" ht="15">
      <c r="A1148" s="120" t="s">
        <v>131</v>
      </c>
      <c r="B1148" s="121">
        <v>24</v>
      </c>
      <c r="C1148" s="121">
        <v>27</v>
      </c>
      <c r="D1148" s="121">
        <v>4</v>
      </c>
      <c r="E1148" s="121">
        <v>186269</v>
      </c>
    </row>
    <row r="1149" spans="1:5" ht="15">
      <c r="A1149" s="120" t="s">
        <v>131</v>
      </c>
      <c r="B1149" s="121">
        <v>24</v>
      </c>
      <c r="C1149" s="121">
        <v>31</v>
      </c>
      <c r="D1149" s="121">
        <v>2</v>
      </c>
      <c r="E1149" s="121">
        <v>1033</v>
      </c>
    </row>
    <row r="1150" spans="1:5" ht="15">
      <c r="A1150" s="120" t="s">
        <v>131</v>
      </c>
      <c r="B1150" s="121">
        <v>24</v>
      </c>
      <c r="C1150" s="121">
        <v>31</v>
      </c>
      <c r="D1150" s="121">
        <v>4</v>
      </c>
      <c r="E1150" s="121">
        <v>173</v>
      </c>
    </row>
    <row r="1151" spans="1:5" ht="15">
      <c r="A1151" s="120" t="s">
        <v>141</v>
      </c>
      <c r="B1151" s="121">
        <v>21</v>
      </c>
      <c r="C1151" s="121">
        <v>25</v>
      </c>
      <c r="D1151" s="121">
        <v>3</v>
      </c>
      <c r="E1151" s="121">
        <v>131182</v>
      </c>
    </row>
    <row r="1152" spans="1:5" ht="15">
      <c r="A1152" s="120" t="s">
        <v>141</v>
      </c>
      <c r="B1152" s="121">
        <v>21</v>
      </c>
      <c r="C1152" s="121">
        <v>25</v>
      </c>
      <c r="D1152" s="121">
        <v>4</v>
      </c>
      <c r="E1152" s="121">
        <v>99650</v>
      </c>
    </row>
    <row r="1153" spans="1:5" ht="15">
      <c r="A1153" s="120" t="s">
        <v>141</v>
      </c>
      <c r="B1153" s="121">
        <v>21</v>
      </c>
      <c r="C1153" s="121">
        <v>26</v>
      </c>
      <c r="D1153" s="121">
        <v>2</v>
      </c>
      <c r="E1153" s="121">
        <v>2276698</v>
      </c>
    </row>
    <row r="1154" spans="1:5" ht="15">
      <c r="A1154" s="120" t="s">
        <v>141</v>
      </c>
      <c r="B1154" s="121">
        <v>21</v>
      </c>
      <c r="C1154" s="121">
        <v>26</v>
      </c>
      <c r="D1154" s="121">
        <v>3</v>
      </c>
      <c r="E1154" s="121">
        <v>144563</v>
      </c>
    </row>
    <row r="1155" spans="1:5" ht="15">
      <c r="A1155" s="120" t="s">
        <v>141</v>
      </c>
      <c r="B1155" s="121">
        <v>21</v>
      </c>
      <c r="C1155" s="121">
        <v>26</v>
      </c>
      <c r="D1155" s="121">
        <v>4</v>
      </c>
      <c r="E1155" s="121">
        <v>777054</v>
      </c>
    </row>
    <row r="1156" spans="1:5" ht="15">
      <c r="A1156" s="120" t="s">
        <v>141</v>
      </c>
      <c r="B1156" s="121">
        <v>21</v>
      </c>
      <c r="C1156" s="121">
        <v>26</v>
      </c>
      <c r="D1156" s="121">
        <v>5</v>
      </c>
      <c r="E1156" s="121">
        <v>292500</v>
      </c>
    </row>
    <row r="1157" spans="1:5" ht="15">
      <c r="A1157" s="120" t="s">
        <v>141</v>
      </c>
      <c r="B1157" s="121">
        <v>21</v>
      </c>
      <c r="C1157" s="121">
        <v>26</v>
      </c>
      <c r="D1157" s="121">
        <v>7</v>
      </c>
      <c r="E1157" s="121">
        <v>607500</v>
      </c>
    </row>
    <row r="1158" spans="1:5" ht="15">
      <c r="A1158" s="120" t="s">
        <v>141</v>
      </c>
      <c r="B1158" s="121">
        <v>21</v>
      </c>
      <c r="C1158" s="121">
        <v>27</v>
      </c>
      <c r="D1158" s="121">
        <v>2</v>
      </c>
      <c r="E1158" s="121">
        <v>2264535</v>
      </c>
    </row>
    <row r="1159" spans="1:5" ht="15">
      <c r="A1159" s="120" t="s">
        <v>141</v>
      </c>
      <c r="B1159" s="121">
        <v>21</v>
      </c>
      <c r="C1159" s="121">
        <v>27</v>
      </c>
      <c r="D1159" s="121">
        <v>3</v>
      </c>
      <c r="E1159" s="121">
        <v>2204450</v>
      </c>
    </row>
    <row r="1160" spans="1:5" ht="15">
      <c r="A1160" s="120" t="s">
        <v>141</v>
      </c>
      <c r="B1160" s="121">
        <v>21</v>
      </c>
      <c r="C1160" s="121">
        <v>27</v>
      </c>
      <c r="D1160" s="121">
        <v>4</v>
      </c>
      <c r="E1160" s="121">
        <v>2125336</v>
      </c>
    </row>
    <row r="1161" spans="1:5" ht="15">
      <c r="A1161" s="120" t="s">
        <v>141</v>
      </c>
      <c r="B1161" s="121">
        <v>21</v>
      </c>
      <c r="C1161" s="121">
        <v>27</v>
      </c>
      <c r="D1161" s="121">
        <v>5</v>
      </c>
      <c r="E1161" s="121">
        <v>77500</v>
      </c>
    </row>
    <row r="1162" spans="1:5" ht="15">
      <c r="A1162" s="120" t="s">
        <v>141</v>
      </c>
      <c r="B1162" s="121">
        <v>21</v>
      </c>
      <c r="C1162" s="121">
        <v>31</v>
      </c>
      <c r="D1162" s="121">
        <v>7</v>
      </c>
      <c r="E1162" s="121">
        <v>30000</v>
      </c>
    </row>
    <row r="1163" spans="1:5" ht="15">
      <c r="A1163" s="120" t="s">
        <v>141</v>
      </c>
      <c r="B1163" s="121">
        <v>21</v>
      </c>
      <c r="C1163" s="121">
        <v>34</v>
      </c>
      <c r="D1163" s="121">
        <v>2</v>
      </c>
      <c r="E1163" s="121">
        <v>124694</v>
      </c>
    </row>
    <row r="1164" spans="1:5" ht="15">
      <c r="A1164" s="120" t="s">
        <v>141</v>
      </c>
      <c r="B1164" s="121">
        <v>21</v>
      </c>
      <c r="C1164" s="121">
        <v>34</v>
      </c>
      <c r="D1164" s="121">
        <v>4</v>
      </c>
      <c r="E1164" s="121">
        <v>20364</v>
      </c>
    </row>
    <row r="1165" spans="1:5" ht="15">
      <c r="A1165" s="120" t="s">
        <v>141</v>
      </c>
      <c r="B1165" s="121">
        <v>24</v>
      </c>
      <c r="C1165" s="121">
        <v>27</v>
      </c>
      <c r="D1165" s="121">
        <v>3</v>
      </c>
      <c r="E1165" s="121">
        <v>816025</v>
      </c>
    </row>
    <row r="1166" spans="1:5" ht="15">
      <c r="A1166" s="120" t="s">
        <v>141</v>
      </c>
      <c r="B1166" s="121">
        <v>24</v>
      </c>
      <c r="C1166" s="121">
        <v>27</v>
      </c>
      <c r="D1166" s="121">
        <v>4</v>
      </c>
      <c r="E1166" s="121">
        <v>484846</v>
      </c>
    </row>
    <row r="1167" spans="1:5" ht="15">
      <c r="A1167" s="120" t="s">
        <v>125</v>
      </c>
      <c r="B1167" s="121">
        <v>21</v>
      </c>
      <c r="C1167" s="121">
        <v>21</v>
      </c>
      <c r="D1167" s="121">
        <v>2</v>
      </c>
      <c r="E1167" s="121">
        <v>73995</v>
      </c>
    </row>
    <row r="1168" spans="1:5" ht="15">
      <c r="A1168" s="120" t="s">
        <v>125</v>
      </c>
      <c r="B1168" s="121">
        <v>21</v>
      </c>
      <c r="C1168" s="121">
        <v>21</v>
      </c>
      <c r="D1168" s="121">
        <v>3</v>
      </c>
      <c r="E1168" s="121">
        <v>31793</v>
      </c>
    </row>
    <row r="1169" spans="1:5" ht="15">
      <c r="A1169" s="120" t="s">
        <v>125</v>
      </c>
      <c r="B1169" s="121">
        <v>21</v>
      </c>
      <c r="C1169" s="121">
        <v>21</v>
      </c>
      <c r="D1169" s="121">
        <v>4</v>
      </c>
      <c r="E1169" s="121">
        <v>33053</v>
      </c>
    </row>
    <row r="1170" spans="1:5" ht="15">
      <c r="A1170" s="120" t="s">
        <v>125</v>
      </c>
      <c r="B1170" s="121">
        <v>21</v>
      </c>
      <c r="C1170" s="121">
        <v>21</v>
      </c>
      <c r="D1170" s="121">
        <v>5</v>
      </c>
      <c r="E1170" s="121">
        <v>5200</v>
      </c>
    </row>
    <row r="1171" spans="1:5" ht="15">
      <c r="A1171" s="120" t="s">
        <v>125</v>
      </c>
      <c r="B1171" s="121">
        <v>21</v>
      </c>
      <c r="C1171" s="121">
        <v>21</v>
      </c>
      <c r="D1171" s="121">
        <v>7</v>
      </c>
      <c r="E1171" s="121">
        <v>2500</v>
      </c>
    </row>
    <row r="1172" spans="1:5" ht="15">
      <c r="A1172" s="120" t="s">
        <v>125</v>
      </c>
      <c r="B1172" s="121">
        <v>21</v>
      </c>
      <c r="C1172" s="121">
        <v>26</v>
      </c>
      <c r="D1172" s="121">
        <v>3</v>
      </c>
      <c r="E1172" s="121">
        <v>111542</v>
      </c>
    </row>
    <row r="1173" spans="1:5" ht="15">
      <c r="A1173" s="120" t="s">
        <v>125</v>
      </c>
      <c r="B1173" s="121">
        <v>21</v>
      </c>
      <c r="C1173" s="121">
        <v>26</v>
      </c>
      <c r="D1173" s="121">
        <v>4</v>
      </c>
      <c r="E1173" s="121">
        <v>40301</v>
      </c>
    </row>
    <row r="1174" spans="1:5" ht="15">
      <c r="A1174" s="120" t="s">
        <v>125</v>
      </c>
      <c r="B1174" s="121">
        <v>21</v>
      </c>
      <c r="C1174" s="121">
        <v>26</v>
      </c>
      <c r="D1174" s="121">
        <v>5</v>
      </c>
      <c r="E1174" s="121">
        <v>2300</v>
      </c>
    </row>
    <row r="1175" spans="1:5" ht="15">
      <c r="A1175" s="120" t="s">
        <v>125</v>
      </c>
      <c r="B1175" s="121">
        <v>21</v>
      </c>
      <c r="C1175" s="121">
        <v>26</v>
      </c>
      <c r="D1175" s="121">
        <v>7</v>
      </c>
      <c r="E1175" s="121">
        <v>180500</v>
      </c>
    </row>
    <row r="1176" spans="1:5" ht="15">
      <c r="A1176" s="120" t="s">
        <v>125</v>
      </c>
      <c r="B1176" s="121">
        <v>21</v>
      </c>
      <c r="C1176" s="121">
        <v>27</v>
      </c>
      <c r="D1176" s="121">
        <v>2</v>
      </c>
      <c r="E1176" s="121">
        <v>232715</v>
      </c>
    </row>
    <row r="1177" spans="1:5" ht="15">
      <c r="A1177" s="120" t="s">
        <v>125</v>
      </c>
      <c r="B1177" s="121">
        <v>21</v>
      </c>
      <c r="C1177" s="121">
        <v>27</v>
      </c>
      <c r="D1177" s="121">
        <v>3</v>
      </c>
      <c r="E1177" s="121">
        <v>283247</v>
      </c>
    </row>
    <row r="1178" spans="1:5" ht="15">
      <c r="A1178" s="120" t="s">
        <v>125</v>
      </c>
      <c r="B1178" s="121">
        <v>21</v>
      </c>
      <c r="C1178" s="121">
        <v>27</v>
      </c>
      <c r="D1178" s="121">
        <v>4</v>
      </c>
      <c r="E1178" s="121">
        <v>231025</v>
      </c>
    </row>
    <row r="1179" spans="1:5" ht="15">
      <c r="A1179" s="120" t="s">
        <v>125</v>
      </c>
      <c r="B1179" s="121">
        <v>21</v>
      </c>
      <c r="C1179" s="121">
        <v>27</v>
      </c>
      <c r="D1179" s="121">
        <v>5</v>
      </c>
      <c r="E1179" s="121">
        <v>4400</v>
      </c>
    </row>
    <row r="1180" spans="1:5" ht="15">
      <c r="A1180" s="120" t="s">
        <v>125</v>
      </c>
      <c r="B1180" s="121">
        <v>21</v>
      </c>
      <c r="C1180" s="121">
        <v>27</v>
      </c>
      <c r="D1180" s="121">
        <v>7</v>
      </c>
      <c r="E1180" s="121">
        <v>500</v>
      </c>
    </row>
    <row r="1181" spans="1:5" ht="15">
      <c r="A1181" s="120" t="s">
        <v>125</v>
      </c>
      <c r="B1181" s="121">
        <v>21</v>
      </c>
      <c r="C1181" s="121">
        <v>31</v>
      </c>
      <c r="D1181" s="121">
        <v>2</v>
      </c>
      <c r="E1181" s="121">
        <v>5936</v>
      </c>
    </row>
    <row r="1182" spans="1:5" ht="15">
      <c r="A1182" s="120" t="s">
        <v>125</v>
      </c>
      <c r="B1182" s="121">
        <v>21</v>
      </c>
      <c r="C1182" s="121">
        <v>31</v>
      </c>
      <c r="D1182" s="121">
        <v>4</v>
      </c>
      <c r="E1182" s="121">
        <v>954</v>
      </c>
    </row>
    <row r="1183" spans="1:5" ht="15">
      <c r="A1183" s="120" t="s">
        <v>125</v>
      </c>
      <c r="B1183" s="121">
        <v>21</v>
      </c>
      <c r="C1183" s="121">
        <v>31</v>
      </c>
      <c r="D1183" s="121">
        <v>5</v>
      </c>
      <c r="E1183" s="121">
        <v>1140</v>
      </c>
    </row>
    <row r="1184" spans="1:5" ht="15">
      <c r="A1184" s="120" t="s">
        <v>125</v>
      </c>
      <c r="B1184" s="121">
        <v>21</v>
      </c>
      <c r="C1184" s="121">
        <v>31</v>
      </c>
      <c r="D1184" s="121">
        <v>7</v>
      </c>
      <c r="E1184" s="121">
        <v>8000</v>
      </c>
    </row>
    <row r="1185" spans="1:5" ht="15">
      <c r="A1185" s="120" t="s">
        <v>125</v>
      </c>
      <c r="B1185" s="121">
        <v>21</v>
      </c>
      <c r="C1185" s="121">
        <v>32</v>
      </c>
      <c r="D1185" s="121">
        <v>5</v>
      </c>
      <c r="E1185" s="121">
        <v>1000</v>
      </c>
    </row>
    <row r="1186" spans="1:5" ht="15">
      <c r="A1186" s="120" t="s">
        <v>125</v>
      </c>
      <c r="B1186" s="121">
        <v>21</v>
      </c>
      <c r="C1186" s="121">
        <v>33</v>
      </c>
      <c r="D1186" s="121">
        <v>5</v>
      </c>
      <c r="E1186" s="121">
        <v>4500</v>
      </c>
    </row>
    <row r="1187" spans="1:5" ht="15">
      <c r="A1187" s="120" t="s">
        <v>125</v>
      </c>
      <c r="B1187" s="121">
        <v>24</v>
      </c>
      <c r="C1187" s="121">
        <v>26</v>
      </c>
      <c r="D1187" s="121">
        <v>7</v>
      </c>
      <c r="E1187" s="121">
        <v>4924</v>
      </c>
    </row>
    <row r="1188" spans="1:5" ht="15">
      <c r="A1188" s="120" t="s">
        <v>125</v>
      </c>
      <c r="B1188" s="121">
        <v>24</v>
      </c>
      <c r="C1188" s="121">
        <v>27</v>
      </c>
      <c r="D1188" s="121">
        <v>2</v>
      </c>
      <c r="E1188" s="121">
        <v>78342</v>
      </c>
    </row>
    <row r="1189" spans="1:5" ht="15">
      <c r="A1189" s="120" t="s">
        <v>125</v>
      </c>
      <c r="B1189" s="121">
        <v>24</v>
      </c>
      <c r="C1189" s="121">
        <v>27</v>
      </c>
      <c r="D1189" s="121">
        <v>4</v>
      </c>
      <c r="E1189" s="121">
        <v>35289</v>
      </c>
    </row>
    <row r="1190" spans="1:5" ht="15">
      <c r="A1190" s="120" t="s">
        <v>125</v>
      </c>
      <c r="B1190" s="121">
        <v>24</v>
      </c>
      <c r="C1190" s="121">
        <v>27</v>
      </c>
      <c r="D1190" s="121">
        <v>5</v>
      </c>
      <c r="E1190" s="121">
        <v>5511</v>
      </c>
    </row>
    <row r="1191" spans="1:5" ht="15">
      <c r="A1191" s="120" t="s">
        <v>147</v>
      </c>
      <c r="B1191" s="121">
        <v>21</v>
      </c>
      <c r="C1191" s="121">
        <v>21</v>
      </c>
      <c r="D1191" s="121">
        <v>0</v>
      </c>
      <c r="E1191" s="121">
        <v>1980</v>
      </c>
    </row>
    <row r="1192" spans="1:5" ht="15">
      <c r="A1192" s="120" t="s">
        <v>147</v>
      </c>
      <c r="B1192" s="121">
        <v>21</v>
      </c>
      <c r="C1192" s="121">
        <v>21</v>
      </c>
      <c r="D1192" s="121">
        <v>2</v>
      </c>
      <c r="E1192" s="121">
        <v>1024398</v>
      </c>
    </row>
    <row r="1193" spans="1:5" ht="15">
      <c r="A1193" s="120" t="s">
        <v>147</v>
      </c>
      <c r="B1193" s="121">
        <v>21</v>
      </c>
      <c r="C1193" s="121">
        <v>21</v>
      </c>
      <c r="D1193" s="121">
        <v>3</v>
      </c>
      <c r="E1193" s="121">
        <v>671143</v>
      </c>
    </row>
    <row r="1194" spans="1:5" ht="15">
      <c r="A1194" s="120" t="s">
        <v>147</v>
      </c>
      <c r="B1194" s="121">
        <v>21</v>
      </c>
      <c r="C1194" s="121">
        <v>21</v>
      </c>
      <c r="D1194" s="121">
        <v>4</v>
      </c>
      <c r="E1194" s="121">
        <v>467402</v>
      </c>
    </row>
    <row r="1195" spans="1:5" ht="15">
      <c r="A1195" s="120" t="s">
        <v>147</v>
      </c>
      <c r="B1195" s="121">
        <v>21</v>
      </c>
      <c r="C1195" s="121">
        <v>21</v>
      </c>
      <c r="D1195" s="121">
        <v>5</v>
      </c>
      <c r="E1195" s="121">
        <v>29811</v>
      </c>
    </row>
    <row r="1196" spans="1:5" ht="15">
      <c r="A1196" s="120" t="s">
        <v>147</v>
      </c>
      <c r="B1196" s="121">
        <v>21</v>
      </c>
      <c r="C1196" s="121">
        <v>21</v>
      </c>
      <c r="D1196" s="121">
        <v>7</v>
      </c>
      <c r="E1196" s="121">
        <v>89739</v>
      </c>
    </row>
    <row r="1197" spans="1:5" ht="15">
      <c r="A1197" s="120" t="s">
        <v>147</v>
      </c>
      <c r="B1197" s="121">
        <v>21</v>
      </c>
      <c r="C1197" s="121">
        <v>21</v>
      </c>
      <c r="D1197" s="121">
        <v>8</v>
      </c>
      <c r="E1197" s="121">
        <v>4100</v>
      </c>
    </row>
    <row r="1198" spans="1:5" ht="15">
      <c r="A1198" s="120" t="s">
        <v>147</v>
      </c>
      <c r="B1198" s="121">
        <v>21</v>
      </c>
      <c r="C1198" s="121">
        <v>23</v>
      </c>
      <c r="D1198" s="121">
        <v>2</v>
      </c>
      <c r="E1198" s="121">
        <v>1020</v>
      </c>
    </row>
    <row r="1199" spans="1:5" ht="15">
      <c r="A1199" s="120" t="s">
        <v>147</v>
      </c>
      <c r="B1199" s="121">
        <v>21</v>
      </c>
      <c r="C1199" s="121">
        <v>23</v>
      </c>
      <c r="D1199" s="121">
        <v>4</v>
      </c>
      <c r="E1199" s="121">
        <v>72</v>
      </c>
    </row>
    <row r="1200" spans="1:5" ht="15">
      <c r="A1200" s="120" t="s">
        <v>147</v>
      </c>
      <c r="B1200" s="121">
        <v>21</v>
      </c>
      <c r="C1200" s="121">
        <v>24</v>
      </c>
      <c r="D1200" s="121">
        <v>0</v>
      </c>
      <c r="E1200" s="121">
        <v>2200</v>
      </c>
    </row>
    <row r="1201" spans="1:5" ht="15">
      <c r="A1201" s="120" t="s">
        <v>147</v>
      </c>
      <c r="B1201" s="121">
        <v>21</v>
      </c>
      <c r="C1201" s="121">
        <v>24</v>
      </c>
      <c r="D1201" s="121">
        <v>2</v>
      </c>
      <c r="E1201" s="121">
        <v>112622</v>
      </c>
    </row>
    <row r="1202" spans="1:5" ht="15">
      <c r="A1202" s="120" t="s">
        <v>147</v>
      </c>
      <c r="B1202" s="121">
        <v>21</v>
      </c>
      <c r="C1202" s="121">
        <v>24</v>
      </c>
      <c r="D1202" s="121">
        <v>3</v>
      </c>
      <c r="E1202" s="121">
        <v>262268</v>
      </c>
    </row>
    <row r="1203" spans="1:5" ht="15">
      <c r="A1203" s="120" t="s">
        <v>147</v>
      </c>
      <c r="B1203" s="121">
        <v>21</v>
      </c>
      <c r="C1203" s="121">
        <v>24</v>
      </c>
      <c r="D1203" s="121">
        <v>4</v>
      </c>
      <c r="E1203" s="121">
        <v>140948</v>
      </c>
    </row>
    <row r="1204" spans="1:5" ht="15">
      <c r="A1204" s="120" t="s">
        <v>147</v>
      </c>
      <c r="B1204" s="121">
        <v>21</v>
      </c>
      <c r="C1204" s="121">
        <v>24</v>
      </c>
      <c r="D1204" s="121">
        <v>8</v>
      </c>
      <c r="E1204" s="121">
        <v>7250</v>
      </c>
    </row>
    <row r="1205" spans="1:5" ht="15">
      <c r="A1205" s="120" t="s">
        <v>147</v>
      </c>
      <c r="B1205" s="121">
        <v>21</v>
      </c>
      <c r="C1205" s="121">
        <v>25</v>
      </c>
      <c r="D1205" s="121">
        <v>2</v>
      </c>
      <c r="E1205" s="121">
        <v>11157</v>
      </c>
    </row>
    <row r="1206" spans="1:5" ht="15">
      <c r="A1206" s="120" t="s">
        <v>147</v>
      </c>
      <c r="B1206" s="121">
        <v>21</v>
      </c>
      <c r="C1206" s="121">
        <v>25</v>
      </c>
      <c r="D1206" s="121">
        <v>3</v>
      </c>
      <c r="E1206" s="121">
        <v>97106</v>
      </c>
    </row>
    <row r="1207" spans="1:5" ht="15">
      <c r="A1207" s="120" t="s">
        <v>147</v>
      </c>
      <c r="B1207" s="121">
        <v>21</v>
      </c>
      <c r="C1207" s="121">
        <v>25</v>
      </c>
      <c r="D1207" s="121">
        <v>4</v>
      </c>
      <c r="E1207" s="121">
        <v>54405</v>
      </c>
    </row>
    <row r="1208" spans="1:5" ht="15">
      <c r="A1208" s="120" t="s">
        <v>147</v>
      </c>
      <c r="B1208" s="121">
        <v>21</v>
      </c>
      <c r="C1208" s="121">
        <v>25</v>
      </c>
      <c r="D1208" s="121">
        <v>7</v>
      </c>
      <c r="E1208" s="121">
        <v>602</v>
      </c>
    </row>
    <row r="1209" spans="1:5" ht="15">
      <c r="A1209" s="120" t="s">
        <v>147</v>
      </c>
      <c r="B1209" s="121">
        <v>21</v>
      </c>
      <c r="C1209" s="121">
        <v>26</v>
      </c>
      <c r="D1209" s="121">
        <v>0</v>
      </c>
      <c r="E1209" s="121">
        <v>1400</v>
      </c>
    </row>
    <row r="1210" spans="1:5" ht="15">
      <c r="A1210" s="120" t="s">
        <v>147</v>
      </c>
      <c r="B1210" s="121">
        <v>21</v>
      </c>
      <c r="C1210" s="121">
        <v>26</v>
      </c>
      <c r="D1210" s="121">
        <v>2</v>
      </c>
      <c r="E1210" s="121">
        <v>10482473</v>
      </c>
    </row>
    <row r="1211" spans="1:5" ht="15">
      <c r="A1211" s="120" t="s">
        <v>147</v>
      </c>
      <c r="B1211" s="121">
        <v>21</v>
      </c>
      <c r="C1211" s="121">
        <v>26</v>
      </c>
      <c r="D1211" s="121">
        <v>3</v>
      </c>
      <c r="E1211" s="121">
        <v>344980</v>
      </c>
    </row>
    <row r="1212" spans="1:5" ht="15">
      <c r="A1212" s="120" t="s">
        <v>147</v>
      </c>
      <c r="B1212" s="121">
        <v>21</v>
      </c>
      <c r="C1212" s="121">
        <v>26</v>
      </c>
      <c r="D1212" s="121">
        <v>4</v>
      </c>
      <c r="E1212" s="121">
        <v>3443290</v>
      </c>
    </row>
    <row r="1213" spans="1:5" ht="15">
      <c r="A1213" s="120" t="s">
        <v>147</v>
      </c>
      <c r="B1213" s="121">
        <v>21</v>
      </c>
      <c r="C1213" s="121">
        <v>26</v>
      </c>
      <c r="D1213" s="121">
        <v>5</v>
      </c>
      <c r="E1213" s="121">
        <v>45327</v>
      </c>
    </row>
    <row r="1214" spans="1:5" ht="15">
      <c r="A1214" s="120" t="s">
        <v>147</v>
      </c>
      <c r="B1214" s="121">
        <v>21</v>
      </c>
      <c r="C1214" s="121">
        <v>26</v>
      </c>
      <c r="D1214" s="121">
        <v>7</v>
      </c>
      <c r="E1214" s="121">
        <v>195355</v>
      </c>
    </row>
    <row r="1215" spans="1:5" ht="15">
      <c r="A1215" s="120" t="s">
        <v>147</v>
      </c>
      <c r="B1215" s="121">
        <v>21</v>
      </c>
      <c r="C1215" s="121">
        <v>26</v>
      </c>
      <c r="D1215" s="121">
        <v>8</v>
      </c>
      <c r="E1215" s="121">
        <v>4300</v>
      </c>
    </row>
    <row r="1216" spans="1:5" ht="15">
      <c r="A1216" s="120" t="s">
        <v>147</v>
      </c>
      <c r="B1216" s="121">
        <v>21</v>
      </c>
      <c r="C1216" s="121">
        <v>26</v>
      </c>
      <c r="D1216" s="121">
        <v>9</v>
      </c>
      <c r="E1216" s="121">
        <v>10000</v>
      </c>
    </row>
    <row r="1217" spans="1:5" ht="15">
      <c r="A1217" s="120" t="s">
        <v>147</v>
      </c>
      <c r="B1217" s="121">
        <v>21</v>
      </c>
      <c r="C1217" s="121">
        <v>27</v>
      </c>
      <c r="D1217" s="121">
        <v>0</v>
      </c>
      <c r="E1217" s="121">
        <v>44420</v>
      </c>
    </row>
    <row r="1218" spans="1:5" ht="15">
      <c r="A1218" s="120" t="s">
        <v>147</v>
      </c>
      <c r="B1218" s="121">
        <v>21</v>
      </c>
      <c r="C1218" s="121">
        <v>27</v>
      </c>
      <c r="D1218" s="121">
        <v>2</v>
      </c>
      <c r="E1218" s="121">
        <v>19123245</v>
      </c>
    </row>
    <row r="1219" spans="1:5" ht="15">
      <c r="A1219" s="120" t="s">
        <v>147</v>
      </c>
      <c r="B1219" s="121">
        <v>21</v>
      </c>
      <c r="C1219" s="121">
        <v>27</v>
      </c>
      <c r="D1219" s="121">
        <v>3</v>
      </c>
      <c r="E1219" s="121">
        <v>16456298</v>
      </c>
    </row>
    <row r="1220" spans="1:5" ht="15">
      <c r="A1220" s="120" t="s">
        <v>147</v>
      </c>
      <c r="B1220" s="121">
        <v>21</v>
      </c>
      <c r="C1220" s="121">
        <v>27</v>
      </c>
      <c r="D1220" s="121">
        <v>4</v>
      </c>
      <c r="E1220" s="121">
        <v>15042077</v>
      </c>
    </row>
    <row r="1221" spans="1:5" ht="15">
      <c r="A1221" s="120" t="s">
        <v>147</v>
      </c>
      <c r="B1221" s="121">
        <v>21</v>
      </c>
      <c r="C1221" s="121">
        <v>27</v>
      </c>
      <c r="D1221" s="121">
        <v>5</v>
      </c>
      <c r="E1221" s="121">
        <v>185750</v>
      </c>
    </row>
    <row r="1222" spans="1:5" ht="15">
      <c r="A1222" s="120" t="s">
        <v>147</v>
      </c>
      <c r="B1222" s="121">
        <v>21</v>
      </c>
      <c r="C1222" s="121">
        <v>27</v>
      </c>
      <c r="D1222" s="121">
        <v>7</v>
      </c>
      <c r="E1222" s="121">
        <v>6692744</v>
      </c>
    </row>
    <row r="1223" spans="1:5" ht="15">
      <c r="A1223" s="120" t="s">
        <v>147</v>
      </c>
      <c r="B1223" s="121">
        <v>21</v>
      </c>
      <c r="C1223" s="121">
        <v>27</v>
      </c>
      <c r="D1223" s="121">
        <v>8</v>
      </c>
      <c r="E1223" s="121">
        <v>7050</v>
      </c>
    </row>
    <row r="1224" spans="1:5" ht="15">
      <c r="A1224" s="120" t="s">
        <v>147</v>
      </c>
      <c r="B1224" s="121">
        <v>21</v>
      </c>
      <c r="C1224" s="121">
        <v>31</v>
      </c>
      <c r="D1224" s="121">
        <v>2</v>
      </c>
      <c r="E1224" s="121">
        <v>225422</v>
      </c>
    </row>
    <row r="1225" spans="1:5" ht="15">
      <c r="A1225" s="120" t="s">
        <v>147</v>
      </c>
      <c r="B1225" s="121">
        <v>21</v>
      </c>
      <c r="C1225" s="121">
        <v>31</v>
      </c>
      <c r="D1225" s="121">
        <v>3</v>
      </c>
      <c r="E1225" s="121">
        <v>59994</v>
      </c>
    </row>
    <row r="1226" spans="1:5" ht="15">
      <c r="A1226" s="120" t="s">
        <v>147</v>
      </c>
      <c r="B1226" s="121">
        <v>21</v>
      </c>
      <c r="C1226" s="121">
        <v>31</v>
      </c>
      <c r="D1226" s="121">
        <v>4</v>
      </c>
      <c r="E1226" s="121">
        <v>58291</v>
      </c>
    </row>
    <row r="1227" spans="1:5" ht="15">
      <c r="A1227" s="120" t="s">
        <v>147</v>
      </c>
      <c r="B1227" s="121">
        <v>21</v>
      </c>
      <c r="C1227" s="121">
        <v>31</v>
      </c>
      <c r="D1227" s="121">
        <v>5</v>
      </c>
      <c r="E1227" s="121">
        <v>8000</v>
      </c>
    </row>
    <row r="1228" spans="1:5" ht="15">
      <c r="A1228" s="120" t="s">
        <v>147</v>
      </c>
      <c r="B1228" s="121">
        <v>21</v>
      </c>
      <c r="C1228" s="121">
        <v>31</v>
      </c>
      <c r="D1228" s="121">
        <v>7</v>
      </c>
      <c r="E1228" s="121">
        <v>15214</v>
      </c>
    </row>
    <row r="1229" spans="1:5" ht="15">
      <c r="A1229" s="120" t="s">
        <v>147</v>
      </c>
      <c r="B1229" s="121">
        <v>21</v>
      </c>
      <c r="C1229" s="121">
        <v>31</v>
      </c>
      <c r="D1229" s="121">
        <v>8</v>
      </c>
      <c r="E1229" s="121">
        <v>2300</v>
      </c>
    </row>
    <row r="1230" spans="1:5" ht="15">
      <c r="A1230" s="120" t="s">
        <v>147</v>
      </c>
      <c r="B1230" s="121">
        <v>21</v>
      </c>
      <c r="C1230" s="121">
        <v>32</v>
      </c>
      <c r="D1230" s="121">
        <v>5</v>
      </c>
      <c r="E1230" s="121">
        <v>25000</v>
      </c>
    </row>
    <row r="1231" spans="1:5" ht="15">
      <c r="A1231" s="120" t="s">
        <v>147</v>
      </c>
      <c r="B1231" s="121">
        <v>21</v>
      </c>
      <c r="C1231" s="121">
        <v>33</v>
      </c>
      <c r="D1231" s="121">
        <v>5</v>
      </c>
      <c r="E1231" s="121">
        <v>15612</v>
      </c>
    </row>
    <row r="1232" spans="1:5" ht="15">
      <c r="A1232" s="120" t="s">
        <v>147</v>
      </c>
      <c r="B1232" s="121">
        <v>21</v>
      </c>
      <c r="C1232" s="121">
        <v>33</v>
      </c>
      <c r="D1232" s="121">
        <v>7</v>
      </c>
      <c r="E1232" s="121">
        <v>6346</v>
      </c>
    </row>
    <row r="1233" spans="1:5" ht="15">
      <c r="A1233" s="120" t="s">
        <v>147</v>
      </c>
      <c r="B1233" s="121">
        <v>21</v>
      </c>
      <c r="C1233" s="121">
        <v>34</v>
      </c>
      <c r="D1233" s="121">
        <v>2</v>
      </c>
      <c r="E1233" s="121">
        <v>375101</v>
      </c>
    </row>
    <row r="1234" spans="1:5" ht="15">
      <c r="A1234" s="120" t="s">
        <v>147</v>
      </c>
      <c r="B1234" s="121">
        <v>21</v>
      </c>
      <c r="C1234" s="121">
        <v>34</v>
      </c>
      <c r="D1234" s="121">
        <v>4</v>
      </c>
      <c r="E1234" s="121">
        <v>61925</v>
      </c>
    </row>
    <row r="1235" spans="1:5" ht="15">
      <c r="A1235" s="120" t="s">
        <v>147</v>
      </c>
      <c r="B1235" s="121">
        <v>24</v>
      </c>
      <c r="C1235" s="121">
        <v>26</v>
      </c>
      <c r="D1235" s="121">
        <v>2</v>
      </c>
      <c r="E1235" s="121">
        <v>1211027</v>
      </c>
    </row>
    <row r="1236" spans="1:5" ht="15">
      <c r="A1236" s="120" t="s">
        <v>147</v>
      </c>
      <c r="B1236" s="121">
        <v>24</v>
      </c>
      <c r="C1236" s="121">
        <v>26</v>
      </c>
      <c r="D1236" s="121">
        <v>4</v>
      </c>
      <c r="E1236" s="121">
        <v>380740</v>
      </c>
    </row>
    <row r="1237" spans="1:5" ht="15">
      <c r="A1237" s="120" t="s">
        <v>147</v>
      </c>
      <c r="B1237" s="121">
        <v>24</v>
      </c>
      <c r="C1237" s="121">
        <v>27</v>
      </c>
      <c r="D1237" s="121">
        <v>2</v>
      </c>
      <c r="E1237" s="121">
        <v>2181158</v>
      </c>
    </row>
    <row r="1238" spans="1:5" ht="15">
      <c r="A1238" s="120" t="s">
        <v>147</v>
      </c>
      <c r="B1238" s="121">
        <v>24</v>
      </c>
      <c r="C1238" s="121">
        <v>27</v>
      </c>
      <c r="D1238" s="121">
        <v>3</v>
      </c>
      <c r="E1238" s="121">
        <v>4955</v>
      </c>
    </row>
    <row r="1239" spans="1:5" ht="15">
      <c r="A1239" s="120" t="s">
        <v>147</v>
      </c>
      <c r="B1239" s="121">
        <v>24</v>
      </c>
      <c r="C1239" s="121">
        <v>27</v>
      </c>
      <c r="D1239" s="121">
        <v>4</v>
      </c>
      <c r="E1239" s="121">
        <v>676232</v>
      </c>
    </row>
    <row r="1240" spans="1:5" ht="15">
      <c r="A1240" s="120" t="s">
        <v>135</v>
      </c>
      <c r="B1240" s="121">
        <v>21</v>
      </c>
      <c r="C1240" s="121">
        <v>29</v>
      </c>
      <c r="D1240" s="121">
        <v>7</v>
      </c>
      <c r="E1240" s="121">
        <v>20000</v>
      </c>
    </row>
    <row r="1241" spans="1:5" ht="15">
      <c r="A1241" s="120" t="s">
        <v>133</v>
      </c>
      <c r="B1241" s="121">
        <v>21</v>
      </c>
      <c r="C1241" s="121">
        <v>21</v>
      </c>
      <c r="D1241" s="121">
        <v>3</v>
      </c>
      <c r="E1241" s="121">
        <v>71530</v>
      </c>
    </row>
    <row r="1242" spans="1:5" ht="15">
      <c r="A1242" s="120" t="s">
        <v>133</v>
      </c>
      <c r="B1242" s="121">
        <v>21</v>
      </c>
      <c r="C1242" s="121">
        <v>21</v>
      </c>
      <c r="D1242" s="121">
        <v>4</v>
      </c>
      <c r="E1242" s="121">
        <v>25557</v>
      </c>
    </row>
    <row r="1243" spans="1:5" ht="15">
      <c r="A1243" s="120" t="s">
        <v>133</v>
      </c>
      <c r="B1243" s="121">
        <v>21</v>
      </c>
      <c r="C1243" s="121">
        <v>25</v>
      </c>
      <c r="D1243" s="121">
        <v>3</v>
      </c>
      <c r="E1243" s="121">
        <v>118496</v>
      </c>
    </row>
    <row r="1244" spans="1:5" ht="15">
      <c r="A1244" s="120" t="s">
        <v>133</v>
      </c>
      <c r="B1244" s="121">
        <v>21</v>
      </c>
      <c r="C1244" s="121">
        <v>25</v>
      </c>
      <c r="D1244" s="121">
        <v>4</v>
      </c>
      <c r="E1244" s="121">
        <v>59011</v>
      </c>
    </row>
    <row r="1245" spans="1:5" ht="15">
      <c r="A1245" s="120" t="s">
        <v>133</v>
      </c>
      <c r="B1245" s="121">
        <v>21</v>
      </c>
      <c r="C1245" s="121">
        <v>26</v>
      </c>
      <c r="D1245" s="121">
        <v>2</v>
      </c>
      <c r="E1245" s="121">
        <v>833461</v>
      </c>
    </row>
    <row r="1246" spans="1:5" ht="15">
      <c r="A1246" s="120" t="s">
        <v>133</v>
      </c>
      <c r="B1246" s="121">
        <v>21</v>
      </c>
      <c r="C1246" s="121">
        <v>26</v>
      </c>
      <c r="D1246" s="121">
        <v>3</v>
      </c>
      <c r="E1246" s="121">
        <v>158684</v>
      </c>
    </row>
    <row r="1247" spans="1:5" ht="15">
      <c r="A1247" s="120" t="s">
        <v>133</v>
      </c>
      <c r="B1247" s="121">
        <v>21</v>
      </c>
      <c r="C1247" s="121">
        <v>26</v>
      </c>
      <c r="D1247" s="121">
        <v>4</v>
      </c>
      <c r="E1247" s="121">
        <v>319813</v>
      </c>
    </row>
    <row r="1248" spans="1:5" ht="15">
      <c r="A1248" s="120" t="s">
        <v>133</v>
      </c>
      <c r="B1248" s="121">
        <v>21</v>
      </c>
      <c r="C1248" s="121">
        <v>27</v>
      </c>
      <c r="D1248" s="121">
        <v>0</v>
      </c>
      <c r="E1248" s="121">
        <v>33000</v>
      </c>
    </row>
    <row r="1249" spans="1:5" ht="15">
      <c r="A1249" s="120" t="s">
        <v>133</v>
      </c>
      <c r="B1249" s="121">
        <v>21</v>
      </c>
      <c r="C1249" s="121">
        <v>27</v>
      </c>
      <c r="D1249" s="121">
        <v>2</v>
      </c>
      <c r="E1249" s="121">
        <v>906049</v>
      </c>
    </row>
    <row r="1250" spans="1:5" ht="15">
      <c r="A1250" s="120" t="s">
        <v>133</v>
      </c>
      <c r="B1250" s="121">
        <v>21</v>
      </c>
      <c r="C1250" s="121">
        <v>27</v>
      </c>
      <c r="D1250" s="121">
        <v>3</v>
      </c>
      <c r="E1250" s="121">
        <v>1112600</v>
      </c>
    </row>
    <row r="1251" spans="1:5" ht="15">
      <c r="A1251" s="120" t="s">
        <v>133</v>
      </c>
      <c r="B1251" s="121">
        <v>21</v>
      </c>
      <c r="C1251" s="121">
        <v>27</v>
      </c>
      <c r="D1251" s="121">
        <v>4</v>
      </c>
      <c r="E1251" s="121">
        <v>898871</v>
      </c>
    </row>
    <row r="1252" spans="1:5" ht="15">
      <c r="A1252" s="120" t="s">
        <v>133</v>
      </c>
      <c r="B1252" s="121">
        <v>21</v>
      </c>
      <c r="C1252" s="121">
        <v>27</v>
      </c>
      <c r="D1252" s="121">
        <v>5</v>
      </c>
      <c r="E1252" s="121">
        <v>19000</v>
      </c>
    </row>
    <row r="1253" spans="1:5" ht="15">
      <c r="A1253" s="120" t="s">
        <v>133</v>
      </c>
      <c r="B1253" s="121">
        <v>21</v>
      </c>
      <c r="C1253" s="121">
        <v>27</v>
      </c>
      <c r="D1253" s="121">
        <v>7</v>
      </c>
      <c r="E1253" s="121">
        <v>100000</v>
      </c>
    </row>
    <row r="1254" spans="1:5" ht="15">
      <c r="A1254" s="120" t="s">
        <v>133</v>
      </c>
      <c r="B1254" s="121">
        <v>21</v>
      </c>
      <c r="C1254" s="121">
        <v>27</v>
      </c>
      <c r="D1254" s="121">
        <v>8</v>
      </c>
      <c r="E1254" s="121">
        <v>5000</v>
      </c>
    </row>
    <row r="1255" spans="1:5" ht="15">
      <c r="A1255" s="120" t="s">
        <v>133</v>
      </c>
      <c r="B1255" s="121">
        <v>21</v>
      </c>
      <c r="C1255" s="121">
        <v>31</v>
      </c>
      <c r="D1255" s="121">
        <v>2</v>
      </c>
      <c r="E1255" s="121">
        <v>8173</v>
      </c>
    </row>
    <row r="1256" spans="1:5" ht="15">
      <c r="A1256" s="120" t="s">
        <v>133</v>
      </c>
      <c r="B1256" s="121">
        <v>21</v>
      </c>
      <c r="C1256" s="121">
        <v>31</v>
      </c>
      <c r="D1256" s="121">
        <v>4</v>
      </c>
      <c r="E1256" s="121">
        <v>1330</v>
      </c>
    </row>
    <row r="1257" spans="1:5" ht="15">
      <c r="A1257" s="120" t="s">
        <v>133</v>
      </c>
      <c r="B1257" s="121">
        <v>21</v>
      </c>
      <c r="C1257" s="121">
        <v>34</v>
      </c>
      <c r="D1257" s="121">
        <v>2</v>
      </c>
      <c r="E1257" s="121">
        <v>24902</v>
      </c>
    </row>
    <row r="1258" spans="1:5" ht="15">
      <c r="A1258" s="120" t="s">
        <v>133</v>
      </c>
      <c r="B1258" s="121">
        <v>21</v>
      </c>
      <c r="C1258" s="121">
        <v>34</v>
      </c>
      <c r="D1258" s="121">
        <v>4</v>
      </c>
      <c r="E1258" s="121">
        <v>4039</v>
      </c>
    </row>
    <row r="1259" spans="1:5" ht="15">
      <c r="A1259" s="120" t="s">
        <v>133</v>
      </c>
      <c r="B1259" s="121">
        <v>24</v>
      </c>
      <c r="C1259" s="121">
        <v>27</v>
      </c>
      <c r="D1259" s="121">
        <v>2</v>
      </c>
      <c r="E1259" s="121">
        <v>204204</v>
      </c>
    </row>
    <row r="1260" spans="1:5" ht="15">
      <c r="A1260" s="120" t="s">
        <v>133</v>
      </c>
      <c r="B1260" s="121">
        <v>24</v>
      </c>
      <c r="C1260" s="121">
        <v>27</v>
      </c>
      <c r="D1260" s="121">
        <v>4</v>
      </c>
      <c r="E1260" s="121">
        <v>63162</v>
      </c>
    </row>
    <row r="1261" spans="1:5" ht="15">
      <c r="A1261" s="120" t="s">
        <v>133</v>
      </c>
      <c r="B1261" s="121">
        <v>24</v>
      </c>
      <c r="C1261" s="121">
        <v>31</v>
      </c>
      <c r="D1261" s="121">
        <v>2</v>
      </c>
      <c r="E1261" s="121">
        <v>964</v>
      </c>
    </row>
    <row r="1262" spans="1:5" ht="15">
      <c r="A1262" s="120" t="s">
        <v>133</v>
      </c>
      <c r="B1262" s="121">
        <v>24</v>
      </c>
      <c r="C1262" s="121">
        <v>31</v>
      </c>
      <c r="D1262" s="121">
        <v>4</v>
      </c>
      <c r="E1262" s="121">
        <v>157</v>
      </c>
    </row>
    <row r="1263" spans="1:5" ht="15">
      <c r="A1263" s="120" t="s">
        <v>143</v>
      </c>
      <c r="B1263" s="121">
        <v>21</v>
      </c>
      <c r="C1263" s="121">
        <v>26</v>
      </c>
      <c r="D1263" s="121">
        <v>7</v>
      </c>
      <c r="E1263" s="121">
        <v>25000</v>
      </c>
    </row>
    <row r="1264" spans="1:5" ht="15">
      <c r="A1264" s="120" t="s">
        <v>143</v>
      </c>
      <c r="B1264" s="121">
        <v>21</v>
      </c>
      <c r="C1264" s="121">
        <v>27</v>
      </c>
      <c r="D1264" s="121">
        <v>2</v>
      </c>
      <c r="E1264" s="121">
        <v>74065</v>
      </c>
    </row>
    <row r="1265" spans="1:5" ht="15">
      <c r="A1265" s="120" t="s">
        <v>143</v>
      </c>
      <c r="B1265" s="121">
        <v>21</v>
      </c>
      <c r="C1265" s="121">
        <v>27</v>
      </c>
      <c r="D1265" s="121">
        <v>3</v>
      </c>
      <c r="E1265" s="121">
        <v>69676</v>
      </c>
    </row>
    <row r="1266" spans="1:5" ht="15">
      <c r="A1266" s="120" t="s">
        <v>143</v>
      </c>
      <c r="B1266" s="121">
        <v>21</v>
      </c>
      <c r="C1266" s="121">
        <v>27</v>
      </c>
      <c r="D1266" s="121">
        <v>4</v>
      </c>
      <c r="E1266" s="121">
        <v>65677</v>
      </c>
    </row>
    <row r="1267" spans="1:5" ht="15">
      <c r="A1267" s="120" t="s">
        <v>143</v>
      </c>
      <c r="B1267" s="121">
        <v>21</v>
      </c>
      <c r="C1267" s="121">
        <v>27</v>
      </c>
      <c r="D1267" s="121">
        <v>5</v>
      </c>
      <c r="E1267" s="121">
        <v>3100</v>
      </c>
    </row>
    <row r="1268" spans="1:5" ht="15">
      <c r="A1268" s="120" t="s">
        <v>143</v>
      </c>
      <c r="B1268" s="121">
        <v>21</v>
      </c>
      <c r="C1268" s="121">
        <v>27</v>
      </c>
      <c r="D1268" s="121">
        <v>7</v>
      </c>
      <c r="E1268" s="121">
        <v>20500</v>
      </c>
    </row>
    <row r="1269" spans="1:5" ht="15">
      <c r="A1269" s="120" t="s">
        <v>143</v>
      </c>
      <c r="B1269" s="121">
        <v>21</v>
      </c>
      <c r="C1269" s="121">
        <v>31</v>
      </c>
      <c r="D1269" s="121">
        <v>7</v>
      </c>
      <c r="E1269" s="121">
        <v>12000</v>
      </c>
    </row>
    <row r="1270" spans="1:5" ht="15">
      <c r="A1270" s="120" t="s">
        <v>143</v>
      </c>
      <c r="B1270" s="121">
        <v>21</v>
      </c>
      <c r="C1270" s="121">
        <v>33</v>
      </c>
      <c r="D1270" s="121">
        <v>5</v>
      </c>
      <c r="E1270" s="121">
        <v>899</v>
      </c>
    </row>
    <row r="1271" spans="1:5" ht="15">
      <c r="A1271" s="120" t="s">
        <v>143</v>
      </c>
      <c r="B1271" s="121">
        <v>24</v>
      </c>
      <c r="C1271" s="121">
        <v>26</v>
      </c>
      <c r="D1271" s="121">
        <v>7</v>
      </c>
      <c r="E1271" s="121">
        <v>440</v>
      </c>
    </row>
    <row r="1272" spans="1:5" ht="15">
      <c r="A1272" s="120" t="s">
        <v>127</v>
      </c>
      <c r="B1272" s="121">
        <v>21</v>
      </c>
      <c r="C1272" s="121">
        <v>21</v>
      </c>
      <c r="D1272" s="121">
        <v>2</v>
      </c>
      <c r="E1272" s="121">
        <v>7209</v>
      </c>
    </row>
    <row r="1273" spans="1:5" ht="15">
      <c r="A1273" s="120" t="s">
        <v>127</v>
      </c>
      <c r="B1273" s="121">
        <v>21</v>
      </c>
      <c r="C1273" s="121">
        <v>21</v>
      </c>
      <c r="D1273" s="121">
        <v>4</v>
      </c>
      <c r="E1273" s="121">
        <v>1203</v>
      </c>
    </row>
    <row r="1274" spans="1:5" ht="15">
      <c r="A1274" s="120" t="s">
        <v>143</v>
      </c>
      <c r="B1274" s="121">
        <v>24</v>
      </c>
      <c r="C1274" s="121">
        <v>27</v>
      </c>
      <c r="D1274" s="121">
        <v>7</v>
      </c>
      <c r="E1274" s="121">
        <v>18500</v>
      </c>
    </row>
    <row r="1275" spans="1:5" ht="15">
      <c r="A1275" s="120" t="s">
        <v>127</v>
      </c>
      <c r="B1275" s="121">
        <v>21</v>
      </c>
      <c r="C1275" s="121">
        <v>26</v>
      </c>
      <c r="D1275" s="121">
        <v>2</v>
      </c>
      <c r="E1275" s="121">
        <v>39874</v>
      </c>
    </row>
    <row r="1276" spans="1:5" ht="15">
      <c r="A1276" s="120" t="s">
        <v>127</v>
      </c>
      <c r="B1276" s="121">
        <v>21</v>
      </c>
      <c r="C1276" s="121">
        <v>26</v>
      </c>
      <c r="D1276" s="121">
        <v>4</v>
      </c>
      <c r="E1276" s="121">
        <v>14790</v>
      </c>
    </row>
    <row r="1277" spans="1:5" ht="15">
      <c r="A1277" s="120" t="s">
        <v>127</v>
      </c>
      <c r="B1277" s="121">
        <v>21</v>
      </c>
      <c r="C1277" s="121">
        <v>26</v>
      </c>
      <c r="D1277" s="121">
        <v>5</v>
      </c>
      <c r="E1277" s="121">
        <v>3500</v>
      </c>
    </row>
    <row r="1278" spans="1:5" ht="15">
      <c r="A1278" s="120" t="s">
        <v>127</v>
      </c>
      <c r="B1278" s="121">
        <v>21</v>
      </c>
      <c r="C1278" s="121">
        <v>26</v>
      </c>
      <c r="D1278" s="121">
        <v>7</v>
      </c>
      <c r="E1278" s="121">
        <v>80000</v>
      </c>
    </row>
    <row r="1279" spans="1:5" ht="15">
      <c r="A1279" s="120" t="s">
        <v>127</v>
      </c>
      <c r="B1279" s="121">
        <v>21</v>
      </c>
      <c r="C1279" s="121">
        <v>27</v>
      </c>
      <c r="D1279" s="121">
        <v>2</v>
      </c>
      <c r="E1279" s="121">
        <v>292226</v>
      </c>
    </row>
    <row r="1280" spans="1:5" ht="15">
      <c r="A1280" s="120" t="s">
        <v>127</v>
      </c>
      <c r="B1280" s="121">
        <v>21</v>
      </c>
      <c r="C1280" s="121">
        <v>27</v>
      </c>
      <c r="D1280" s="121">
        <v>3</v>
      </c>
      <c r="E1280" s="121">
        <v>372755</v>
      </c>
    </row>
    <row r="1281" spans="1:5" ht="15">
      <c r="A1281" s="120" t="s">
        <v>127</v>
      </c>
      <c r="B1281" s="121">
        <v>21</v>
      </c>
      <c r="C1281" s="121">
        <v>27</v>
      </c>
      <c r="D1281" s="121">
        <v>4</v>
      </c>
      <c r="E1281" s="121">
        <v>356395</v>
      </c>
    </row>
    <row r="1282" spans="1:5" ht="15">
      <c r="A1282" s="120" t="s">
        <v>127</v>
      </c>
      <c r="B1282" s="121">
        <v>21</v>
      </c>
      <c r="C1282" s="121">
        <v>27</v>
      </c>
      <c r="D1282" s="121">
        <v>5</v>
      </c>
      <c r="E1282" s="121">
        <v>62500</v>
      </c>
    </row>
    <row r="1283" spans="1:5" ht="15">
      <c r="A1283" s="120" t="s">
        <v>127</v>
      </c>
      <c r="B1283" s="121">
        <v>21</v>
      </c>
      <c r="C1283" s="121">
        <v>27</v>
      </c>
      <c r="D1283" s="121">
        <v>7</v>
      </c>
      <c r="E1283" s="121">
        <v>46000</v>
      </c>
    </row>
    <row r="1284" spans="1:5" ht="15">
      <c r="A1284" s="120" t="s">
        <v>127</v>
      </c>
      <c r="B1284" s="121">
        <v>21</v>
      </c>
      <c r="C1284" s="121">
        <v>31</v>
      </c>
      <c r="D1284" s="121">
        <v>7</v>
      </c>
      <c r="E1284" s="121">
        <v>5000</v>
      </c>
    </row>
    <row r="1285" spans="1:5" ht="15">
      <c r="A1285" s="120" t="s">
        <v>127</v>
      </c>
      <c r="B1285" s="121">
        <v>21</v>
      </c>
      <c r="C1285" s="121">
        <v>31</v>
      </c>
      <c r="D1285" s="121">
        <v>8</v>
      </c>
      <c r="E1285" s="121">
        <v>5000</v>
      </c>
    </row>
    <row r="1286" spans="1:5" ht="15">
      <c r="A1286" s="120" t="s">
        <v>127</v>
      </c>
      <c r="B1286" s="121">
        <v>21</v>
      </c>
      <c r="C1286" s="121">
        <v>32</v>
      </c>
      <c r="D1286" s="121">
        <v>5</v>
      </c>
      <c r="E1286" s="121">
        <v>10000</v>
      </c>
    </row>
    <row r="1287" spans="1:5" ht="15">
      <c r="A1287" s="120" t="s">
        <v>127</v>
      </c>
      <c r="B1287" s="121">
        <v>21</v>
      </c>
      <c r="C1287" s="121">
        <v>33</v>
      </c>
      <c r="D1287" s="121">
        <v>5</v>
      </c>
      <c r="E1287" s="121">
        <v>12500</v>
      </c>
    </row>
    <row r="1288" spans="1:5" ht="15">
      <c r="A1288" s="120" t="s">
        <v>127</v>
      </c>
      <c r="B1288" s="121">
        <v>21</v>
      </c>
      <c r="C1288" s="121">
        <v>34</v>
      </c>
      <c r="D1288" s="121">
        <v>2</v>
      </c>
      <c r="E1288" s="121">
        <v>721</v>
      </c>
    </row>
    <row r="1289" spans="1:5" ht="15">
      <c r="A1289" s="120" t="s">
        <v>127</v>
      </c>
      <c r="B1289" s="121">
        <v>21</v>
      </c>
      <c r="C1289" s="121">
        <v>34</v>
      </c>
      <c r="D1289" s="121">
        <v>4</v>
      </c>
      <c r="E1289" s="121">
        <v>283</v>
      </c>
    </row>
    <row r="1290" spans="1:5" ht="15">
      <c r="A1290" s="120" t="s">
        <v>173</v>
      </c>
      <c r="B1290" s="121">
        <v>24</v>
      </c>
      <c r="C1290" s="121">
        <v>31</v>
      </c>
      <c r="D1290" s="121">
        <v>2</v>
      </c>
      <c r="E1290" s="121">
        <v>67919</v>
      </c>
    </row>
    <row r="1291" spans="1:5" ht="15">
      <c r="A1291" s="120" t="s">
        <v>173</v>
      </c>
      <c r="B1291" s="121">
        <v>24</v>
      </c>
      <c r="C1291" s="121">
        <v>31</v>
      </c>
      <c r="D1291" s="121">
        <v>4</v>
      </c>
      <c r="E1291" s="121">
        <v>19544</v>
      </c>
    </row>
    <row r="1292" spans="1:5" ht="15">
      <c r="A1292" s="120" t="s">
        <v>127</v>
      </c>
      <c r="B1292" s="121">
        <v>24</v>
      </c>
      <c r="C1292" s="121">
        <v>26</v>
      </c>
      <c r="D1292" s="121">
        <v>2</v>
      </c>
      <c r="E1292" s="121">
        <v>39874</v>
      </c>
    </row>
    <row r="1293" spans="1:5" ht="15">
      <c r="A1293" s="120" t="s">
        <v>127</v>
      </c>
      <c r="B1293" s="121">
        <v>24</v>
      </c>
      <c r="C1293" s="121">
        <v>26</v>
      </c>
      <c r="D1293" s="121">
        <v>4</v>
      </c>
      <c r="E1293" s="121">
        <v>14790</v>
      </c>
    </row>
    <row r="1294" spans="1:5" ht="15">
      <c r="A1294" s="120" t="s">
        <v>127</v>
      </c>
      <c r="B1294" s="121">
        <v>24</v>
      </c>
      <c r="C1294" s="121">
        <v>27</v>
      </c>
      <c r="D1294" s="121">
        <v>2</v>
      </c>
      <c r="E1294" s="121">
        <v>51717</v>
      </c>
    </row>
    <row r="1295" spans="1:5" ht="15">
      <c r="A1295" s="120" t="s">
        <v>127</v>
      </c>
      <c r="B1295" s="121">
        <v>24</v>
      </c>
      <c r="C1295" s="121">
        <v>27</v>
      </c>
      <c r="D1295" s="121">
        <v>4</v>
      </c>
      <c r="E1295" s="121">
        <v>24902</v>
      </c>
    </row>
    <row r="1296" spans="1:5" ht="15">
      <c r="A1296" s="120" t="s">
        <v>173</v>
      </c>
      <c r="B1296" s="121">
        <v>29</v>
      </c>
      <c r="C1296" s="121">
        <v>27</v>
      </c>
      <c r="D1296" s="121">
        <v>3</v>
      </c>
      <c r="E1296" s="121">
        <v>64471</v>
      </c>
    </row>
    <row r="1297" spans="1:5" ht="15">
      <c r="A1297" s="120" t="s">
        <v>173</v>
      </c>
      <c r="B1297" s="121">
        <v>29</v>
      </c>
      <c r="C1297" s="121">
        <v>27</v>
      </c>
      <c r="D1297" s="121">
        <v>4</v>
      </c>
      <c r="E1297" s="121">
        <v>40785</v>
      </c>
    </row>
    <row r="1298" spans="1:5" ht="15">
      <c r="A1298" s="120" t="s">
        <v>137</v>
      </c>
      <c r="B1298" s="121">
        <v>21</v>
      </c>
      <c r="C1298" s="121">
        <v>21</v>
      </c>
      <c r="D1298" s="121">
        <v>2</v>
      </c>
      <c r="E1298" s="121">
        <v>177212</v>
      </c>
    </row>
    <row r="1299" spans="1:5" ht="15">
      <c r="A1299" s="120" t="s">
        <v>137</v>
      </c>
      <c r="B1299" s="121">
        <v>21</v>
      </c>
      <c r="C1299" s="121">
        <v>21</v>
      </c>
      <c r="D1299" s="121">
        <v>3</v>
      </c>
      <c r="E1299" s="121">
        <v>59592</v>
      </c>
    </row>
    <row r="1300" spans="1:5" ht="15">
      <c r="A1300" s="120" t="s">
        <v>137</v>
      </c>
      <c r="B1300" s="121">
        <v>21</v>
      </c>
      <c r="C1300" s="121">
        <v>21</v>
      </c>
      <c r="D1300" s="121">
        <v>4</v>
      </c>
      <c r="E1300" s="121">
        <v>70411</v>
      </c>
    </row>
    <row r="1301" spans="1:5" ht="15">
      <c r="A1301" s="120" t="s">
        <v>137</v>
      </c>
      <c r="B1301" s="121">
        <v>21</v>
      </c>
      <c r="C1301" s="121">
        <v>21</v>
      </c>
      <c r="D1301" s="121">
        <v>5</v>
      </c>
      <c r="E1301" s="121">
        <v>2600</v>
      </c>
    </row>
    <row r="1302" spans="1:5" ht="15">
      <c r="A1302" s="120" t="s">
        <v>137</v>
      </c>
      <c r="B1302" s="121">
        <v>21</v>
      </c>
      <c r="C1302" s="121">
        <v>21</v>
      </c>
      <c r="D1302" s="121">
        <v>7</v>
      </c>
      <c r="E1302" s="121">
        <v>3700</v>
      </c>
    </row>
    <row r="1303" spans="1:5" ht="15">
      <c r="A1303" s="120" t="s">
        <v>137</v>
      </c>
      <c r="B1303" s="121">
        <v>21</v>
      </c>
      <c r="C1303" s="121">
        <v>21</v>
      </c>
      <c r="D1303" s="121">
        <v>8</v>
      </c>
      <c r="E1303" s="121">
        <v>1000</v>
      </c>
    </row>
    <row r="1304" spans="1:5" ht="15">
      <c r="A1304" s="120" t="s">
        <v>137</v>
      </c>
      <c r="B1304" s="121">
        <v>21</v>
      </c>
      <c r="C1304" s="121">
        <v>25</v>
      </c>
      <c r="D1304" s="121">
        <v>3</v>
      </c>
      <c r="E1304" s="121">
        <v>118892</v>
      </c>
    </row>
    <row r="1305" spans="1:5" ht="15">
      <c r="A1305" s="120" t="s">
        <v>137</v>
      </c>
      <c r="B1305" s="121">
        <v>21</v>
      </c>
      <c r="C1305" s="121">
        <v>25</v>
      </c>
      <c r="D1305" s="121">
        <v>4</v>
      </c>
      <c r="E1305" s="121">
        <v>105545</v>
      </c>
    </row>
    <row r="1306" spans="1:5" ht="15">
      <c r="A1306" s="120" t="s">
        <v>137</v>
      </c>
      <c r="B1306" s="121">
        <v>21</v>
      </c>
      <c r="C1306" s="121">
        <v>25</v>
      </c>
      <c r="D1306" s="121">
        <v>5</v>
      </c>
      <c r="E1306" s="121">
        <v>1000</v>
      </c>
    </row>
    <row r="1307" spans="1:5" ht="15">
      <c r="A1307" s="120" t="s">
        <v>137</v>
      </c>
      <c r="B1307" s="121">
        <v>21</v>
      </c>
      <c r="C1307" s="121">
        <v>26</v>
      </c>
      <c r="D1307" s="121">
        <v>2</v>
      </c>
      <c r="E1307" s="121">
        <v>1955855</v>
      </c>
    </row>
    <row r="1308" spans="1:5" ht="15">
      <c r="A1308" s="120" t="s">
        <v>137</v>
      </c>
      <c r="B1308" s="121">
        <v>21</v>
      </c>
      <c r="C1308" s="121">
        <v>26</v>
      </c>
      <c r="D1308" s="121">
        <v>3</v>
      </c>
      <c r="E1308" s="121">
        <v>199432</v>
      </c>
    </row>
    <row r="1309" spans="1:5" ht="15">
      <c r="A1309" s="120" t="s">
        <v>137</v>
      </c>
      <c r="B1309" s="121">
        <v>21</v>
      </c>
      <c r="C1309" s="121">
        <v>26</v>
      </c>
      <c r="D1309" s="121">
        <v>4</v>
      </c>
      <c r="E1309" s="121">
        <v>787467</v>
      </c>
    </row>
    <row r="1310" spans="1:5" ht="15">
      <c r="A1310" s="120" t="s">
        <v>137</v>
      </c>
      <c r="B1310" s="121">
        <v>21</v>
      </c>
      <c r="C1310" s="121">
        <v>26</v>
      </c>
      <c r="D1310" s="121">
        <v>5</v>
      </c>
      <c r="E1310" s="121">
        <v>30173</v>
      </c>
    </row>
    <row r="1311" spans="1:5" ht="15">
      <c r="A1311" s="120" t="s">
        <v>137</v>
      </c>
      <c r="B1311" s="121">
        <v>21</v>
      </c>
      <c r="C1311" s="121">
        <v>26</v>
      </c>
      <c r="D1311" s="121">
        <v>7</v>
      </c>
      <c r="E1311" s="121">
        <v>104000</v>
      </c>
    </row>
    <row r="1312" spans="1:5" ht="15">
      <c r="A1312" s="120" t="s">
        <v>137</v>
      </c>
      <c r="B1312" s="121">
        <v>21</v>
      </c>
      <c r="C1312" s="121">
        <v>26</v>
      </c>
      <c r="D1312" s="121">
        <v>8</v>
      </c>
      <c r="E1312" s="121">
        <v>5000</v>
      </c>
    </row>
    <row r="1313" spans="1:5" ht="15">
      <c r="A1313" s="120" t="s">
        <v>137</v>
      </c>
      <c r="B1313" s="121">
        <v>21</v>
      </c>
      <c r="C1313" s="121">
        <v>27</v>
      </c>
      <c r="D1313" s="121">
        <v>0</v>
      </c>
      <c r="E1313" s="121">
        <v>2000</v>
      </c>
    </row>
    <row r="1314" spans="1:5" ht="15">
      <c r="A1314" s="120" t="s">
        <v>137</v>
      </c>
      <c r="B1314" s="121">
        <v>21</v>
      </c>
      <c r="C1314" s="121">
        <v>27</v>
      </c>
      <c r="D1314" s="121">
        <v>2</v>
      </c>
      <c r="E1314" s="121">
        <v>3363085</v>
      </c>
    </row>
    <row r="1315" spans="1:5" ht="15">
      <c r="A1315" s="120" t="s">
        <v>137</v>
      </c>
      <c r="B1315" s="121">
        <v>21</v>
      </c>
      <c r="C1315" s="121">
        <v>27</v>
      </c>
      <c r="D1315" s="121">
        <v>3</v>
      </c>
      <c r="E1315" s="121">
        <v>1376040</v>
      </c>
    </row>
    <row r="1316" spans="1:5" ht="15">
      <c r="A1316" s="120" t="s">
        <v>137</v>
      </c>
      <c r="B1316" s="121">
        <v>21</v>
      </c>
      <c r="C1316" s="121">
        <v>27</v>
      </c>
      <c r="D1316" s="121">
        <v>4</v>
      </c>
      <c r="E1316" s="121">
        <v>1992022</v>
      </c>
    </row>
    <row r="1317" spans="1:5" ht="15">
      <c r="A1317" s="120" t="s">
        <v>137</v>
      </c>
      <c r="B1317" s="121">
        <v>21</v>
      </c>
      <c r="C1317" s="121">
        <v>27</v>
      </c>
      <c r="D1317" s="121">
        <v>5</v>
      </c>
      <c r="E1317" s="121">
        <v>17000</v>
      </c>
    </row>
    <row r="1318" spans="1:5" ht="15">
      <c r="A1318" s="120" t="s">
        <v>137</v>
      </c>
      <c r="B1318" s="121">
        <v>21</v>
      </c>
      <c r="C1318" s="121">
        <v>27</v>
      </c>
      <c r="D1318" s="121">
        <v>7</v>
      </c>
      <c r="E1318" s="121">
        <v>10000</v>
      </c>
    </row>
    <row r="1319" spans="1:5" ht="15">
      <c r="A1319" s="120" t="s">
        <v>137</v>
      </c>
      <c r="B1319" s="121">
        <v>21</v>
      </c>
      <c r="C1319" s="121">
        <v>27</v>
      </c>
      <c r="D1319" s="121">
        <v>8</v>
      </c>
      <c r="E1319" s="121">
        <v>2500</v>
      </c>
    </row>
    <row r="1320" spans="1:5" ht="15">
      <c r="A1320" s="120" t="s">
        <v>137</v>
      </c>
      <c r="B1320" s="121">
        <v>21</v>
      </c>
      <c r="C1320" s="121">
        <v>31</v>
      </c>
      <c r="D1320" s="121">
        <v>2</v>
      </c>
      <c r="E1320" s="121">
        <v>9260</v>
      </c>
    </row>
    <row r="1321" spans="1:5" ht="15">
      <c r="A1321" s="120" t="s">
        <v>137</v>
      </c>
      <c r="B1321" s="121">
        <v>21</v>
      </c>
      <c r="C1321" s="121">
        <v>31</v>
      </c>
      <c r="D1321" s="121">
        <v>4</v>
      </c>
      <c r="E1321" s="121">
        <v>716</v>
      </c>
    </row>
    <row r="1322" spans="1:5" ht="15">
      <c r="A1322" s="120" t="s">
        <v>137</v>
      </c>
      <c r="B1322" s="121">
        <v>21</v>
      </c>
      <c r="C1322" s="121">
        <v>31</v>
      </c>
      <c r="D1322" s="121">
        <v>7</v>
      </c>
      <c r="E1322" s="121">
        <v>4500</v>
      </c>
    </row>
    <row r="1323" spans="1:5" ht="15">
      <c r="A1323" s="120" t="s">
        <v>137</v>
      </c>
      <c r="B1323" s="121">
        <v>21</v>
      </c>
      <c r="C1323" s="121">
        <v>31</v>
      </c>
      <c r="D1323" s="121">
        <v>8</v>
      </c>
      <c r="E1323" s="121">
        <v>1000</v>
      </c>
    </row>
    <row r="1324" spans="1:5" ht="15">
      <c r="A1324" s="120" t="s">
        <v>137</v>
      </c>
      <c r="B1324" s="121">
        <v>21</v>
      </c>
      <c r="C1324" s="121">
        <v>32</v>
      </c>
      <c r="D1324" s="121">
        <v>5</v>
      </c>
      <c r="E1324" s="121">
        <v>5000</v>
      </c>
    </row>
    <row r="1325" spans="1:5" ht="15">
      <c r="A1325" s="120" t="s">
        <v>137</v>
      </c>
      <c r="B1325" s="121">
        <v>21</v>
      </c>
      <c r="C1325" s="121">
        <v>33</v>
      </c>
      <c r="D1325" s="121">
        <v>5</v>
      </c>
      <c r="E1325" s="121">
        <v>5000</v>
      </c>
    </row>
    <row r="1326" spans="1:5" ht="15">
      <c r="A1326" s="120" t="s">
        <v>137</v>
      </c>
      <c r="B1326" s="121">
        <v>21</v>
      </c>
      <c r="C1326" s="121">
        <v>34</v>
      </c>
      <c r="D1326" s="121">
        <v>2</v>
      </c>
      <c r="E1326" s="121">
        <v>74942</v>
      </c>
    </row>
    <row r="1327" spans="1:5" ht="15">
      <c r="A1327" s="120" t="s">
        <v>137</v>
      </c>
      <c r="B1327" s="121">
        <v>21</v>
      </c>
      <c r="C1327" s="121">
        <v>34</v>
      </c>
      <c r="D1327" s="121">
        <v>4</v>
      </c>
      <c r="E1327" s="121">
        <v>25515</v>
      </c>
    </row>
    <row r="1328" spans="1:5" ht="15">
      <c r="A1328" s="120" t="s">
        <v>137</v>
      </c>
      <c r="B1328" s="121">
        <v>24</v>
      </c>
      <c r="C1328" s="121">
        <v>27</v>
      </c>
      <c r="D1328" s="121">
        <v>3</v>
      </c>
      <c r="E1328" s="121">
        <v>485148</v>
      </c>
    </row>
    <row r="1329" spans="1:5" ht="15">
      <c r="A1329" s="120" t="s">
        <v>137</v>
      </c>
      <c r="B1329" s="121">
        <v>24</v>
      </c>
      <c r="C1329" s="121">
        <v>27</v>
      </c>
      <c r="D1329" s="121">
        <v>4</v>
      </c>
      <c r="E1329" s="121">
        <v>359942</v>
      </c>
    </row>
    <row r="1330" spans="1:5" ht="15">
      <c r="A1330" s="120" t="s">
        <v>149</v>
      </c>
      <c r="B1330" s="121">
        <v>21</v>
      </c>
      <c r="C1330" s="121">
        <v>21</v>
      </c>
      <c r="D1330" s="121">
        <v>2</v>
      </c>
      <c r="E1330" s="121">
        <v>174531</v>
      </c>
    </row>
    <row r="1331" spans="1:5" ht="15">
      <c r="A1331" s="120" t="s">
        <v>149</v>
      </c>
      <c r="B1331" s="121">
        <v>21</v>
      </c>
      <c r="C1331" s="121">
        <v>21</v>
      </c>
      <c r="D1331" s="121">
        <v>3</v>
      </c>
      <c r="E1331" s="121">
        <v>71785</v>
      </c>
    </row>
    <row r="1332" spans="1:5" ht="15">
      <c r="A1332" s="120" t="s">
        <v>149</v>
      </c>
      <c r="B1332" s="121">
        <v>21</v>
      </c>
      <c r="C1332" s="121">
        <v>21</v>
      </c>
      <c r="D1332" s="121">
        <v>4</v>
      </c>
      <c r="E1332" s="121">
        <v>87973</v>
      </c>
    </row>
    <row r="1333" spans="1:5" ht="15">
      <c r="A1333" s="120" t="s">
        <v>149</v>
      </c>
      <c r="B1333" s="121">
        <v>21</v>
      </c>
      <c r="C1333" s="121">
        <v>21</v>
      </c>
      <c r="D1333" s="121">
        <v>5</v>
      </c>
      <c r="E1333" s="121">
        <v>150</v>
      </c>
    </row>
    <row r="1334" spans="1:5" ht="15">
      <c r="A1334" s="120" t="s">
        <v>149</v>
      </c>
      <c r="B1334" s="121">
        <v>21</v>
      </c>
      <c r="C1334" s="121">
        <v>21</v>
      </c>
      <c r="D1334" s="121">
        <v>7</v>
      </c>
      <c r="E1334" s="121">
        <v>2700</v>
      </c>
    </row>
    <row r="1335" spans="1:5" ht="15">
      <c r="A1335" s="120" t="s">
        <v>149</v>
      </c>
      <c r="B1335" s="121">
        <v>21</v>
      </c>
      <c r="C1335" s="121">
        <v>25</v>
      </c>
      <c r="D1335" s="121">
        <v>5</v>
      </c>
      <c r="E1335" s="121">
        <v>3000</v>
      </c>
    </row>
    <row r="1336" spans="1:5" ht="15">
      <c r="A1336" s="120" t="s">
        <v>149</v>
      </c>
      <c r="B1336" s="121">
        <v>21</v>
      </c>
      <c r="C1336" s="121">
        <v>26</v>
      </c>
      <c r="D1336" s="121">
        <v>2</v>
      </c>
      <c r="E1336" s="121">
        <v>582822</v>
      </c>
    </row>
    <row r="1337" spans="1:5" ht="15">
      <c r="A1337" s="120" t="s">
        <v>149</v>
      </c>
      <c r="B1337" s="121">
        <v>21</v>
      </c>
      <c r="C1337" s="121">
        <v>26</v>
      </c>
      <c r="D1337" s="121">
        <v>4</v>
      </c>
      <c r="E1337" s="121">
        <v>203434</v>
      </c>
    </row>
    <row r="1338" spans="1:5" ht="15">
      <c r="A1338" s="120" t="s">
        <v>149</v>
      </c>
      <c r="B1338" s="121">
        <v>21</v>
      </c>
      <c r="C1338" s="121">
        <v>26</v>
      </c>
      <c r="D1338" s="121">
        <v>5</v>
      </c>
      <c r="E1338" s="121">
        <v>3500</v>
      </c>
    </row>
    <row r="1339" spans="1:5" ht="15">
      <c r="A1339" s="120" t="s">
        <v>149</v>
      </c>
      <c r="B1339" s="121">
        <v>21</v>
      </c>
      <c r="C1339" s="121">
        <v>26</v>
      </c>
      <c r="D1339" s="121">
        <v>7</v>
      </c>
      <c r="E1339" s="121">
        <v>979752</v>
      </c>
    </row>
    <row r="1340" spans="1:5" ht="15">
      <c r="A1340" s="120" t="s">
        <v>149</v>
      </c>
      <c r="B1340" s="121">
        <v>21</v>
      </c>
      <c r="C1340" s="121">
        <v>27</v>
      </c>
      <c r="D1340" s="121">
        <v>0</v>
      </c>
      <c r="E1340" s="121">
        <v>15200</v>
      </c>
    </row>
    <row r="1341" spans="1:5" ht="15">
      <c r="A1341" s="120" t="s">
        <v>149</v>
      </c>
      <c r="B1341" s="121">
        <v>21</v>
      </c>
      <c r="C1341" s="121">
        <v>27</v>
      </c>
      <c r="D1341" s="121">
        <v>2</v>
      </c>
      <c r="E1341" s="121">
        <v>1828394</v>
      </c>
    </row>
    <row r="1342" spans="1:5" ht="15">
      <c r="A1342" s="120" t="s">
        <v>149</v>
      </c>
      <c r="B1342" s="121">
        <v>21</v>
      </c>
      <c r="C1342" s="121">
        <v>27</v>
      </c>
      <c r="D1342" s="121">
        <v>3</v>
      </c>
      <c r="E1342" s="121">
        <v>1298176</v>
      </c>
    </row>
    <row r="1343" spans="1:5" ht="15">
      <c r="A1343" s="120" t="s">
        <v>149</v>
      </c>
      <c r="B1343" s="121">
        <v>21</v>
      </c>
      <c r="C1343" s="121">
        <v>27</v>
      </c>
      <c r="D1343" s="121">
        <v>4</v>
      </c>
      <c r="E1343" s="121">
        <v>1433573</v>
      </c>
    </row>
    <row r="1344" spans="1:5" ht="15">
      <c r="A1344" s="120" t="s">
        <v>149</v>
      </c>
      <c r="B1344" s="121">
        <v>21</v>
      </c>
      <c r="C1344" s="121">
        <v>27</v>
      </c>
      <c r="D1344" s="121">
        <v>5</v>
      </c>
      <c r="E1344" s="121">
        <v>13500</v>
      </c>
    </row>
    <row r="1345" spans="1:5" ht="15">
      <c r="A1345" s="120" t="s">
        <v>149</v>
      </c>
      <c r="B1345" s="121">
        <v>21</v>
      </c>
      <c r="C1345" s="121">
        <v>27</v>
      </c>
      <c r="D1345" s="121">
        <v>7</v>
      </c>
      <c r="E1345" s="121">
        <v>108510</v>
      </c>
    </row>
    <row r="1346" spans="1:5" ht="15">
      <c r="A1346" s="120" t="s">
        <v>149</v>
      </c>
      <c r="B1346" s="121">
        <v>21</v>
      </c>
      <c r="C1346" s="121">
        <v>27</v>
      </c>
      <c r="D1346" s="121">
        <v>8</v>
      </c>
      <c r="E1346" s="121">
        <v>500</v>
      </c>
    </row>
    <row r="1347" spans="1:5" ht="15">
      <c r="A1347" s="120" t="s">
        <v>149</v>
      </c>
      <c r="B1347" s="121">
        <v>21</v>
      </c>
      <c r="C1347" s="121">
        <v>32</v>
      </c>
      <c r="D1347" s="121">
        <v>5</v>
      </c>
      <c r="E1347" s="121">
        <v>1500</v>
      </c>
    </row>
    <row r="1348" spans="1:5" ht="15">
      <c r="A1348" s="120" t="s">
        <v>149</v>
      </c>
      <c r="B1348" s="121">
        <v>21</v>
      </c>
      <c r="C1348" s="121">
        <v>33</v>
      </c>
      <c r="D1348" s="121">
        <v>5</v>
      </c>
      <c r="E1348" s="121">
        <v>11800</v>
      </c>
    </row>
    <row r="1349" spans="1:5" ht="15">
      <c r="A1349" s="120" t="s">
        <v>149</v>
      </c>
      <c r="B1349" s="121">
        <v>21</v>
      </c>
      <c r="C1349" s="121">
        <v>34</v>
      </c>
      <c r="D1349" s="121">
        <v>2</v>
      </c>
      <c r="E1349" s="121">
        <v>38266</v>
      </c>
    </row>
    <row r="1350" spans="1:5" ht="15">
      <c r="A1350" s="120" t="s">
        <v>149</v>
      </c>
      <c r="B1350" s="121">
        <v>21</v>
      </c>
      <c r="C1350" s="121">
        <v>34</v>
      </c>
      <c r="D1350" s="121">
        <v>4</v>
      </c>
      <c r="E1350" s="121">
        <v>5913</v>
      </c>
    </row>
    <row r="1351" spans="1:5" ht="15">
      <c r="A1351" s="120" t="s">
        <v>149</v>
      </c>
      <c r="B1351" s="121">
        <v>24</v>
      </c>
      <c r="C1351" s="121">
        <v>27</v>
      </c>
      <c r="D1351" s="121">
        <v>2</v>
      </c>
      <c r="E1351" s="121">
        <v>139093</v>
      </c>
    </row>
    <row r="1352" spans="1:5" ht="15">
      <c r="A1352" s="120" t="s">
        <v>149</v>
      </c>
      <c r="B1352" s="121">
        <v>24</v>
      </c>
      <c r="C1352" s="121">
        <v>27</v>
      </c>
      <c r="D1352" s="121">
        <v>3</v>
      </c>
      <c r="E1352" s="121">
        <v>276486</v>
      </c>
    </row>
    <row r="1353" spans="1:5" ht="15">
      <c r="A1353" s="120" t="s">
        <v>149</v>
      </c>
      <c r="B1353" s="121">
        <v>24</v>
      </c>
      <c r="C1353" s="121">
        <v>27</v>
      </c>
      <c r="D1353" s="121">
        <v>4</v>
      </c>
      <c r="E1353" s="121">
        <v>282060</v>
      </c>
    </row>
    <row r="1354" spans="1:5" ht="15">
      <c r="A1354" s="120" t="s">
        <v>149</v>
      </c>
      <c r="B1354" s="121">
        <v>24</v>
      </c>
      <c r="C1354" s="121">
        <v>27</v>
      </c>
      <c r="D1354" s="121">
        <v>5</v>
      </c>
      <c r="E1354" s="121">
        <v>12571</v>
      </c>
    </row>
    <row r="1355" spans="1:5" ht="15">
      <c r="A1355" s="120" t="s">
        <v>199</v>
      </c>
      <c r="B1355" s="121">
        <v>21</v>
      </c>
      <c r="C1355" s="121">
        <v>21</v>
      </c>
      <c r="D1355" s="121">
        <v>2</v>
      </c>
      <c r="E1355" s="121">
        <v>11220</v>
      </c>
    </row>
    <row r="1356" spans="1:5" ht="15">
      <c r="A1356" s="120" t="s">
        <v>199</v>
      </c>
      <c r="B1356" s="121">
        <v>21</v>
      </c>
      <c r="C1356" s="121">
        <v>21</v>
      </c>
      <c r="D1356" s="121">
        <v>4</v>
      </c>
      <c r="E1356" s="121">
        <v>906</v>
      </c>
    </row>
    <row r="1357" spans="1:5" ht="15">
      <c r="A1357" s="120" t="s">
        <v>199</v>
      </c>
      <c r="B1357" s="121">
        <v>21</v>
      </c>
      <c r="C1357" s="121">
        <v>26</v>
      </c>
      <c r="D1357" s="121">
        <v>7</v>
      </c>
      <c r="E1357" s="121">
        <v>40472</v>
      </c>
    </row>
    <row r="1358" spans="1:5" ht="15">
      <c r="A1358" s="120" t="s">
        <v>199</v>
      </c>
      <c r="B1358" s="121">
        <v>21</v>
      </c>
      <c r="C1358" s="121">
        <v>26</v>
      </c>
      <c r="D1358" s="121">
        <v>8</v>
      </c>
      <c r="E1358" s="121">
        <v>1800</v>
      </c>
    </row>
    <row r="1359" spans="1:5" ht="15">
      <c r="A1359" s="120" t="s">
        <v>199</v>
      </c>
      <c r="B1359" s="121">
        <v>21</v>
      </c>
      <c r="C1359" s="121">
        <v>27</v>
      </c>
      <c r="D1359" s="121">
        <v>2</v>
      </c>
      <c r="E1359" s="121">
        <v>5521</v>
      </c>
    </row>
    <row r="1360" spans="1:5" ht="15">
      <c r="A1360" s="120" t="s">
        <v>199</v>
      </c>
      <c r="B1360" s="121">
        <v>21</v>
      </c>
      <c r="C1360" s="121">
        <v>27</v>
      </c>
      <c r="D1360" s="121">
        <v>3</v>
      </c>
      <c r="E1360" s="121">
        <v>11440</v>
      </c>
    </row>
    <row r="1361" spans="1:5" ht="15">
      <c r="A1361" s="120" t="s">
        <v>199</v>
      </c>
      <c r="B1361" s="121">
        <v>21</v>
      </c>
      <c r="C1361" s="121">
        <v>27</v>
      </c>
      <c r="D1361" s="121">
        <v>4</v>
      </c>
      <c r="E1361" s="121">
        <v>1601</v>
      </c>
    </row>
    <row r="1362" spans="1:5" ht="15">
      <c r="A1362" s="120" t="s">
        <v>199</v>
      </c>
      <c r="B1362" s="121">
        <v>21</v>
      </c>
      <c r="C1362" s="121">
        <v>27</v>
      </c>
      <c r="D1362" s="121">
        <v>5</v>
      </c>
      <c r="E1362" s="121">
        <v>2500</v>
      </c>
    </row>
    <row r="1363" spans="1:5" ht="15">
      <c r="A1363" s="120" t="s">
        <v>199</v>
      </c>
      <c r="B1363" s="121">
        <v>21</v>
      </c>
      <c r="C1363" s="121">
        <v>27</v>
      </c>
      <c r="D1363" s="121">
        <v>7</v>
      </c>
      <c r="E1363" s="121">
        <v>1500</v>
      </c>
    </row>
    <row r="1364" spans="1:5" ht="15">
      <c r="A1364" s="120" t="s">
        <v>199</v>
      </c>
      <c r="B1364" s="121">
        <v>24</v>
      </c>
      <c r="C1364" s="121">
        <v>26</v>
      </c>
      <c r="D1364" s="121">
        <v>7</v>
      </c>
      <c r="E1364" s="121">
        <v>8334</v>
      </c>
    </row>
    <row r="1365" spans="1:5" ht="15">
      <c r="A1365" s="120" t="s">
        <v>145</v>
      </c>
      <c r="B1365" s="121">
        <v>21</v>
      </c>
      <c r="C1365" s="121">
        <v>21</v>
      </c>
      <c r="D1365" s="121">
        <v>2</v>
      </c>
      <c r="E1365" s="121">
        <v>157655</v>
      </c>
    </row>
    <row r="1366" spans="1:5" ht="15">
      <c r="A1366" s="120" t="s">
        <v>145</v>
      </c>
      <c r="B1366" s="121">
        <v>21</v>
      </c>
      <c r="C1366" s="121">
        <v>21</v>
      </c>
      <c r="D1366" s="121">
        <v>3</v>
      </c>
      <c r="E1366" s="121">
        <v>65445</v>
      </c>
    </row>
    <row r="1367" spans="1:5" ht="15">
      <c r="A1367" s="120" t="s">
        <v>145</v>
      </c>
      <c r="B1367" s="121">
        <v>21</v>
      </c>
      <c r="C1367" s="121">
        <v>21</v>
      </c>
      <c r="D1367" s="121">
        <v>4</v>
      </c>
      <c r="E1367" s="121">
        <v>68426</v>
      </c>
    </row>
    <row r="1368" spans="1:5" ht="15">
      <c r="A1368" s="120" t="s">
        <v>145</v>
      </c>
      <c r="B1368" s="121">
        <v>21</v>
      </c>
      <c r="C1368" s="121">
        <v>21</v>
      </c>
      <c r="D1368" s="121">
        <v>5</v>
      </c>
      <c r="E1368" s="121">
        <v>500</v>
      </c>
    </row>
    <row r="1369" spans="1:5" ht="15">
      <c r="A1369" s="120" t="s">
        <v>145</v>
      </c>
      <c r="B1369" s="121">
        <v>21</v>
      </c>
      <c r="C1369" s="121">
        <v>21</v>
      </c>
      <c r="D1369" s="121">
        <v>7</v>
      </c>
      <c r="E1369" s="121">
        <v>2700</v>
      </c>
    </row>
    <row r="1370" spans="1:5" ht="15">
      <c r="A1370" s="120" t="s">
        <v>145</v>
      </c>
      <c r="B1370" s="121">
        <v>21</v>
      </c>
      <c r="C1370" s="121">
        <v>21</v>
      </c>
      <c r="D1370" s="121">
        <v>8</v>
      </c>
      <c r="E1370" s="121">
        <v>3500</v>
      </c>
    </row>
    <row r="1371" spans="1:5" ht="15">
      <c r="A1371" s="120" t="s">
        <v>145</v>
      </c>
      <c r="B1371" s="121">
        <v>21</v>
      </c>
      <c r="C1371" s="121">
        <v>25</v>
      </c>
      <c r="D1371" s="121">
        <v>3</v>
      </c>
      <c r="E1371" s="121">
        <v>42031</v>
      </c>
    </row>
    <row r="1372" spans="1:5" ht="15">
      <c r="A1372" s="120" t="s">
        <v>145</v>
      </c>
      <c r="B1372" s="121">
        <v>21</v>
      </c>
      <c r="C1372" s="121">
        <v>25</v>
      </c>
      <c r="D1372" s="121">
        <v>4</v>
      </c>
      <c r="E1372" s="121">
        <v>24545</v>
      </c>
    </row>
    <row r="1373" spans="1:5" ht="15">
      <c r="A1373" s="120" t="s">
        <v>145</v>
      </c>
      <c r="B1373" s="121">
        <v>21</v>
      </c>
      <c r="C1373" s="121">
        <v>25</v>
      </c>
      <c r="D1373" s="121">
        <v>5</v>
      </c>
      <c r="E1373" s="121">
        <v>150</v>
      </c>
    </row>
    <row r="1374" spans="1:5" ht="15">
      <c r="A1374" s="120" t="s">
        <v>145</v>
      </c>
      <c r="B1374" s="121">
        <v>21</v>
      </c>
      <c r="C1374" s="121">
        <v>26</v>
      </c>
      <c r="D1374" s="121">
        <v>2</v>
      </c>
      <c r="E1374" s="121">
        <v>472457</v>
      </c>
    </row>
    <row r="1375" spans="1:5" ht="15">
      <c r="A1375" s="120" t="s">
        <v>145</v>
      </c>
      <c r="B1375" s="121">
        <v>21</v>
      </c>
      <c r="C1375" s="121">
        <v>26</v>
      </c>
      <c r="D1375" s="121">
        <v>3</v>
      </c>
      <c r="E1375" s="121">
        <v>55912</v>
      </c>
    </row>
    <row r="1376" spans="1:5" ht="15">
      <c r="A1376" s="120" t="s">
        <v>145</v>
      </c>
      <c r="B1376" s="121">
        <v>21</v>
      </c>
      <c r="C1376" s="121">
        <v>26</v>
      </c>
      <c r="D1376" s="121">
        <v>4</v>
      </c>
      <c r="E1376" s="121">
        <v>188664</v>
      </c>
    </row>
    <row r="1377" spans="1:5" ht="15">
      <c r="A1377" s="120" t="s">
        <v>145</v>
      </c>
      <c r="B1377" s="121">
        <v>21</v>
      </c>
      <c r="C1377" s="121">
        <v>26</v>
      </c>
      <c r="D1377" s="121">
        <v>5</v>
      </c>
      <c r="E1377" s="121">
        <v>600</v>
      </c>
    </row>
    <row r="1378" spans="1:5" ht="15">
      <c r="A1378" s="120" t="s">
        <v>145</v>
      </c>
      <c r="B1378" s="121">
        <v>21</v>
      </c>
      <c r="C1378" s="121">
        <v>26</v>
      </c>
      <c r="D1378" s="121">
        <v>7</v>
      </c>
      <c r="E1378" s="121">
        <v>3500</v>
      </c>
    </row>
    <row r="1379" spans="1:5" ht="15">
      <c r="A1379" s="120" t="s">
        <v>145</v>
      </c>
      <c r="B1379" s="121">
        <v>21</v>
      </c>
      <c r="C1379" s="121">
        <v>26</v>
      </c>
      <c r="D1379" s="121">
        <v>8</v>
      </c>
      <c r="E1379" s="121">
        <v>1200</v>
      </c>
    </row>
    <row r="1380" spans="1:5" ht="15">
      <c r="A1380" s="120" t="s">
        <v>145</v>
      </c>
      <c r="B1380" s="121">
        <v>21</v>
      </c>
      <c r="C1380" s="121">
        <v>27</v>
      </c>
      <c r="D1380" s="121">
        <v>0</v>
      </c>
      <c r="E1380" s="121">
        <v>5850</v>
      </c>
    </row>
    <row r="1381" spans="1:5" ht="15">
      <c r="A1381" s="120" t="s">
        <v>145</v>
      </c>
      <c r="B1381" s="121">
        <v>21</v>
      </c>
      <c r="C1381" s="121">
        <v>27</v>
      </c>
      <c r="D1381" s="121">
        <v>2</v>
      </c>
      <c r="E1381" s="121">
        <v>1421700</v>
      </c>
    </row>
    <row r="1382" spans="1:5" ht="15">
      <c r="A1382" s="120" t="s">
        <v>145</v>
      </c>
      <c r="B1382" s="121">
        <v>21</v>
      </c>
      <c r="C1382" s="121">
        <v>27</v>
      </c>
      <c r="D1382" s="121">
        <v>3</v>
      </c>
      <c r="E1382" s="121">
        <v>1056959</v>
      </c>
    </row>
    <row r="1383" spans="1:5" ht="15">
      <c r="A1383" s="120" t="s">
        <v>145</v>
      </c>
      <c r="B1383" s="121">
        <v>21</v>
      </c>
      <c r="C1383" s="121">
        <v>27</v>
      </c>
      <c r="D1383" s="121">
        <v>4</v>
      </c>
      <c r="E1383" s="121">
        <v>1143381</v>
      </c>
    </row>
    <row r="1384" spans="1:5" ht="15">
      <c r="A1384" s="120" t="s">
        <v>145</v>
      </c>
      <c r="B1384" s="121">
        <v>21</v>
      </c>
      <c r="C1384" s="121">
        <v>27</v>
      </c>
      <c r="D1384" s="121">
        <v>5</v>
      </c>
      <c r="E1384" s="121">
        <v>12200</v>
      </c>
    </row>
    <row r="1385" spans="1:5" ht="15">
      <c r="A1385" s="120" t="s">
        <v>145</v>
      </c>
      <c r="B1385" s="121">
        <v>21</v>
      </c>
      <c r="C1385" s="121">
        <v>27</v>
      </c>
      <c r="D1385" s="121">
        <v>7</v>
      </c>
      <c r="E1385" s="121">
        <v>20600</v>
      </c>
    </row>
    <row r="1386" spans="1:5" ht="15">
      <c r="A1386" s="120" t="s">
        <v>145</v>
      </c>
      <c r="B1386" s="121">
        <v>21</v>
      </c>
      <c r="C1386" s="121">
        <v>31</v>
      </c>
      <c r="D1386" s="121">
        <v>5</v>
      </c>
      <c r="E1386" s="121">
        <v>300</v>
      </c>
    </row>
    <row r="1387" spans="1:5" ht="15">
      <c r="A1387" s="120" t="s">
        <v>145</v>
      </c>
      <c r="B1387" s="121">
        <v>21</v>
      </c>
      <c r="C1387" s="121">
        <v>31</v>
      </c>
      <c r="D1387" s="121">
        <v>7</v>
      </c>
      <c r="E1387" s="121">
        <v>9000</v>
      </c>
    </row>
    <row r="1388" spans="1:5" ht="15">
      <c r="A1388" s="120" t="s">
        <v>145</v>
      </c>
      <c r="B1388" s="121">
        <v>21</v>
      </c>
      <c r="C1388" s="121">
        <v>33</v>
      </c>
      <c r="D1388" s="121">
        <v>5</v>
      </c>
      <c r="E1388" s="121">
        <v>46000</v>
      </c>
    </row>
    <row r="1389" spans="1:5" ht="15">
      <c r="A1389" s="120" t="s">
        <v>145</v>
      </c>
      <c r="B1389" s="121">
        <v>21</v>
      </c>
      <c r="C1389" s="121">
        <v>33</v>
      </c>
      <c r="D1389" s="121">
        <v>7</v>
      </c>
      <c r="E1389" s="121">
        <v>8000</v>
      </c>
    </row>
    <row r="1390" spans="1:5" ht="15">
      <c r="A1390" s="120" t="s">
        <v>145</v>
      </c>
      <c r="B1390" s="121">
        <v>21</v>
      </c>
      <c r="C1390" s="121">
        <v>34</v>
      </c>
      <c r="D1390" s="121">
        <v>2</v>
      </c>
      <c r="E1390" s="121">
        <v>25262</v>
      </c>
    </row>
    <row r="1391" spans="1:5" ht="15">
      <c r="A1391" s="120" t="s">
        <v>145</v>
      </c>
      <c r="B1391" s="121">
        <v>21</v>
      </c>
      <c r="C1391" s="121">
        <v>34</v>
      </c>
      <c r="D1391" s="121">
        <v>4</v>
      </c>
      <c r="E1391" s="121">
        <v>3431</v>
      </c>
    </row>
    <row r="1392" spans="1:5" ht="15">
      <c r="A1392" s="120" t="s">
        <v>145</v>
      </c>
      <c r="B1392" s="121">
        <v>24</v>
      </c>
      <c r="C1392" s="121">
        <v>21</v>
      </c>
      <c r="D1392" s="121">
        <v>8</v>
      </c>
      <c r="E1392" s="121">
        <v>1000</v>
      </c>
    </row>
    <row r="1393" spans="1:5" ht="15">
      <c r="A1393" s="120" t="s">
        <v>145</v>
      </c>
      <c r="B1393" s="121">
        <v>24</v>
      </c>
      <c r="C1393" s="121">
        <v>26</v>
      </c>
      <c r="D1393" s="121">
        <v>2</v>
      </c>
      <c r="E1393" s="121">
        <v>8670</v>
      </c>
    </row>
    <row r="1394" spans="1:5" ht="15">
      <c r="A1394" s="120" t="s">
        <v>145</v>
      </c>
      <c r="B1394" s="121">
        <v>24</v>
      </c>
      <c r="C1394" s="121">
        <v>26</v>
      </c>
      <c r="D1394" s="121">
        <v>4</v>
      </c>
      <c r="E1394" s="121">
        <v>3223</v>
      </c>
    </row>
    <row r="1395" spans="1:5" ht="15">
      <c r="A1395" s="120" t="s">
        <v>145</v>
      </c>
      <c r="B1395" s="121">
        <v>24</v>
      </c>
      <c r="C1395" s="121">
        <v>26</v>
      </c>
      <c r="D1395" s="121">
        <v>7</v>
      </c>
      <c r="E1395" s="121">
        <v>394099</v>
      </c>
    </row>
    <row r="1396" spans="1:5" ht="15">
      <c r="A1396" s="120" t="s">
        <v>145</v>
      </c>
      <c r="B1396" s="121">
        <v>24</v>
      </c>
      <c r="C1396" s="121">
        <v>27</v>
      </c>
      <c r="D1396" s="121">
        <v>2</v>
      </c>
      <c r="E1396" s="121">
        <v>74977</v>
      </c>
    </row>
    <row r="1397" spans="1:5" ht="15">
      <c r="A1397" s="120" t="s">
        <v>145</v>
      </c>
      <c r="B1397" s="121">
        <v>24</v>
      </c>
      <c r="C1397" s="121">
        <v>27</v>
      </c>
      <c r="D1397" s="121">
        <v>4</v>
      </c>
      <c r="E1397" s="121">
        <v>30099</v>
      </c>
    </row>
    <row r="1398" spans="1:5" ht="15">
      <c r="A1398" s="120" t="s">
        <v>145</v>
      </c>
      <c r="B1398" s="121">
        <v>24</v>
      </c>
      <c r="C1398" s="121">
        <v>27</v>
      </c>
      <c r="D1398" s="121">
        <v>5</v>
      </c>
      <c r="E1398" s="121">
        <v>5000</v>
      </c>
    </row>
    <row r="1399" spans="1:5" ht="15">
      <c r="A1399" s="120" t="s">
        <v>145</v>
      </c>
      <c r="B1399" s="121">
        <v>24</v>
      </c>
      <c r="C1399" s="121">
        <v>31</v>
      </c>
      <c r="D1399" s="121">
        <v>7</v>
      </c>
      <c r="E1399" s="121">
        <v>4000</v>
      </c>
    </row>
    <row r="1400" spans="1:5" ht="15">
      <c r="A1400" s="120" t="s">
        <v>145</v>
      </c>
      <c r="B1400" s="121">
        <v>24</v>
      </c>
      <c r="C1400" s="121">
        <v>33</v>
      </c>
      <c r="D1400" s="121">
        <v>5</v>
      </c>
      <c r="E1400" s="121">
        <v>28000</v>
      </c>
    </row>
    <row r="1401" spans="1:5" ht="15">
      <c r="A1401" s="120" t="s">
        <v>175</v>
      </c>
      <c r="B1401" s="121">
        <v>21</v>
      </c>
      <c r="C1401" s="121">
        <v>21</v>
      </c>
      <c r="D1401" s="121">
        <v>2</v>
      </c>
      <c r="E1401" s="121">
        <v>182408</v>
      </c>
    </row>
    <row r="1402" spans="1:5" ht="15">
      <c r="A1402" s="120" t="s">
        <v>175</v>
      </c>
      <c r="B1402" s="121">
        <v>21</v>
      </c>
      <c r="C1402" s="121">
        <v>21</v>
      </c>
      <c r="D1402" s="121">
        <v>3</v>
      </c>
      <c r="E1402" s="121">
        <v>82927</v>
      </c>
    </row>
    <row r="1403" spans="1:5" ht="15">
      <c r="A1403" s="120" t="s">
        <v>175</v>
      </c>
      <c r="B1403" s="121">
        <v>21</v>
      </c>
      <c r="C1403" s="121">
        <v>21</v>
      </c>
      <c r="D1403" s="121">
        <v>4</v>
      </c>
      <c r="E1403" s="121">
        <v>70156</v>
      </c>
    </row>
    <row r="1404" spans="1:5" ht="15">
      <c r="A1404" s="120" t="s">
        <v>175</v>
      </c>
      <c r="B1404" s="121">
        <v>21</v>
      </c>
      <c r="C1404" s="121">
        <v>21</v>
      </c>
      <c r="D1404" s="121">
        <v>5</v>
      </c>
      <c r="E1404" s="121">
        <v>2900</v>
      </c>
    </row>
    <row r="1405" spans="1:5" ht="15">
      <c r="A1405" s="120" t="s">
        <v>175</v>
      </c>
      <c r="B1405" s="121">
        <v>21</v>
      </c>
      <c r="C1405" s="121">
        <v>21</v>
      </c>
      <c r="D1405" s="121">
        <v>7</v>
      </c>
      <c r="E1405" s="121">
        <v>16000</v>
      </c>
    </row>
    <row r="1406" spans="1:5" ht="15">
      <c r="A1406" s="120" t="s">
        <v>175</v>
      </c>
      <c r="B1406" s="121">
        <v>21</v>
      </c>
      <c r="C1406" s="121">
        <v>25</v>
      </c>
      <c r="D1406" s="121">
        <v>3</v>
      </c>
      <c r="E1406" s="121">
        <v>216053</v>
      </c>
    </row>
    <row r="1407" spans="1:5" ht="15">
      <c r="A1407" s="120" t="s">
        <v>175</v>
      </c>
      <c r="B1407" s="121">
        <v>21</v>
      </c>
      <c r="C1407" s="121">
        <v>25</v>
      </c>
      <c r="D1407" s="121">
        <v>4</v>
      </c>
      <c r="E1407" s="121">
        <v>155541</v>
      </c>
    </row>
    <row r="1408" spans="1:5" ht="15">
      <c r="A1408" s="120" t="s">
        <v>175</v>
      </c>
      <c r="B1408" s="121">
        <v>21</v>
      </c>
      <c r="C1408" s="121">
        <v>26</v>
      </c>
      <c r="D1408" s="121">
        <v>2</v>
      </c>
      <c r="E1408" s="121">
        <v>1931217</v>
      </c>
    </row>
    <row r="1409" spans="1:5" ht="15">
      <c r="A1409" s="120" t="s">
        <v>175</v>
      </c>
      <c r="B1409" s="121">
        <v>21</v>
      </c>
      <c r="C1409" s="121">
        <v>26</v>
      </c>
      <c r="D1409" s="121">
        <v>3</v>
      </c>
      <c r="E1409" s="121">
        <v>59348</v>
      </c>
    </row>
    <row r="1410" spans="1:5" ht="15">
      <c r="A1410" s="120" t="s">
        <v>175</v>
      </c>
      <c r="B1410" s="121">
        <v>21</v>
      </c>
      <c r="C1410" s="121">
        <v>26</v>
      </c>
      <c r="D1410" s="121">
        <v>4</v>
      </c>
      <c r="E1410" s="121">
        <v>567920</v>
      </c>
    </row>
    <row r="1411" spans="1:5" ht="15">
      <c r="A1411" s="120" t="s">
        <v>175</v>
      </c>
      <c r="B1411" s="121">
        <v>21</v>
      </c>
      <c r="C1411" s="121">
        <v>26</v>
      </c>
      <c r="D1411" s="121">
        <v>5</v>
      </c>
      <c r="E1411" s="121">
        <v>81000</v>
      </c>
    </row>
    <row r="1412" spans="1:5" ht="15">
      <c r="A1412" s="120" t="s">
        <v>175</v>
      </c>
      <c r="B1412" s="121">
        <v>21</v>
      </c>
      <c r="C1412" s="121">
        <v>26</v>
      </c>
      <c r="D1412" s="121">
        <v>7</v>
      </c>
      <c r="E1412" s="121">
        <v>50100</v>
      </c>
    </row>
    <row r="1413" spans="1:5" ht="15">
      <c r="A1413" s="120" t="s">
        <v>175</v>
      </c>
      <c r="B1413" s="121">
        <v>21</v>
      </c>
      <c r="C1413" s="121">
        <v>26</v>
      </c>
      <c r="D1413" s="121">
        <v>8</v>
      </c>
      <c r="E1413" s="121">
        <v>250</v>
      </c>
    </row>
    <row r="1414" spans="1:5" ht="15">
      <c r="A1414" s="120" t="s">
        <v>175</v>
      </c>
      <c r="B1414" s="121">
        <v>21</v>
      </c>
      <c r="C1414" s="121">
        <v>27</v>
      </c>
      <c r="D1414" s="121">
        <v>0</v>
      </c>
      <c r="E1414" s="121">
        <v>200</v>
      </c>
    </row>
    <row r="1415" spans="1:5" ht="15">
      <c r="A1415" s="120" t="s">
        <v>175</v>
      </c>
      <c r="B1415" s="121">
        <v>21</v>
      </c>
      <c r="C1415" s="121">
        <v>27</v>
      </c>
      <c r="D1415" s="121">
        <v>2</v>
      </c>
      <c r="E1415" s="121">
        <v>2970321</v>
      </c>
    </row>
    <row r="1416" spans="1:5" ht="15">
      <c r="A1416" s="120" t="s">
        <v>175</v>
      </c>
      <c r="B1416" s="121">
        <v>21</v>
      </c>
      <c r="C1416" s="121">
        <v>27</v>
      </c>
      <c r="D1416" s="121">
        <v>3</v>
      </c>
      <c r="E1416" s="121">
        <v>1690744</v>
      </c>
    </row>
    <row r="1417" spans="1:5" ht="15">
      <c r="A1417" s="120" t="s">
        <v>175</v>
      </c>
      <c r="B1417" s="121">
        <v>21</v>
      </c>
      <c r="C1417" s="121">
        <v>27</v>
      </c>
      <c r="D1417" s="121">
        <v>4</v>
      </c>
      <c r="E1417" s="121">
        <v>1809805</v>
      </c>
    </row>
    <row r="1418" spans="1:5" ht="15">
      <c r="A1418" s="120" t="s">
        <v>175</v>
      </c>
      <c r="B1418" s="121">
        <v>21</v>
      </c>
      <c r="C1418" s="121">
        <v>27</v>
      </c>
      <c r="D1418" s="121">
        <v>5</v>
      </c>
      <c r="E1418" s="121">
        <v>153000</v>
      </c>
    </row>
    <row r="1419" spans="1:5" ht="15">
      <c r="A1419" s="120" t="s">
        <v>175</v>
      </c>
      <c r="B1419" s="121">
        <v>21</v>
      </c>
      <c r="C1419" s="121">
        <v>27</v>
      </c>
      <c r="D1419" s="121">
        <v>7</v>
      </c>
      <c r="E1419" s="121">
        <v>619600</v>
      </c>
    </row>
    <row r="1420" spans="1:5" ht="15">
      <c r="A1420" s="120" t="s">
        <v>175</v>
      </c>
      <c r="B1420" s="121">
        <v>21</v>
      </c>
      <c r="C1420" s="121">
        <v>29</v>
      </c>
      <c r="D1420" s="121">
        <v>7</v>
      </c>
      <c r="E1420" s="121">
        <v>225000</v>
      </c>
    </row>
    <row r="1421" spans="1:5" ht="15">
      <c r="A1421" s="120" t="s">
        <v>175</v>
      </c>
      <c r="B1421" s="121">
        <v>21</v>
      </c>
      <c r="C1421" s="121">
        <v>31</v>
      </c>
      <c r="D1421" s="121">
        <v>2</v>
      </c>
      <c r="E1421" s="121">
        <v>5005</v>
      </c>
    </row>
    <row r="1422" spans="1:5" ht="15">
      <c r="A1422" s="120" t="s">
        <v>175</v>
      </c>
      <c r="B1422" s="121">
        <v>21</v>
      </c>
      <c r="C1422" s="121">
        <v>31</v>
      </c>
      <c r="D1422" s="121">
        <v>3</v>
      </c>
      <c r="E1422" s="121">
        <v>4005</v>
      </c>
    </row>
    <row r="1423" spans="1:5" ht="15">
      <c r="A1423" s="120" t="s">
        <v>175</v>
      </c>
      <c r="B1423" s="121">
        <v>21</v>
      </c>
      <c r="C1423" s="121">
        <v>31</v>
      </c>
      <c r="D1423" s="121">
        <v>4</v>
      </c>
      <c r="E1423" s="121">
        <v>1991</v>
      </c>
    </row>
    <row r="1424" spans="1:5" ht="15">
      <c r="A1424" s="120" t="s">
        <v>175</v>
      </c>
      <c r="B1424" s="121">
        <v>21</v>
      </c>
      <c r="C1424" s="121">
        <v>31</v>
      </c>
      <c r="D1424" s="121">
        <v>5</v>
      </c>
      <c r="E1424" s="121">
        <v>700</v>
      </c>
    </row>
    <row r="1425" spans="1:5" ht="15">
      <c r="A1425" s="120" t="s">
        <v>175</v>
      </c>
      <c r="B1425" s="121">
        <v>21</v>
      </c>
      <c r="C1425" s="121">
        <v>31</v>
      </c>
      <c r="D1425" s="121">
        <v>7</v>
      </c>
      <c r="E1425" s="121">
        <v>5500</v>
      </c>
    </row>
    <row r="1426" spans="1:5" ht="15">
      <c r="A1426" s="120" t="s">
        <v>175</v>
      </c>
      <c r="B1426" s="121">
        <v>21</v>
      </c>
      <c r="C1426" s="121">
        <v>31</v>
      </c>
      <c r="D1426" s="121">
        <v>8</v>
      </c>
      <c r="E1426" s="121">
        <v>1000</v>
      </c>
    </row>
    <row r="1427" spans="1:5" ht="15">
      <c r="A1427" s="120" t="s">
        <v>175</v>
      </c>
      <c r="B1427" s="121">
        <v>21</v>
      </c>
      <c r="C1427" s="121">
        <v>33</v>
      </c>
      <c r="D1427" s="121">
        <v>5</v>
      </c>
      <c r="E1427" s="121">
        <v>20000</v>
      </c>
    </row>
    <row r="1428" spans="1:5" ht="15">
      <c r="A1428" s="120" t="s">
        <v>175</v>
      </c>
      <c r="B1428" s="121">
        <v>24</v>
      </c>
      <c r="C1428" s="121">
        <v>27</v>
      </c>
      <c r="D1428" s="121">
        <v>2</v>
      </c>
      <c r="E1428" s="121">
        <v>264077</v>
      </c>
    </row>
    <row r="1429" spans="1:5" ht="15">
      <c r="A1429" s="120" t="s">
        <v>175</v>
      </c>
      <c r="B1429" s="121">
        <v>24</v>
      </c>
      <c r="C1429" s="121">
        <v>27</v>
      </c>
      <c r="D1429" s="121">
        <v>3</v>
      </c>
      <c r="E1429" s="121">
        <v>266882</v>
      </c>
    </row>
    <row r="1430" spans="1:5" ht="15">
      <c r="A1430" s="120" t="s">
        <v>175</v>
      </c>
      <c r="B1430" s="121">
        <v>24</v>
      </c>
      <c r="C1430" s="121">
        <v>27</v>
      </c>
      <c r="D1430" s="121">
        <v>4</v>
      </c>
      <c r="E1430" s="121">
        <v>240301</v>
      </c>
    </row>
    <row r="1431" spans="1:5" ht="15">
      <c r="A1431" s="120" t="s">
        <v>175</v>
      </c>
      <c r="B1431" s="121">
        <v>24</v>
      </c>
      <c r="C1431" s="121">
        <v>27</v>
      </c>
      <c r="D1431" s="121">
        <v>5</v>
      </c>
      <c r="E1431" s="121">
        <v>4500</v>
      </c>
    </row>
    <row r="1432" spans="1:5" ht="15">
      <c r="A1432" s="120" t="s">
        <v>175</v>
      </c>
      <c r="B1432" s="121">
        <v>24</v>
      </c>
      <c r="C1432" s="121">
        <v>27</v>
      </c>
      <c r="D1432" s="121">
        <v>7</v>
      </c>
      <c r="E1432" s="121">
        <v>21715</v>
      </c>
    </row>
    <row r="1433" spans="1:5" ht="15">
      <c r="A1433" s="120" t="s">
        <v>139</v>
      </c>
      <c r="B1433" s="121">
        <v>21</v>
      </c>
      <c r="C1433" s="121">
        <v>21</v>
      </c>
      <c r="D1433" s="121">
        <v>2</v>
      </c>
      <c r="E1433" s="121">
        <v>232268</v>
      </c>
    </row>
    <row r="1434" spans="1:5" ht="15">
      <c r="A1434" s="120" t="s">
        <v>139</v>
      </c>
      <c r="B1434" s="121">
        <v>21</v>
      </c>
      <c r="C1434" s="121">
        <v>21</v>
      </c>
      <c r="D1434" s="121">
        <v>3</v>
      </c>
      <c r="E1434" s="121">
        <v>69555</v>
      </c>
    </row>
    <row r="1435" spans="1:5" ht="15">
      <c r="A1435" s="120" t="s">
        <v>139</v>
      </c>
      <c r="B1435" s="121">
        <v>21</v>
      </c>
      <c r="C1435" s="121">
        <v>21</v>
      </c>
      <c r="D1435" s="121">
        <v>4</v>
      </c>
      <c r="E1435" s="121">
        <v>86245</v>
      </c>
    </row>
    <row r="1436" spans="1:5" ht="15">
      <c r="A1436" s="120" t="s">
        <v>139</v>
      </c>
      <c r="B1436" s="121">
        <v>21</v>
      </c>
      <c r="C1436" s="121">
        <v>21</v>
      </c>
      <c r="D1436" s="121">
        <v>7</v>
      </c>
      <c r="E1436" s="121">
        <v>3400</v>
      </c>
    </row>
    <row r="1437" spans="1:5" ht="15">
      <c r="A1437" s="120" t="s">
        <v>139</v>
      </c>
      <c r="B1437" s="121">
        <v>21</v>
      </c>
      <c r="C1437" s="121">
        <v>26</v>
      </c>
      <c r="D1437" s="121">
        <v>2</v>
      </c>
      <c r="E1437" s="121">
        <v>768091</v>
      </c>
    </row>
    <row r="1438" spans="1:5" ht="15">
      <c r="A1438" s="120" t="s">
        <v>139</v>
      </c>
      <c r="B1438" s="121">
        <v>21</v>
      </c>
      <c r="C1438" s="121">
        <v>26</v>
      </c>
      <c r="D1438" s="121">
        <v>3</v>
      </c>
      <c r="E1438" s="121">
        <v>144465</v>
      </c>
    </row>
    <row r="1439" spans="1:5" ht="15">
      <c r="A1439" s="120" t="s">
        <v>139</v>
      </c>
      <c r="B1439" s="121">
        <v>21</v>
      </c>
      <c r="C1439" s="121">
        <v>26</v>
      </c>
      <c r="D1439" s="121">
        <v>4</v>
      </c>
      <c r="E1439" s="121">
        <v>349562</v>
      </c>
    </row>
    <row r="1440" spans="1:5" ht="15">
      <c r="A1440" s="120" t="s">
        <v>139</v>
      </c>
      <c r="B1440" s="121">
        <v>21</v>
      </c>
      <c r="C1440" s="121">
        <v>26</v>
      </c>
      <c r="D1440" s="121">
        <v>5</v>
      </c>
      <c r="E1440" s="121">
        <v>5000</v>
      </c>
    </row>
    <row r="1441" spans="1:5" ht="15">
      <c r="A1441" s="120" t="s">
        <v>139</v>
      </c>
      <c r="B1441" s="121">
        <v>21</v>
      </c>
      <c r="C1441" s="121">
        <v>26</v>
      </c>
      <c r="D1441" s="121">
        <v>7</v>
      </c>
      <c r="E1441" s="121">
        <v>1066162</v>
      </c>
    </row>
    <row r="1442" spans="1:5" ht="15">
      <c r="A1442" s="120" t="s">
        <v>139</v>
      </c>
      <c r="B1442" s="121">
        <v>21</v>
      </c>
      <c r="C1442" s="121">
        <v>27</v>
      </c>
      <c r="D1442" s="121">
        <v>2</v>
      </c>
      <c r="E1442" s="121">
        <v>1542883</v>
      </c>
    </row>
    <row r="1443" spans="1:5" ht="15">
      <c r="A1443" s="120" t="s">
        <v>139</v>
      </c>
      <c r="B1443" s="121">
        <v>21</v>
      </c>
      <c r="C1443" s="121">
        <v>27</v>
      </c>
      <c r="D1443" s="121">
        <v>3</v>
      </c>
      <c r="E1443" s="121">
        <v>389591</v>
      </c>
    </row>
    <row r="1444" spans="1:5" ht="15">
      <c r="A1444" s="120" t="s">
        <v>139</v>
      </c>
      <c r="B1444" s="121">
        <v>21</v>
      </c>
      <c r="C1444" s="121">
        <v>27</v>
      </c>
      <c r="D1444" s="121">
        <v>4</v>
      </c>
      <c r="E1444" s="121">
        <v>786509</v>
      </c>
    </row>
    <row r="1445" spans="1:5" ht="15">
      <c r="A1445" s="120" t="s">
        <v>139</v>
      </c>
      <c r="B1445" s="121">
        <v>21</v>
      </c>
      <c r="C1445" s="121">
        <v>27</v>
      </c>
      <c r="D1445" s="121">
        <v>5</v>
      </c>
      <c r="E1445" s="121">
        <v>5000</v>
      </c>
    </row>
    <row r="1446" spans="1:5" ht="15">
      <c r="A1446" s="120" t="s">
        <v>139</v>
      </c>
      <c r="B1446" s="121">
        <v>21</v>
      </c>
      <c r="C1446" s="121">
        <v>27</v>
      </c>
      <c r="D1446" s="121">
        <v>7</v>
      </c>
      <c r="E1446" s="121">
        <v>492160</v>
      </c>
    </row>
    <row r="1447" spans="1:5" ht="15">
      <c r="A1447" s="120" t="s">
        <v>139</v>
      </c>
      <c r="B1447" s="121">
        <v>21</v>
      </c>
      <c r="C1447" s="121">
        <v>31</v>
      </c>
      <c r="D1447" s="121">
        <v>2</v>
      </c>
      <c r="E1447" s="121">
        <v>62654</v>
      </c>
    </row>
    <row r="1448" spans="1:5" ht="15">
      <c r="A1448" s="120" t="s">
        <v>139</v>
      </c>
      <c r="B1448" s="121">
        <v>21</v>
      </c>
      <c r="C1448" s="121">
        <v>31</v>
      </c>
      <c r="D1448" s="121">
        <v>4</v>
      </c>
      <c r="E1448" s="121">
        <v>10131</v>
      </c>
    </row>
    <row r="1449" spans="1:5" ht="15">
      <c r="A1449" s="120" t="s">
        <v>139</v>
      </c>
      <c r="B1449" s="121">
        <v>24</v>
      </c>
      <c r="C1449" s="121">
        <v>21</v>
      </c>
      <c r="D1449" s="121">
        <v>2</v>
      </c>
      <c r="E1449" s="121">
        <v>24905</v>
      </c>
    </row>
    <row r="1450" spans="1:5" ht="15">
      <c r="A1450" s="120" t="s">
        <v>139</v>
      </c>
      <c r="B1450" s="121">
        <v>24</v>
      </c>
      <c r="C1450" s="121">
        <v>21</v>
      </c>
      <c r="D1450" s="121">
        <v>4</v>
      </c>
      <c r="E1450" s="121">
        <v>6087</v>
      </c>
    </row>
    <row r="1451" spans="1:5" ht="15">
      <c r="A1451" s="120" t="s">
        <v>139</v>
      </c>
      <c r="B1451" s="121">
        <v>24</v>
      </c>
      <c r="C1451" s="121">
        <v>26</v>
      </c>
      <c r="D1451" s="121">
        <v>2</v>
      </c>
      <c r="E1451" s="121">
        <v>3859</v>
      </c>
    </row>
    <row r="1452" spans="1:5" ht="15">
      <c r="A1452" s="120" t="s">
        <v>139</v>
      </c>
      <c r="B1452" s="121">
        <v>24</v>
      </c>
      <c r="C1452" s="121">
        <v>26</v>
      </c>
      <c r="D1452" s="121">
        <v>4</v>
      </c>
      <c r="E1452" s="121">
        <v>1139</v>
      </c>
    </row>
    <row r="1453" spans="1:5" ht="15">
      <c r="A1453" s="120" t="s">
        <v>139</v>
      </c>
      <c r="B1453" s="121">
        <v>24</v>
      </c>
      <c r="C1453" s="121">
        <v>26</v>
      </c>
      <c r="D1453" s="121">
        <v>5</v>
      </c>
      <c r="E1453" s="121">
        <v>20000</v>
      </c>
    </row>
    <row r="1454" spans="1:5" ht="15">
      <c r="A1454" s="120" t="s">
        <v>139</v>
      </c>
      <c r="B1454" s="121">
        <v>24</v>
      </c>
      <c r="C1454" s="121">
        <v>27</v>
      </c>
      <c r="D1454" s="121">
        <v>2</v>
      </c>
      <c r="E1454" s="121">
        <v>3214</v>
      </c>
    </row>
    <row r="1455" spans="1:5" ht="15">
      <c r="A1455" s="120" t="s">
        <v>139</v>
      </c>
      <c r="B1455" s="121">
        <v>24</v>
      </c>
      <c r="C1455" s="121">
        <v>27</v>
      </c>
      <c r="D1455" s="121">
        <v>3</v>
      </c>
      <c r="E1455" s="121">
        <v>352326</v>
      </c>
    </row>
    <row r="1456" spans="1:5" ht="15">
      <c r="A1456" s="120" t="s">
        <v>139</v>
      </c>
      <c r="B1456" s="121">
        <v>24</v>
      </c>
      <c r="C1456" s="121">
        <v>27</v>
      </c>
      <c r="D1456" s="121">
        <v>4</v>
      </c>
      <c r="E1456" s="121">
        <v>246967</v>
      </c>
    </row>
    <row r="1457" spans="1:5" ht="15">
      <c r="A1457" s="120" t="s">
        <v>139</v>
      </c>
      <c r="B1457" s="121">
        <v>24</v>
      </c>
      <c r="C1457" s="121">
        <v>27</v>
      </c>
      <c r="D1457" s="121">
        <v>5</v>
      </c>
      <c r="E1457" s="121">
        <v>52290</v>
      </c>
    </row>
    <row r="1458" spans="1:5" ht="15">
      <c r="A1458" s="120" t="s">
        <v>139</v>
      </c>
      <c r="B1458" s="121">
        <v>24</v>
      </c>
      <c r="C1458" s="121">
        <v>31</v>
      </c>
      <c r="D1458" s="121">
        <v>2</v>
      </c>
      <c r="E1458" s="121">
        <v>88</v>
      </c>
    </row>
    <row r="1459" spans="1:5" ht="15">
      <c r="A1459" s="120" t="s">
        <v>139</v>
      </c>
      <c r="B1459" s="121">
        <v>24</v>
      </c>
      <c r="C1459" s="121">
        <v>31</v>
      </c>
      <c r="D1459" s="121">
        <v>4</v>
      </c>
      <c r="E1459" s="121">
        <v>14</v>
      </c>
    </row>
    <row r="1460" spans="1:5" ht="15">
      <c r="A1460" s="120" t="s">
        <v>139</v>
      </c>
      <c r="B1460" s="121">
        <v>24</v>
      </c>
      <c r="C1460" s="121">
        <v>31</v>
      </c>
      <c r="D1460" s="121">
        <v>7</v>
      </c>
      <c r="E1460" s="121">
        <v>5450</v>
      </c>
    </row>
    <row r="1461" spans="1:5" ht="15">
      <c r="A1461" s="120" t="s">
        <v>139</v>
      </c>
      <c r="B1461" s="121">
        <v>24</v>
      </c>
      <c r="C1461" s="121">
        <v>31</v>
      </c>
      <c r="D1461" s="121">
        <v>8</v>
      </c>
      <c r="E1461" s="121">
        <v>2000</v>
      </c>
    </row>
    <row r="1462" spans="1:5" ht="15">
      <c r="A1462" s="120" t="s">
        <v>201</v>
      </c>
      <c r="B1462" s="121">
        <v>21</v>
      </c>
      <c r="C1462" s="121">
        <v>29</v>
      </c>
      <c r="D1462" s="121">
        <v>7</v>
      </c>
      <c r="E1462" s="121">
        <v>250255</v>
      </c>
    </row>
    <row r="1463" spans="1:5" ht="15">
      <c r="A1463" s="120" t="s">
        <v>151</v>
      </c>
      <c r="B1463" s="121">
        <v>21</v>
      </c>
      <c r="C1463" s="121">
        <v>21</v>
      </c>
      <c r="D1463" s="121">
        <v>0</v>
      </c>
      <c r="E1463" s="121">
        <v>157</v>
      </c>
    </row>
    <row r="1464" spans="1:5" ht="15">
      <c r="A1464" s="120" t="s">
        <v>151</v>
      </c>
      <c r="B1464" s="121">
        <v>21</v>
      </c>
      <c r="C1464" s="121">
        <v>21</v>
      </c>
      <c r="D1464" s="121">
        <v>2</v>
      </c>
      <c r="E1464" s="121">
        <v>141799</v>
      </c>
    </row>
    <row r="1465" spans="1:5" ht="15">
      <c r="A1465" s="120" t="s">
        <v>151</v>
      </c>
      <c r="B1465" s="121">
        <v>21</v>
      </c>
      <c r="C1465" s="121">
        <v>21</v>
      </c>
      <c r="D1465" s="121">
        <v>3</v>
      </c>
      <c r="E1465" s="121">
        <v>62177</v>
      </c>
    </row>
    <row r="1466" spans="1:5" ht="15">
      <c r="A1466" s="120" t="s">
        <v>151</v>
      </c>
      <c r="B1466" s="121">
        <v>21</v>
      </c>
      <c r="C1466" s="121">
        <v>21</v>
      </c>
      <c r="D1466" s="121">
        <v>4</v>
      </c>
      <c r="E1466" s="121">
        <v>55230</v>
      </c>
    </row>
    <row r="1467" spans="1:5" ht="15">
      <c r="A1467" s="120" t="s">
        <v>151</v>
      </c>
      <c r="B1467" s="121">
        <v>21</v>
      </c>
      <c r="C1467" s="121">
        <v>21</v>
      </c>
      <c r="D1467" s="121">
        <v>5</v>
      </c>
      <c r="E1467" s="121">
        <v>9719</v>
      </c>
    </row>
    <row r="1468" spans="1:5" ht="15">
      <c r="A1468" s="120" t="s">
        <v>151</v>
      </c>
      <c r="B1468" s="121">
        <v>21</v>
      </c>
      <c r="C1468" s="121">
        <v>21</v>
      </c>
      <c r="D1468" s="121">
        <v>7</v>
      </c>
      <c r="E1468" s="121">
        <v>196951</v>
      </c>
    </row>
    <row r="1469" spans="1:5" ht="15">
      <c r="A1469" s="120" t="s">
        <v>151</v>
      </c>
      <c r="B1469" s="121">
        <v>21</v>
      </c>
      <c r="C1469" s="121">
        <v>21</v>
      </c>
      <c r="D1469" s="121">
        <v>8</v>
      </c>
      <c r="E1469" s="121">
        <v>325</v>
      </c>
    </row>
    <row r="1470" spans="1:5" ht="15">
      <c r="A1470" s="120" t="s">
        <v>151</v>
      </c>
      <c r="B1470" s="121">
        <v>21</v>
      </c>
      <c r="C1470" s="121">
        <v>26</v>
      </c>
      <c r="D1470" s="121">
        <v>0</v>
      </c>
      <c r="E1470" s="121">
        <v>200</v>
      </c>
    </row>
    <row r="1471" spans="1:5" ht="15">
      <c r="A1471" s="120" t="s">
        <v>151</v>
      </c>
      <c r="B1471" s="121">
        <v>21</v>
      </c>
      <c r="C1471" s="121">
        <v>26</v>
      </c>
      <c r="D1471" s="121">
        <v>2</v>
      </c>
      <c r="E1471" s="121">
        <v>373003</v>
      </c>
    </row>
    <row r="1472" spans="1:5" ht="15">
      <c r="A1472" s="120" t="s">
        <v>151</v>
      </c>
      <c r="B1472" s="121">
        <v>21</v>
      </c>
      <c r="C1472" s="121">
        <v>26</v>
      </c>
      <c r="D1472" s="121">
        <v>4</v>
      </c>
      <c r="E1472" s="121">
        <v>124487</v>
      </c>
    </row>
    <row r="1473" spans="1:5" ht="15">
      <c r="A1473" s="120" t="s">
        <v>151</v>
      </c>
      <c r="B1473" s="121">
        <v>21</v>
      </c>
      <c r="C1473" s="121">
        <v>26</v>
      </c>
      <c r="D1473" s="121">
        <v>5</v>
      </c>
      <c r="E1473" s="121">
        <v>3185</v>
      </c>
    </row>
    <row r="1474" spans="1:5" ht="15">
      <c r="A1474" s="120" t="s">
        <v>151</v>
      </c>
      <c r="B1474" s="121">
        <v>21</v>
      </c>
      <c r="C1474" s="121">
        <v>26</v>
      </c>
      <c r="D1474" s="121">
        <v>7</v>
      </c>
      <c r="E1474" s="121">
        <v>490300</v>
      </c>
    </row>
    <row r="1475" spans="1:5" ht="15">
      <c r="A1475" s="120" t="s">
        <v>151</v>
      </c>
      <c r="B1475" s="121">
        <v>21</v>
      </c>
      <c r="C1475" s="121">
        <v>26</v>
      </c>
      <c r="D1475" s="121">
        <v>8</v>
      </c>
      <c r="E1475" s="121">
        <v>300</v>
      </c>
    </row>
    <row r="1476" spans="1:5" ht="15">
      <c r="A1476" s="120" t="s">
        <v>151</v>
      </c>
      <c r="B1476" s="121">
        <v>21</v>
      </c>
      <c r="C1476" s="121">
        <v>27</v>
      </c>
      <c r="D1476" s="121">
        <v>0</v>
      </c>
      <c r="E1476" s="121">
        <v>3700</v>
      </c>
    </row>
    <row r="1477" spans="1:5" ht="15">
      <c r="A1477" s="120" t="s">
        <v>151</v>
      </c>
      <c r="B1477" s="121">
        <v>21</v>
      </c>
      <c r="C1477" s="121">
        <v>27</v>
      </c>
      <c r="D1477" s="121">
        <v>2</v>
      </c>
      <c r="E1477" s="121">
        <v>1147554</v>
      </c>
    </row>
    <row r="1478" spans="1:5" ht="15">
      <c r="A1478" s="120" t="s">
        <v>151</v>
      </c>
      <c r="B1478" s="121">
        <v>21</v>
      </c>
      <c r="C1478" s="121">
        <v>27</v>
      </c>
      <c r="D1478" s="121">
        <v>3</v>
      </c>
      <c r="E1478" s="121">
        <v>368542</v>
      </c>
    </row>
    <row r="1479" spans="1:5" ht="15">
      <c r="A1479" s="120" t="s">
        <v>151</v>
      </c>
      <c r="B1479" s="121">
        <v>21</v>
      </c>
      <c r="C1479" s="121">
        <v>27</v>
      </c>
      <c r="D1479" s="121">
        <v>4</v>
      </c>
      <c r="E1479" s="121">
        <v>565750</v>
      </c>
    </row>
    <row r="1480" spans="1:5" ht="15">
      <c r="A1480" s="120" t="s">
        <v>151</v>
      </c>
      <c r="B1480" s="121">
        <v>21</v>
      </c>
      <c r="C1480" s="121">
        <v>27</v>
      </c>
      <c r="D1480" s="121">
        <v>5</v>
      </c>
      <c r="E1480" s="121">
        <v>21950</v>
      </c>
    </row>
    <row r="1481" spans="1:5" ht="15">
      <c r="A1481" s="120" t="s">
        <v>151</v>
      </c>
      <c r="B1481" s="121">
        <v>21</v>
      </c>
      <c r="C1481" s="121">
        <v>27</v>
      </c>
      <c r="D1481" s="121">
        <v>7</v>
      </c>
      <c r="E1481" s="121">
        <v>440300</v>
      </c>
    </row>
    <row r="1482" spans="1:5" ht="15">
      <c r="A1482" s="120" t="s">
        <v>151</v>
      </c>
      <c r="B1482" s="121">
        <v>21</v>
      </c>
      <c r="C1482" s="121">
        <v>31</v>
      </c>
      <c r="D1482" s="121">
        <v>5</v>
      </c>
      <c r="E1482" s="121">
        <v>80</v>
      </c>
    </row>
    <row r="1483" spans="1:5" ht="15">
      <c r="A1483" s="120" t="s">
        <v>151</v>
      </c>
      <c r="B1483" s="121">
        <v>21</v>
      </c>
      <c r="C1483" s="121">
        <v>31</v>
      </c>
      <c r="D1483" s="121">
        <v>7</v>
      </c>
      <c r="E1483" s="121">
        <v>500</v>
      </c>
    </row>
    <row r="1484" spans="1:5" ht="15">
      <c r="A1484" s="120" t="s">
        <v>151</v>
      </c>
      <c r="B1484" s="121">
        <v>21</v>
      </c>
      <c r="C1484" s="121">
        <v>33</v>
      </c>
      <c r="D1484" s="121">
        <v>7</v>
      </c>
      <c r="E1484" s="121">
        <v>1500</v>
      </c>
    </row>
    <row r="1485" spans="1:5" ht="15">
      <c r="A1485" s="120" t="s">
        <v>151</v>
      </c>
      <c r="B1485" s="121">
        <v>21</v>
      </c>
      <c r="C1485" s="121">
        <v>34</v>
      </c>
      <c r="D1485" s="121">
        <v>2</v>
      </c>
      <c r="E1485" s="121">
        <v>22880</v>
      </c>
    </row>
    <row r="1486" spans="1:5" ht="15">
      <c r="A1486" s="120" t="s">
        <v>151</v>
      </c>
      <c r="B1486" s="121">
        <v>21</v>
      </c>
      <c r="C1486" s="121">
        <v>34</v>
      </c>
      <c r="D1486" s="121">
        <v>4</v>
      </c>
      <c r="E1486" s="121">
        <v>3632</v>
      </c>
    </row>
    <row r="1487" spans="1:5" ht="15">
      <c r="A1487" s="120" t="s">
        <v>151</v>
      </c>
      <c r="B1487" s="121">
        <v>24</v>
      </c>
      <c r="C1487" s="121">
        <v>27</v>
      </c>
      <c r="D1487" s="121">
        <v>2</v>
      </c>
      <c r="E1487" s="121">
        <v>13921</v>
      </c>
    </row>
    <row r="1488" spans="1:5" ht="15">
      <c r="A1488" s="120" t="s">
        <v>151</v>
      </c>
      <c r="B1488" s="121">
        <v>24</v>
      </c>
      <c r="C1488" s="121">
        <v>27</v>
      </c>
      <c r="D1488" s="121">
        <v>3</v>
      </c>
      <c r="E1488" s="121">
        <v>263975</v>
      </c>
    </row>
    <row r="1489" spans="1:5" ht="15">
      <c r="A1489" s="120" t="s">
        <v>151</v>
      </c>
      <c r="B1489" s="121">
        <v>24</v>
      </c>
      <c r="C1489" s="121">
        <v>27</v>
      </c>
      <c r="D1489" s="121">
        <v>4</v>
      </c>
      <c r="E1489" s="121">
        <v>163539</v>
      </c>
    </row>
    <row r="1490" spans="1:5" ht="15">
      <c r="A1490" s="120" t="s">
        <v>151</v>
      </c>
      <c r="B1490" s="121">
        <v>24</v>
      </c>
      <c r="C1490" s="121">
        <v>27</v>
      </c>
      <c r="D1490" s="121">
        <v>5</v>
      </c>
      <c r="E1490" s="121">
        <v>6786</v>
      </c>
    </row>
    <row r="1491" spans="1:5" ht="15">
      <c r="A1491" s="120" t="s">
        <v>247</v>
      </c>
      <c r="B1491" s="121">
        <v>21</v>
      </c>
      <c r="C1491" s="121">
        <v>21</v>
      </c>
      <c r="D1491" s="121">
        <v>2</v>
      </c>
      <c r="E1491" s="121">
        <v>37180</v>
      </c>
    </row>
    <row r="1492" spans="1:5" ht="15">
      <c r="A1492" s="120" t="s">
        <v>247</v>
      </c>
      <c r="B1492" s="121">
        <v>21</v>
      </c>
      <c r="C1492" s="121">
        <v>21</v>
      </c>
      <c r="D1492" s="121">
        <v>3</v>
      </c>
      <c r="E1492" s="121">
        <v>20180</v>
      </c>
    </row>
    <row r="1493" spans="1:5" ht="15">
      <c r="A1493" s="120" t="s">
        <v>247</v>
      </c>
      <c r="B1493" s="121">
        <v>21</v>
      </c>
      <c r="C1493" s="121">
        <v>21</v>
      </c>
      <c r="D1493" s="121">
        <v>4</v>
      </c>
      <c r="E1493" s="121">
        <v>17563</v>
      </c>
    </row>
    <row r="1494" spans="1:5" ht="15">
      <c r="A1494" s="120" t="s">
        <v>247</v>
      </c>
      <c r="B1494" s="121">
        <v>21</v>
      </c>
      <c r="C1494" s="121">
        <v>25</v>
      </c>
      <c r="D1494" s="121">
        <v>3</v>
      </c>
      <c r="E1494" s="121">
        <v>14541</v>
      </c>
    </row>
    <row r="1495" spans="1:5" ht="15">
      <c r="A1495" s="120" t="s">
        <v>247</v>
      </c>
      <c r="B1495" s="121">
        <v>21</v>
      </c>
      <c r="C1495" s="121">
        <v>25</v>
      </c>
      <c r="D1495" s="121">
        <v>4</v>
      </c>
      <c r="E1495" s="121">
        <v>9128</v>
      </c>
    </row>
    <row r="1496" spans="1:5" ht="15">
      <c r="A1496" s="120" t="s">
        <v>247</v>
      </c>
      <c r="B1496" s="121">
        <v>21</v>
      </c>
      <c r="C1496" s="121">
        <v>26</v>
      </c>
      <c r="D1496" s="121">
        <v>3</v>
      </c>
      <c r="E1496" s="121">
        <v>40478</v>
      </c>
    </row>
    <row r="1497" spans="1:5" ht="15">
      <c r="A1497" s="120" t="s">
        <v>247</v>
      </c>
      <c r="B1497" s="121">
        <v>21</v>
      </c>
      <c r="C1497" s="121">
        <v>26</v>
      </c>
      <c r="D1497" s="121">
        <v>4</v>
      </c>
      <c r="E1497" s="121">
        <v>22727</v>
      </c>
    </row>
    <row r="1498" spans="1:5" ht="15">
      <c r="A1498" s="120" t="s">
        <v>247</v>
      </c>
      <c r="B1498" s="121">
        <v>21</v>
      </c>
      <c r="C1498" s="121">
        <v>26</v>
      </c>
      <c r="D1498" s="121">
        <v>7</v>
      </c>
      <c r="E1498" s="121">
        <v>287000</v>
      </c>
    </row>
    <row r="1499" spans="1:5" ht="15">
      <c r="A1499" s="120" t="s">
        <v>247</v>
      </c>
      <c r="B1499" s="121">
        <v>21</v>
      </c>
      <c r="C1499" s="121">
        <v>27</v>
      </c>
      <c r="D1499" s="121">
        <v>2</v>
      </c>
      <c r="E1499" s="121">
        <v>274343</v>
      </c>
    </row>
    <row r="1500" spans="1:5" ht="15">
      <c r="A1500" s="120" t="s">
        <v>247</v>
      </c>
      <c r="B1500" s="121">
        <v>21</v>
      </c>
      <c r="C1500" s="121">
        <v>27</v>
      </c>
      <c r="D1500" s="121">
        <v>3</v>
      </c>
      <c r="E1500" s="121">
        <v>97958</v>
      </c>
    </row>
    <row r="1501" spans="1:5" ht="15">
      <c r="A1501" s="120" t="s">
        <v>247</v>
      </c>
      <c r="B1501" s="121">
        <v>21</v>
      </c>
      <c r="C1501" s="121">
        <v>27</v>
      </c>
      <c r="D1501" s="121">
        <v>4</v>
      </c>
      <c r="E1501" s="121">
        <v>151924</v>
      </c>
    </row>
    <row r="1502" spans="1:5" ht="15">
      <c r="A1502" s="120" t="s">
        <v>247</v>
      </c>
      <c r="B1502" s="121">
        <v>21</v>
      </c>
      <c r="C1502" s="121">
        <v>27</v>
      </c>
      <c r="D1502" s="121">
        <v>5</v>
      </c>
      <c r="E1502" s="121">
        <v>5500</v>
      </c>
    </row>
    <row r="1503" spans="1:5" ht="15">
      <c r="A1503" s="120" t="s">
        <v>247</v>
      </c>
      <c r="B1503" s="121">
        <v>21</v>
      </c>
      <c r="C1503" s="121">
        <v>27</v>
      </c>
      <c r="D1503" s="121">
        <v>7</v>
      </c>
      <c r="E1503" s="121">
        <v>30000</v>
      </c>
    </row>
    <row r="1504" spans="1:5" ht="15">
      <c r="A1504" s="120" t="s">
        <v>247</v>
      </c>
      <c r="B1504" s="121">
        <v>21</v>
      </c>
      <c r="C1504" s="121">
        <v>31</v>
      </c>
      <c r="D1504" s="121">
        <v>7</v>
      </c>
      <c r="E1504" s="121">
        <v>5000</v>
      </c>
    </row>
    <row r="1505" spans="1:5" ht="15">
      <c r="A1505" s="120" t="s">
        <v>247</v>
      </c>
      <c r="B1505" s="121">
        <v>21</v>
      </c>
      <c r="C1505" s="121">
        <v>33</v>
      </c>
      <c r="D1505" s="121">
        <v>5</v>
      </c>
      <c r="E1505" s="121">
        <v>500</v>
      </c>
    </row>
    <row r="1506" spans="1:5" ht="15">
      <c r="A1506" s="120" t="s">
        <v>247</v>
      </c>
      <c r="B1506" s="121">
        <v>24</v>
      </c>
      <c r="C1506" s="121">
        <v>27</v>
      </c>
      <c r="D1506" s="121">
        <v>3</v>
      </c>
      <c r="E1506" s="121">
        <v>53708</v>
      </c>
    </row>
    <row r="1507" spans="1:5" ht="15">
      <c r="A1507" s="120" t="s">
        <v>247</v>
      </c>
      <c r="B1507" s="121">
        <v>24</v>
      </c>
      <c r="C1507" s="121">
        <v>27</v>
      </c>
      <c r="D1507" s="121">
        <v>4</v>
      </c>
      <c r="E1507" s="121">
        <v>41119</v>
      </c>
    </row>
    <row r="1508" spans="1:5" ht="15">
      <c r="A1508" s="120" t="s">
        <v>247</v>
      </c>
      <c r="B1508" s="121">
        <v>24</v>
      </c>
      <c r="C1508" s="121">
        <v>27</v>
      </c>
      <c r="D1508" s="121">
        <v>5</v>
      </c>
      <c r="E1508" s="121">
        <v>17000</v>
      </c>
    </row>
    <row r="1509" spans="1:5" ht="15">
      <c r="A1509" s="120" t="s">
        <v>177</v>
      </c>
      <c r="B1509" s="121">
        <v>21</v>
      </c>
      <c r="C1509" s="121">
        <v>21</v>
      </c>
      <c r="D1509" s="121">
        <v>2</v>
      </c>
      <c r="E1509" s="121">
        <v>93396</v>
      </c>
    </row>
    <row r="1510" spans="1:5" ht="15">
      <c r="A1510" s="120" t="s">
        <v>177</v>
      </c>
      <c r="B1510" s="121">
        <v>21</v>
      </c>
      <c r="C1510" s="121">
        <v>21</v>
      </c>
      <c r="D1510" s="121">
        <v>3</v>
      </c>
      <c r="E1510" s="121">
        <v>12100</v>
      </c>
    </row>
    <row r="1511" spans="1:5" ht="15">
      <c r="A1511" s="120" t="s">
        <v>177</v>
      </c>
      <c r="B1511" s="121">
        <v>21</v>
      </c>
      <c r="C1511" s="121">
        <v>21</v>
      </c>
      <c r="D1511" s="121">
        <v>4</v>
      </c>
      <c r="E1511" s="121">
        <v>35657</v>
      </c>
    </row>
    <row r="1512" spans="1:5" ht="15">
      <c r="A1512" s="120" t="s">
        <v>177</v>
      </c>
      <c r="B1512" s="121">
        <v>21</v>
      </c>
      <c r="C1512" s="121">
        <v>26</v>
      </c>
      <c r="D1512" s="121">
        <v>2</v>
      </c>
      <c r="E1512" s="121">
        <v>226157</v>
      </c>
    </row>
    <row r="1513" spans="1:5" ht="15">
      <c r="A1513" s="120" t="s">
        <v>177</v>
      </c>
      <c r="B1513" s="121">
        <v>21</v>
      </c>
      <c r="C1513" s="121">
        <v>26</v>
      </c>
      <c r="D1513" s="121">
        <v>4</v>
      </c>
      <c r="E1513" s="121">
        <v>65883</v>
      </c>
    </row>
    <row r="1514" spans="1:5" ht="15">
      <c r="A1514" s="120" t="s">
        <v>177</v>
      </c>
      <c r="B1514" s="121">
        <v>21</v>
      </c>
      <c r="C1514" s="121">
        <v>27</v>
      </c>
      <c r="D1514" s="121">
        <v>2</v>
      </c>
      <c r="E1514" s="121">
        <v>462825</v>
      </c>
    </row>
    <row r="1515" spans="1:5" ht="15">
      <c r="A1515" s="120" t="s">
        <v>177</v>
      </c>
      <c r="B1515" s="121">
        <v>21</v>
      </c>
      <c r="C1515" s="121">
        <v>27</v>
      </c>
      <c r="D1515" s="121">
        <v>3</v>
      </c>
      <c r="E1515" s="121">
        <v>125115</v>
      </c>
    </row>
    <row r="1516" spans="1:5" ht="15">
      <c r="A1516" s="120" t="s">
        <v>177</v>
      </c>
      <c r="B1516" s="121">
        <v>21</v>
      </c>
      <c r="C1516" s="121">
        <v>27</v>
      </c>
      <c r="D1516" s="121">
        <v>4</v>
      </c>
      <c r="E1516" s="121">
        <v>253467</v>
      </c>
    </row>
    <row r="1517" spans="1:5" ht="15">
      <c r="A1517" s="120" t="s">
        <v>177</v>
      </c>
      <c r="B1517" s="121">
        <v>21</v>
      </c>
      <c r="C1517" s="121">
        <v>27</v>
      </c>
      <c r="D1517" s="121">
        <v>7</v>
      </c>
      <c r="E1517" s="121">
        <v>446128</v>
      </c>
    </row>
    <row r="1518" spans="1:5" ht="15">
      <c r="A1518" s="120" t="s">
        <v>177</v>
      </c>
      <c r="B1518" s="121">
        <v>21</v>
      </c>
      <c r="C1518" s="121">
        <v>31</v>
      </c>
      <c r="D1518" s="121">
        <v>2</v>
      </c>
      <c r="E1518" s="121">
        <v>750</v>
      </c>
    </row>
    <row r="1519" spans="1:5" ht="15">
      <c r="A1519" s="120" t="s">
        <v>177</v>
      </c>
      <c r="B1519" s="121">
        <v>21</v>
      </c>
      <c r="C1519" s="121">
        <v>31</v>
      </c>
      <c r="D1519" s="121">
        <v>4</v>
      </c>
      <c r="E1519" s="121">
        <v>279</v>
      </c>
    </row>
    <row r="1520" spans="1:5" ht="15">
      <c r="A1520" s="120" t="s">
        <v>177</v>
      </c>
      <c r="B1520" s="121">
        <v>24</v>
      </c>
      <c r="C1520" s="121">
        <v>27</v>
      </c>
      <c r="D1520" s="121">
        <v>2</v>
      </c>
      <c r="E1520" s="121">
        <v>1500</v>
      </c>
    </row>
    <row r="1521" spans="1:5" ht="15">
      <c r="A1521" s="120" t="s">
        <v>177</v>
      </c>
      <c r="B1521" s="121">
        <v>24</v>
      </c>
      <c r="C1521" s="121">
        <v>27</v>
      </c>
      <c r="D1521" s="121">
        <v>3</v>
      </c>
      <c r="E1521" s="121">
        <v>131862</v>
      </c>
    </row>
    <row r="1522" spans="1:5" ht="15">
      <c r="A1522" s="120" t="s">
        <v>177</v>
      </c>
      <c r="B1522" s="121">
        <v>24</v>
      </c>
      <c r="C1522" s="121">
        <v>27</v>
      </c>
      <c r="D1522" s="121">
        <v>4</v>
      </c>
      <c r="E1522" s="121">
        <v>82783</v>
      </c>
    </row>
    <row r="1523" spans="1:5" ht="15">
      <c r="A1523" s="120" t="s">
        <v>177</v>
      </c>
      <c r="B1523" s="121">
        <v>24</v>
      </c>
      <c r="C1523" s="121">
        <v>27</v>
      </c>
      <c r="D1523" s="121">
        <v>5</v>
      </c>
      <c r="E1523" s="121">
        <v>55204</v>
      </c>
    </row>
    <row r="1524" spans="1:5" ht="15">
      <c r="A1524" s="120" t="s">
        <v>203</v>
      </c>
      <c r="B1524" s="121">
        <v>21</v>
      </c>
      <c r="C1524" s="121">
        <v>26</v>
      </c>
      <c r="D1524" s="121">
        <v>7</v>
      </c>
      <c r="E1524" s="121">
        <v>240000</v>
      </c>
    </row>
    <row r="1525" spans="1:5" ht="15">
      <c r="A1525" s="120" t="s">
        <v>203</v>
      </c>
      <c r="B1525" s="121">
        <v>21</v>
      </c>
      <c r="C1525" s="121">
        <v>27</v>
      </c>
      <c r="D1525" s="121">
        <v>0</v>
      </c>
      <c r="E1525" s="121">
        <v>10000</v>
      </c>
    </row>
    <row r="1526" spans="1:5" ht="15">
      <c r="A1526" s="120" t="s">
        <v>203</v>
      </c>
      <c r="B1526" s="121">
        <v>21</v>
      </c>
      <c r="C1526" s="121">
        <v>27</v>
      </c>
      <c r="D1526" s="121">
        <v>2</v>
      </c>
      <c r="E1526" s="121">
        <v>284497</v>
      </c>
    </row>
    <row r="1527" spans="1:5" ht="15">
      <c r="A1527" s="120" t="s">
        <v>203</v>
      </c>
      <c r="B1527" s="121">
        <v>21</v>
      </c>
      <c r="C1527" s="121">
        <v>27</v>
      </c>
      <c r="D1527" s="121">
        <v>3</v>
      </c>
      <c r="E1527" s="121">
        <v>310165</v>
      </c>
    </row>
    <row r="1528" spans="1:5" ht="15">
      <c r="A1528" s="120" t="s">
        <v>203</v>
      </c>
      <c r="B1528" s="121">
        <v>21</v>
      </c>
      <c r="C1528" s="121">
        <v>27</v>
      </c>
      <c r="D1528" s="121">
        <v>4</v>
      </c>
      <c r="E1528" s="121">
        <v>266821</v>
      </c>
    </row>
    <row r="1529" spans="1:5" ht="15">
      <c r="A1529" s="120" t="s">
        <v>203</v>
      </c>
      <c r="B1529" s="121">
        <v>21</v>
      </c>
      <c r="C1529" s="121">
        <v>27</v>
      </c>
      <c r="D1529" s="121">
        <v>5</v>
      </c>
      <c r="E1529" s="121">
        <v>3599</v>
      </c>
    </row>
    <row r="1530" spans="1:5" ht="15">
      <c r="A1530" s="120" t="s">
        <v>203</v>
      </c>
      <c r="B1530" s="121">
        <v>21</v>
      </c>
      <c r="C1530" s="121">
        <v>29</v>
      </c>
      <c r="D1530" s="121">
        <v>7</v>
      </c>
      <c r="E1530" s="121">
        <v>354011</v>
      </c>
    </row>
    <row r="1531" spans="1:5" ht="15">
      <c r="A1531" s="120" t="s">
        <v>203</v>
      </c>
      <c r="B1531" s="121">
        <v>24</v>
      </c>
      <c r="C1531" s="121">
        <v>26</v>
      </c>
      <c r="D1531" s="121">
        <v>7</v>
      </c>
      <c r="E1531" s="121">
        <v>103343</v>
      </c>
    </row>
    <row r="1532" spans="1:5" ht="15">
      <c r="A1532" s="120" t="s">
        <v>249</v>
      </c>
      <c r="B1532" s="121">
        <v>21</v>
      </c>
      <c r="C1532" s="121">
        <v>29</v>
      </c>
      <c r="D1532" s="121">
        <v>7</v>
      </c>
      <c r="E1532" s="121">
        <v>120579</v>
      </c>
    </row>
    <row r="1533" spans="1:5" ht="15">
      <c r="A1533" s="120" t="s">
        <v>153</v>
      </c>
      <c r="B1533" s="121">
        <v>21</v>
      </c>
      <c r="C1533" s="121">
        <v>26</v>
      </c>
      <c r="D1533" s="121">
        <v>7</v>
      </c>
      <c r="E1533" s="121">
        <v>6000</v>
      </c>
    </row>
    <row r="1534" spans="1:5" ht="15">
      <c r="A1534" s="120" t="s">
        <v>153</v>
      </c>
      <c r="B1534" s="121">
        <v>21</v>
      </c>
      <c r="C1534" s="121">
        <v>27</v>
      </c>
      <c r="D1534" s="121">
        <v>2</v>
      </c>
      <c r="E1534" s="121">
        <v>96691</v>
      </c>
    </row>
    <row r="1535" spans="1:5" ht="15">
      <c r="A1535" s="120" t="s">
        <v>153</v>
      </c>
      <c r="B1535" s="121">
        <v>21</v>
      </c>
      <c r="C1535" s="121">
        <v>27</v>
      </c>
      <c r="D1535" s="121">
        <v>3</v>
      </c>
      <c r="E1535" s="121">
        <v>48115</v>
      </c>
    </row>
    <row r="1536" spans="1:5" ht="15">
      <c r="A1536" s="120" t="s">
        <v>153</v>
      </c>
      <c r="B1536" s="121">
        <v>21</v>
      </c>
      <c r="C1536" s="121">
        <v>27</v>
      </c>
      <c r="D1536" s="121">
        <v>4</v>
      </c>
      <c r="E1536" s="121">
        <v>66585</v>
      </c>
    </row>
    <row r="1537" spans="1:5" ht="15">
      <c r="A1537" s="120" t="s">
        <v>153</v>
      </c>
      <c r="B1537" s="121">
        <v>21</v>
      </c>
      <c r="C1537" s="121">
        <v>27</v>
      </c>
      <c r="D1537" s="121">
        <v>5</v>
      </c>
      <c r="E1537" s="121">
        <v>1000</v>
      </c>
    </row>
    <row r="1538" spans="1:5" ht="15">
      <c r="A1538" s="120" t="s">
        <v>153</v>
      </c>
      <c r="B1538" s="121">
        <v>21</v>
      </c>
      <c r="C1538" s="121">
        <v>27</v>
      </c>
      <c r="D1538" s="121">
        <v>7</v>
      </c>
      <c r="E1538" s="121">
        <v>18250</v>
      </c>
    </row>
    <row r="1539" spans="1:5" ht="15">
      <c r="A1539" s="120" t="s">
        <v>153</v>
      </c>
      <c r="B1539" s="121">
        <v>21</v>
      </c>
      <c r="C1539" s="121">
        <v>27</v>
      </c>
      <c r="D1539" s="121">
        <v>8</v>
      </c>
      <c r="E1539" s="121">
        <v>200</v>
      </c>
    </row>
    <row r="1540" spans="1:5" ht="15">
      <c r="A1540" s="120" t="s">
        <v>273</v>
      </c>
      <c r="B1540" s="121">
        <v>21</v>
      </c>
      <c r="C1540" s="121">
        <v>21</v>
      </c>
      <c r="D1540" s="121">
        <v>0</v>
      </c>
      <c r="E1540" s="121">
        <v>1200</v>
      </c>
    </row>
    <row r="1541" spans="1:5" ht="15">
      <c r="A1541" s="120" t="s">
        <v>273</v>
      </c>
      <c r="B1541" s="121">
        <v>21</v>
      </c>
      <c r="C1541" s="121">
        <v>21</v>
      </c>
      <c r="D1541" s="121">
        <v>2</v>
      </c>
      <c r="E1541" s="121">
        <v>614209</v>
      </c>
    </row>
    <row r="1542" spans="1:5" ht="15">
      <c r="A1542" s="120" t="s">
        <v>273</v>
      </c>
      <c r="B1542" s="121">
        <v>21</v>
      </c>
      <c r="C1542" s="121">
        <v>21</v>
      </c>
      <c r="D1542" s="121">
        <v>3</v>
      </c>
      <c r="E1542" s="121">
        <v>157073</v>
      </c>
    </row>
    <row r="1543" spans="1:5" ht="15">
      <c r="A1543" s="120" t="s">
        <v>273</v>
      </c>
      <c r="B1543" s="121">
        <v>21</v>
      </c>
      <c r="C1543" s="121">
        <v>21</v>
      </c>
      <c r="D1543" s="121">
        <v>4</v>
      </c>
      <c r="E1543" s="121">
        <v>219127</v>
      </c>
    </row>
    <row r="1544" spans="1:5" ht="15">
      <c r="A1544" s="120" t="s">
        <v>273</v>
      </c>
      <c r="B1544" s="121">
        <v>21</v>
      </c>
      <c r="C1544" s="121">
        <v>21</v>
      </c>
      <c r="D1544" s="121">
        <v>7</v>
      </c>
      <c r="E1544" s="121">
        <v>6650</v>
      </c>
    </row>
    <row r="1545" spans="1:5" ht="15">
      <c r="A1545" s="120" t="s">
        <v>273</v>
      </c>
      <c r="B1545" s="121">
        <v>21</v>
      </c>
      <c r="C1545" s="121">
        <v>21</v>
      </c>
      <c r="D1545" s="121">
        <v>8</v>
      </c>
      <c r="E1545" s="121">
        <v>300</v>
      </c>
    </row>
    <row r="1546" spans="1:5" ht="15">
      <c r="A1546" s="120" t="s">
        <v>273</v>
      </c>
      <c r="B1546" s="121">
        <v>21</v>
      </c>
      <c r="C1546" s="121">
        <v>23</v>
      </c>
      <c r="D1546" s="121">
        <v>3</v>
      </c>
      <c r="E1546" s="121">
        <v>996</v>
      </c>
    </row>
    <row r="1547" spans="1:5" ht="15">
      <c r="A1547" s="120" t="s">
        <v>273</v>
      </c>
      <c r="B1547" s="121">
        <v>21</v>
      </c>
      <c r="C1547" s="121">
        <v>23</v>
      </c>
      <c r="D1547" s="121">
        <v>4</v>
      </c>
      <c r="E1547" s="121">
        <v>179</v>
      </c>
    </row>
    <row r="1548" spans="1:5" ht="15">
      <c r="A1548" s="120" t="s">
        <v>273</v>
      </c>
      <c r="B1548" s="121">
        <v>21</v>
      </c>
      <c r="C1548" s="121">
        <v>26</v>
      </c>
      <c r="D1548" s="121">
        <v>2</v>
      </c>
      <c r="E1548" s="121">
        <v>2517328</v>
      </c>
    </row>
    <row r="1549" spans="1:5" ht="15">
      <c r="A1549" s="120" t="s">
        <v>273</v>
      </c>
      <c r="B1549" s="121">
        <v>21</v>
      </c>
      <c r="C1549" s="121">
        <v>26</v>
      </c>
      <c r="D1549" s="121">
        <v>3</v>
      </c>
      <c r="E1549" s="121">
        <v>201330</v>
      </c>
    </row>
    <row r="1550" spans="1:5" ht="15">
      <c r="A1550" s="120" t="s">
        <v>273</v>
      </c>
      <c r="B1550" s="121">
        <v>21</v>
      </c>
      <c r="C1550" s="121">
        <v>26</v>
      </c>
      <c r="D1550" s="121">
        <v>4</v>
      </c>
      <c r="E1550" s="121">
        <v>909976</v>
      </c>
    </row>
    <row r="1551" spans="1:5" ht="15">
      <c r="A1551" s="120" t="s">
        <v>273</v>
      </c>
      <c r="B1551" s="121">
        <v>21</v>
      </c>
      <c r="C1551" s="121">
        <v>26</v>
      </c>
      <c r="D1551" s="121">
        <v>5</v>
      </c>
      <c r="E1551" s="121">
        <v>7200</v>
      </c>
    </row>
    <row r="1552" spans="1:5" ht="15">
      <c r="A1552" s="120" t="s">
        <v>273</v>
      </c>
      <c r="B1552" s="121">
        <v>21</v>
      </c>
      <c r="C1552" s="121">
        <v>26</v>
      </c>
      <c r="D1552" s="121">
        <v>7</v>
      </c>
      <c r="E1552" s="121">
        <v>20250</v>
      </c>
    </row>
    <row r="1553" spans="1:5" ht="15">
      <c r="A1553" s="120" t="s">
        <v>273</v>
      </c>
      <c r="B1553" s="121">
        <v>21</v>
      </c>
      <c r="C1553" s="121">
        <v>26</v>
      </c>
      <c r="D1553" s="121">
        <v>8</v>
      </c>
      <c r="E1553" s="121">
        <v>1100</v>
      </c>
    </row>
    <row r="1554" spans="1:5" ht="15">
      <c r="A1554" s="120" t="s">
        <v>273</v>
      </c>
      <c r="B1554" s="121">
        <v>21</v>
      </c>
      <c r="C1554" s="121">
        <v>27</v>
      </c>
      <c r="D1554" s="121">
        <v>0</v>
      </c>
      <c r="E1554" s="121">
        <v>975</v>
      </c>
    </row>
    <row r="1555" spans="1:5" ht="15">
      <c r="A1555" s="120" t="s">
        <v>273</v>
      </c>
      <c r="B1555" s="121">
        <v>21</v>
      </c>
      <c r="C1555" s="121">
        <v>27</v>
      </c>
      <c r="D1555" s="121">
        <v>2</v>
      </c>
      <c r="E1555" s="121">
        <v>4448939</v>
      </c>
    </row>
    <row r="1556" spans="1:5" ht="15">
      <c r="A1556" s="120" t="s">
        <v>273</v>
      </c>
      <c r="B1556" s="121">
        <v>21</v>
      </c>
      <c r="C1556" s="121">
        <v>27</v>
      </c>
      <c r="D1556" s="121">
        <v>3</v>
      </c>
      <c r="E1556" s="121">
        <v>3771666</v>
      </c>
    </row>
    <row r="1557" spans="1:5" ht="15">
      <c r="A1557" s="120" t="s">
        <v>273</v>
      </c>
      <c r="B1557" s="121">
        <v>21</v>
      </c>
      <c r="C1557" s="121">
        <v>27</v>
      </c>
      <c r="D1557" s="121">
        <v>4</v>
      </c>
      <c r="E1557" s="121">
        <v>3952776</v>
      </c>
    </row>
    <row r="1558" spans="1:5" ht="15">
      <c r="A1558" s="120" t="s">
        <v>273</v>
      </c>
      <c r="B1558" s="121">
        <v>21</v>
      </c>
      <c r="C1558" s="121">
        <v>27</v>
      </c>
      <c r="D1558" s="121">
        <v>5</v>
      </c>
      <c r="E1558" s="121">
        <v>5289</v>
      </c>
    </row>
    <row r="1559" spans="1:5" ht="15">
      <c r="A1559" s="120" t="s">
        <v>273</v>
      </c>
      <c r="B1559" s="121">
        <v>21</v>
      </c>
      <c r="C1559" s="121">
        <v>27</v>
      </c>
      <c r="D1559" s="121">
        <v>7</v>
      </c>
      <c r="E1559" s="121">
        <v>1480081</v>
      </c>
    </row>
    <row r="1560" spans="1:5" ht="15">
      <c r="A1560" s="120" t="s">
        <v>273</v>
      </c>
      <c r="B1560" s="121">
        <v>21</v>
      </c>
      <c r="C1560" s="121">
        <v>29</v>
      </c>
      <c r="D1560" s="121">
        <v>7</v>
      </c>
      <c r="E1560" s="121">
        <v>1308254</v>
      </c>
    </row>
    <row r="1561" spans="1:5" ht="15">
      <c r="A1561" s="120" t="s">
        <v>273</v>
      </c>
      <c r="B1561" s="121">
        <v>21</v>
      </c>
      <c r="C1561" s="121">
        <v>31</v>
      </c>
      <c r="D1561" s="121">
        <v>2</v>
      </c>
      <c r="E1561" s="121">
        <v>50714</v>
      </c>
    </row>
    <row r="1562" spans="1:5" ht="15">
      <c r="A1562" s="120" t="s">
        <v>273</v>
      </c>
      <c r="B1562" s="121">
        <v>21</v>
      </c>
      <c r="C1562" s="121">
        <v>31</v>
      </c>
      <c r="D1562" s="121">
        <v>4</v>
      </c>
      <c r="E1562" s="121">
        <v>5880</v>
      </c>
    </row>
    <row r="1563" spans="1:5" ht="15">
      <c r="A1563" s="120" t="s">
        <v>273</v>
      </c>
      <c r="B1563" s="121">
        <v>21</v>
      </c>
      <c r="C1563" s="121">
        <v>31</v>
      </c>
      <c r="D1563" s="121">
        <v>5</v>
      </c>
      <c r="E1563" s="121">
        <v>500</v>
      </c>
    </row>
    <row r="1564" spans="1:5" ht="15">
      <c r="A1564" s="120" t="s">
        <v>273</v>
      </c>
      <c r="B1564" s="121">
        <v>21</v>
      </c>
      <c r="C1564" s="121">
        <v>31</v>
      </c>
      <c r="D1564" s="121">
        <v>7</v>
      </c>
      <c r="E1564" s="121">
        <v>3000</v>
      </c>
    </row>
    <row r="1565" spans="1:5" ht="15">
      <c r="A1565" s="120" t="s">
        <v>273</v>
      </c>
      <c r="B1565" s="121">
        <v>21</v>
      </c>
      <c r="C1565" s="121">
        <v>31</v>
      </c>
      <c r="D1565" s="121">
        <v>8</v>
      </c>
      <c r="E1565" s="121">
        <v>1000</v>
      </c>
    </row>
    <row r="1566" spans="1:5" ht="15">
      <c r="A1566" s="120" t="s">
        <v>273</v>
      </c>
      <c r="B1566" s="121">
        <v>21</v>
      </c>
      <c r="C1566" s="121">
        <v>32</v>
      </c>
      <c r="D1566" s="121">
        <v>5</v>
      </c>
      <c r="E1566" s="121">
        <v>7500</v>
      </c>
    </row>
    <row r="1567" spans="1:5" ht="15">
      <c r="A1567" s="120" t="s">
        <v>273</v>
      </c>
      <c r="B1567" s="121">
        <v>21</v>
      </c>
      <c r="C1567" s="121">
        <v>34</v>
      </c>
      <c r="D1567" s="121">
        <v>2</v>
      </c>
      <c r="E1567" s="121">
        <v>107277</v>
      </c>
    </row>
    <row r="1568" spans="1:5" ht="15">
      <c r="A1568" s="120" t="s">
        <v>273</v>
      </c>
      <c r="B1568" s="121">
        <v>21</v>
      </c>
      <c r="C1568" s="121">
        <v>34</v>
      </c>
      <c r="D1568" s="121">
        <v>4</v>
      </c>
      <c r="E1568" s="121">
        <v>8705</v>
      </c>
    </row>
    <row r="1569" spans="1:5" ht="15">
      <c r="A1569" s="120" t="s">
        <v>153</v>
      </c>
      <c r="B1569" s="121">
        <v>24</v>
      </c>
      <c r="C1569" s="121">
        <v>26</v>
      </c>
      <c r="D1569" s="121">
        <v>7</v>
      </c>
      <c r="E1569" s="121">
        <v>20000</v>
      </c>
    </row>
    <row r="1570" spans="1:5" ht="15">
      <c r="A1570" s="120" t="s">
        <v>273</v>
      </c>
      <c r="B1570" s="121">
        <v>24</v>
      </c>
      <c r="C1570" s="121">
        <v>27</v>
      </c>
      <c r="D1570" s="121">
        <v>2</v>
      </c>
      <c r="E1570" s="121">
        <v>1205183</v>
      </c>
    </row>
    <row r="1571" spans="1:5" ht="15">
      <c r="A1571" s="120" t="s">
        <v>273</v>
      </c>
      <c r="B1571" s="121">
        <v>24</v>
      </c>
      <c r="C1571" s="121">
        <v>27</v>
      </c>
      <c r="D1571" s="121">
        <v>3</v>
      </c>
      <c r="E1571" s="121">
        <v>44766</v>
      </c>
    </row>
    <row r="1572" spans="1:5" ht="15">
      <c r="A1572" s="120" t="s">
        <v>273</v>
      </c>
      <c r="B1572" s="121">
        <v>24</v>
      </c>
      <c r="C1572" s="121">
        <v>27</v>
      </c>
      <c r="D1572" s="121">
        <v>4</v>
      </c>
      <c r="E1572" s="121">
        <v>414491</v>
      </c>
    </row>
    <row r="1573" spans="1:5" ht="15">
      <c r="A1573" s="120" t="s">
        <v>273</v>
      </c>
      <c r="B1573" s="121">
        <v>24</v>
      </c>
      <c r="C1573" s="121">
        <v>31</v>
      </c>
      <c r="D1573" s="121">
        <v>2</v>
      </c>
      <c r="E1573" s="121">
        <v>19837</v>
      </c>
    </row>
    <row r="1574" spans="1:5" ht="15">
      <c r="A1574" s="120" t="s">
        <v>273</v>
      </c>
      <c r="B1574" s="121">
        <v>24</v>
      </c>
      <c r="C1574" s="121">
        <v>31</v>
      </c>
      <c r="D1574" s="121">
        <v>4</v>
      </c>
      <c r="E1574" s="121">
        <v>1609</v>
      </c>
    </row>
    <row r="1575" spans="1:5" ht="15">
      <c r="A1575" s="120" t="s">
        <v>179</v>
      </c>
      <c r="B1575" s="121">
        <v>21</v>
      </c>
      <c r="C1575" s="121">
        <v>21</v>
      </c>
      <c r="D1575" s="121">
        <v>2</v>
      </c>
      <c r="E1575" s="121">
        <v>445595</v>
      </c>
    </row>
    <row r="1576" spans="1:5" ht="15">
      <c r="A1576" s="120" t="s">
        <v>179</v>
      </c>
      <c r="B1576" s="121">
        <v>21</v>
      </c>
      <c r="C1576" s="121">
        <v>21</v>
      </c>
      <c r="D1576" s="121">
        <v>3</v>
      </c>
      <c r="E1576" s="121">
        <v>149677</v>
      </c>
    </row>
    <row r="1577" spans="1:5" ht="15">
      <c r="A1577" s="120" t="s">
        <v>179</v>
      </c>
      <c r="B1577" s="121">
        <v>21</v>
      </c>
      <c r="C1577" s="121">
        <v>21</v>
      </c>
      <c r="D1577" s="121">
        <v>4</v>
      </c>
      <c r="E1577" s="121">
        <v>168390</v>
      </c>
    </row>
    <row r="1578" spans="1:5" ht="15">
      <c r="A1578" s="120" t="s">
        <v>179</v>
      </c>
      <c r="B1578" s="121">
        <v>21</v>
      </c>
      <c r="C1578" s="121">
        <v>21</v>
      </c>
      <c r="D1578" s="121">
        <v>5</v>
      </c>
      <c r="E1578" s="121">
        <v>5000</v>
      </c>
    </row>
    <row r="1579" spans="1:5" ht="15">
      <c r="A1579" s="120" t="s">
        <v>179</v>
      </c>
      <c r="B1579" s="121">
        <v>21</v>
      </c>
      <c r="C1579" s="121">
        <v>21</v>
      </c>
      <c r="D1579" s="121">
        <v>7</v>
      </c>
      <c r="E1579" s="121">
        <v>52600</v>
      </c>
    </row>
    <row r="1580" spans="1:5" ht="15">
      <c r="A1580" s="120" t="s">
        <v>179</v>
      </c>
      <c r="B1580" s="121">
        <v>21</v>
      </c>
      <c r="C1580" s="121">
        <v>21</v>
      </c>
      <c r="D1580" s="121">
        <v>8</v>
      </c>
      <c r="E1580" s="121">
        <v>4000</v>
      </c>
    </row>
    <row r="1581" spans="1:5" ht="15">
      <c r="A1581" s="120" t="s">
        <v>179</v>
      </c>
      <c r="B1581" s="121">
        <v>21</v>
      </c>
      <c r="C1581" s="121">
        <v>24</v>
      </c>
      <c r="D1581" s="121">
        <v>2</v>
      </c>
      <c r="E1581" s="121">
        <v>622742</v>
      </c>
    </row>
    <row r="1582" spans="1:5" ht="15">
      <c r="A1582" s="120" t="s">
        <v>179</v>
      </c>
      <c r="B1582" s="121">
        <v>21</v>
      </c>
      <c r="C1582" s="121">
        <v>24</v>
      </c>
      <c r="D1582" s="121">
        <v>4</v>
      </c>
      <c r="E1582" s="121">
        <v>204085</v>
      </c>
    </row>
    <row r="1583" spans="1:5" ht="15">
      <c r="A1583" s="120" t="s">
        <v>179</v>
      </c>
      <c r="B1583" s="121">
        <v>21</v>
      </c>
      <c r="C1583" s="121">
        <v>26</v>
      </c>
      <c r="D1583" s="121">
        <v>2</v>
      </c>
      <c r="E1583" s="121">
        <v>3706922</v>
      </c>
    </row>
    <row r="1584" spans="1:5" ht="15">
      <c r="A1584" s="120" t="s">
        <v>179</v>
      </c>
      <c r="B1584" s="121">
        <v>21</v>
      </c>
      <c r="C1584" s="121">
        <v>26</v>
      </c>
      <c r="D1584" s="121">
        <v>3</v>
      </c>
      <c r="E1584" s="121">
        <v>90340</v>
      </c>
    </row>
    <row r="1585" spans="1:5" ht="15">
      <c r="A1585" s="120" t="s">
        <v>179</v>
      </c>
      <c r="B1585" s="121">
        <v>21</v>
      </c>
      <c r="C1585" s="121">
        <v>26</v>
      </c>
      <c r="D1585" s="121">
        <v>4</v>
      </c>
      <c r="E1585" s="121">
        <v>1222368</v>
      </c>
    </row>
    <row r="1586" spans="1:5" ht="15">
      <c r="A1586" s="120" t="s">
        <v>179</v>
      </c>
      <c r="B1586" s="121">
        <v>21</v>
      </c>
      <c r="C1586" s="121">
        <v>26</v>
      </c>
      <c r="D1586" s="121">
        <v>5</v>
      </c>
      <c r="E1586" s="121">
        <v>28750</v>
      </c>
    </row>
    <row r="1587" spans="1:5" ht="15">
      <c r="A1587" s="120" t="s">
        <v>179</v>
      </c>
      <c r="B1587" s="121">
        <v>21</v>
      </c>
      <c r="C1587" s="121">
        <v>26</v>
      </c>
      <c r="D1587" s="121">
        <v>7</v>
      </c>
      <c r="E1587" s="121">
        <v>1007000</v>
      </c>
    </row>
    <row r="1588" spans="1:5" ht="15">
      <c r="A1588" s="120" t="s">
        <v>179</v>
      </c>
      <c r="B1588" s="121">
        <v>21</v>
      </c>
      <c r="C1588" s="121">
        <v>26</v>
      </c>
      <c r="D1588" s="121">
        <v>8</v>
      </c>
      <c r="E1588" s="121">
        <v>5000</v>
      </c>
    </row>
    <row r="1589" spans="1:5" ht="15">
      <c r="A1589" s="120" t="s">
        <v>179</v>
      </c>
      <c r="B1589" s="121">
        <v>21</v>
      </c>
      <c r="C1589" s="121">
        <v>27</v>
      </c>
      <c r="D1589" s="121">
        <v>0</v>
      </c>
      <c r="E1589" s="121">
        <v>15000</v>
      </c>
    </row>
    <row r="1590" spans="1:5" ht="15">
      <c r="A1590" s="120" t="s">
        <v>179</v>
      </c>
      <c r="B1590" s="121">
        <v>21</v>
      </c>
      <c r="C1590" s="121">
        <v>27</v>
      </c>
      <c r="D1590" s="121">
        <v>2</v>
      </c>
      <c r="E1590" s="121">
        <v>5960960</v>
      </c>
    </row>
    <row r="1591" spans="1:5" ht="15">
      <c r="A1591" s="120" t="s">
        <v>179</v>
      </c>
      <c r="B1591" s="121">
        <v>21</v>
      </c>
      <c r="C1591" s="121">
        <v>27</v>
      </c>
      <c r="D1591" s="121">
        <v>3</v>
      </c>
      <c r="E1591" s="121">
        <v>5802132</v>
      </c>
    </row>
    <row r="1592" spans="1:5" ht="15">
      <c r="A1592" s="120" t="s">
        <v>179</v>
      </c>
      <c r="B1592" s="121">
        <v>21</v>
      </c>
      <c r="C1592" s="121">
        <v>27</v>
      </c>
      <c r="D1592" s="121">
        <v>4</v>
      </c>
      <c r="E1592" s="121">
        <v>5721196</v>
      </c>
    </row>
    <row r="1593" spans="1:5" ht="15">
      <c r="A1593" s="120" t="s">
        <v>179</v>
      </c>
      <c r="B1593" s="121">
        <v>21</v>
      </c>
      <c r="C1593" s="121">
        <v>27</v>
      </c>
      <c r="D1593" s="121">
        <v>5</v>
      </c>
      <c r="E1593" s="121">
        <v>180250</v>
      </c>
    </row>
    <row r="1594" spans="1:5" ht="15">
      <c r="A1594" s="120" t="s">
        <v>179</v>
      </c>
      <c r="B1594" s="121">
        <v>21</v>
      </c>
      <c r="C1594" s="121">
        <v>27</v>
      </c>
      <c r="D1594" s="121">
        <v>7</v>
      </c>
      <c r="E1594" s="121">
        <v>403500</v>
      </c>
    </row>
    <row r="1595" spans="1:5" ht="15">
      <c r="A1595" s="120" t="s">
        <v>179</v>
      </c>
      <c r="B1595" s="121">
        <v>21</v>
      </c>
      <c r="C1595" s="121">
        <v>27</v>
      </c>
      <c r="D1595" s="121">
        <v>8</v>
      </c>
      <c r="E1595" s="121">
        <v>1000</v>
      </c>
    </row>
    <row r="1596" spans="1:5" ht="15">
      <c r="A1596" s="120" t="s">
        <v>179</v>
      </c>
      <c r="B1596" s="121">
        <v>21</v>
      </c>
      <c r="C1596" s="121">
        <v>31</v>
      </c>
      <c r="D1596" s="121">
        <v>2</v>
      </c>
      <c r="E1596" s="121">
        <v>932281</v>
      </c>
    </row>
    <row r="1597" spans="1:5" ht="15">
      <c r="A1597" s="120" t="s">
        <v>179</v>
      </c>
      <c r="B1597" s="121">
        <v>21</v>
      </c>
      <c r="C1597" s="121">
        <v>31</v>
      </c>
      <c r="D1597" s="121">
        <v>4</v>
      </c>
      <c r="E1597" s="121">
        <v>277032</v>
      </c>
    </row>
    <row r="1598" spans="1:5" ht="15">
      <c r="A1598" s="120" t="s">
        <v>179</v>
      </c>
      <c r="B1598" s="121">
        <v>21</v>
      </c>
      <c r="C1598" s="121">
        <v>31</v>
      </c>
      <c r="D1598" s="121">
        <v>5</v>
      </c>
      <c r="E1598" s="121">
        <v>4000</v>
      </c>
    </row>
    <row r="1599" spans="1:5" ht="15">
      <c r="A1599" s="120" t="s">
        <v>179</v>
      </c>
      <c r="B1599" s="121">
        <v>21</v>
      </c>
      <c r="C1599" s="121">
        <v>31</v>
      </c>
      <c r="D1599" s="121">
        <v>7</v>
      </c>
      <c r="E1599" s="121">
        <v>16700</v>
      </c>
    </row>
    <row r="1600" spans="1:5" ht="15">
      <c r="A1600" s="120" t="s">
        <v>179</v>
      </c>
      <c r="B1600" s="121">
        <v>21</v>
      </c>
      <c r="C1600" s="121">
        <v>31</v>
      </c>
      <c r="D1600" s="121">
        <v>8</v>
      </c>
      <c r="E1600" s="121">
        <v>5000</v>
      </c>
    </row>
    <row r="1601" spans="1:5" ht="15">
      <c r="A1601" s="120" t="s">
        <v>179</v>
      </c>
      <c r="B1601" s="121">
        <v>24</v>
      </c>
      <c r="C1601" s="121">
        <v>26</v>
      </c>
      <c r="D1601" s="121">
        <v>2</v>
      </c>
      <c r="E1601" s="121">
        <v>6186</v>
      </c>
    </row>
    <row r="1602" spans="1:5" ht="15">
      <c r="A1602" s="120" t="s">
        <v>179</v>
      </c>
      <c r="B1602" s="121">
        <v>24</v>
      </c>
      <c r="C1602" s="121">
        <v>26</v>
      </c>
      <c r="D1602" s="121">
        <v>4</v>
      </c>
      <c r="E1602" s="121">
        <v>1649</v>
      </c>
    </row>
    <row r="1603" spans="1:5" ht="15">
      <c r="A1603" s="120" t="s">
        <v>179</v>
      </c>
      <c r="B1603" s="121">
        <v>24</v>
      </c>
      <c r="C1603" s="121">
        <v>27</v>
      </c>
      <c r="D1603" s="121">
        <v>3</v>
      </c>
      <c r="E1603" s="121">
        <v>31975</v>
      </c>
    </row>
    <row r="1604" spans="1:5" ht="15">
      <c r="A1604" s="120" t="s">
        <v>179</v>
      </c>
      <c r="B1604" s="121">
        <v>24</v>
      </c>
      <c r="C1604" s="121">
        <v>27</v>
      </c>
      <c r="D1604" s="121">
        <v>4</v>
      </c>
      <c r="E1604" s="121">
        <v>19022</v>
      </c>
    </row>
    <row r="1605" spans="1:5" ht="15">
      <c r="A1605" s="120" t="s">
        <v>179</v>
      </c>
      <c r="B1605" s="121">
        <v>24</v>
      </c>
      <c r="C1605" s="121">
        <v>27</v>
      </c>
      <c r="D1605" s="121">
        <v>7</v>
      </c>
      <c r="E1605" s="121">
        <v>1700000</v>
      </c>
    </row>
    <row r="1606" spans="1:5" ht="15">
      <c r="A1606" s="120" t="s">
        <v>223</v>
      </c>
      <c r="B1606" s="121">
        <v>21</v>
      </c>
      <c r="C1606" s="121">
        <v>26</v>
      </c>
      <c r="D1606" s="121">
        <v>7</v>
      </c>
      <c r="E1606" s="121">
        <v>16645</v>
      </c>
    </row>
    <row r="1607" spans="1:5" ht="15">
      <c r="A1607" s="120" t="s">
        <v>223</v>
      </c>
      <c r="B1607" s="121">
        <v>21</v>
      </c>
      <c r="C1607" s="121">
        <v>27</v>
      </c>
      <c r="D1607" s="121">
        <v>2</v>
      </c>
      <c r="E1607" s="121">
        <v>134980</v>
      </c>
    </row>
    <row r="1608" spans="1:5" ht="15">
      <c r="A1608" s="120" t="s">
        <v>223</v>
      </c>
      <c r="B1608" s="121">
        <v>21</v>
      </c>
      <c r="C1608" s="121">
        <v>27</v>
      </c>
      <c r="D1608" s="121">
        <v>3</v>
      </c>
      <c r="E1608" s="121">
        <v>207360</v>
      </c>
    </row>
    <row r="1609" spans="1:5" ht="15">
      <c r="A1609" s="120" t="s">
        <v>223</v>
      </c>
      <c r="B1609" s="121">
        <v>21</v>
      </c>
      <c r="C1609" s="121">
        <v>27</v>
      </c>
      <c r="D1609" s="121">
        <v>4</v>
      </c>
      <c r="E1609" s="121">
        <v>160830</v>
      </c>
    </row>
    <row r="1610" spans="1:5" ht="15">
      <c r="A1610" s="120" t="s">
        <v>223</v>
      </c>
      <c r="B1610" s="121">
        <v>21</v>
      </c>
      <c r="C1610" s="121">
        <v>27</v>
      </c>
      <c r="D1610" s="121">
        <v>5</v>
      </c>
      <c r="E1610" s="121">
        <v>6100</v>
      </c>
    </row>
    <row r="1611" spans="1:5" ht="15">
      <c r="A1611" s="120" t="s">
        <v>223</v>
      </c>
      <c r="B1611" s="121">
        <v>24</v>
      </c>
      <c r="C1611" s="121">
        <v>26</v>
      </c>
      <c r="D1611" s="121">
        <v>7</v>
      </c>
      <c r="E1611" s="121">
        <v>56760</v>
      </c>
    </row>
    <row r="1612" spans="1:5" ht="15">
      <c r="A1612" s="120" t="s">
        <v>223</v>
      </c>
      <c r="B1612" s="121">
        <v>29</v>
      </c>
      <c r="C1612" s="121">
        <v>26</v>
      </c>
      <c r="D1612" s="121">
        <v>7</v>
      </c>
      <c r="E1612" s="121">
        <v>20000</v>
      </c>
    </row>
    <row r="1613" spans="1:5" ht="15">
      <c r="A1613" s="120" t="s">
        <v>38</v>
      </c>
      <c r="B1613" s="121">
        <v>21</v>
      </c>
      <c r="C1613" s="121">
        <v>27</v>
      </c>
      <c r="D1613" s="121">
        <v>7</v>
      </c>
      <c r="E1613" s="121">
        <v>225000</v>
      </c>
    </row>
    <row r="1614" spans="1:5" ht="15">
      <c r="A1614" s="120" t="s">
        <v>251</v>
      </c>
      <c r="B1614" s="121">
        <v>21</v>
      </c>
      <c r="C1614" s="121">
        <v>21</v>
      </c>
      <c r="D1614" s="121">
        <v>2</v>
      </c>
      <c r="E1614" s="121">
        <v>302109</v>
      </c>
    </row>
    <row r="1615" spans="1:5" ht="15">
      <c r="A1615" s="120" t="s">
        <v>251</v>
      </c>
      <c r="B1615" s="121">
        <v>21</v>
      </c>
      <c r="C1615" s="121">
        <v>21</v>
      </c>
      <c r="D1615" s="121">
        <v>3</v>
      </c>
      <c r="E1615" s="121">
        <v>103139</v>
      </c>
    </row>
    <row r="1616" spans="1:5" ht="15">
      <c r="A1616" s="120" t="s">
        <v>251</v>
      </c>
      <c r="B1616" s="121">
        <v>21</v>
      </c>
      <c r="C1616" s="121">
        <v>21</v>
      </c>
      <c r="D1616" s="121">
        <v>4</v>
      </c>
      <c r="E1616" s="121">
        <v>123694</v>
      </c>
    </row>
    <row r="1617" spans="1:5" ht="15">
      <c r="A1617" s="120" t="s">
        <v>251</v>
      </c>
      <c r="B1617" s="121">
        <v>21</v>
      </c>
      <c r="C1617" s="121">
        <v>26</v>
      </c>
      <c r="D1617" s="121">
        <v>2</v>
      </c>
      <c r="E1617" s="121">
        <v>274506</v>
      </c>
    </row>
    <row r="1618" spans="1:5" ht="15">
      <c r="A1618" s="120" t="s">
        <v>251</v>
      </c>
      <c r="B1618" s="121">
        <v>21</v>
      </c>
      <c r="C1618" s="121">
        <v>26</v>
      </c>
      <c r="D1618" s="121">
        <v>4</v>
      </c>
      <c r="E1618" s="121">
        <v>92257</v>
      </c>
    </row>
    <row r="1619" spans="1:5" ht="15">
      <c r="A1619" s="120" t="s">
        <v>251</v>
      </c>
      <c r="B1619" s="121">
        <v>21</v>
      </c>
      <c r="C1619" s="121">
        <v>26</v>
      </c>
      <c r="D1619" s="121">
        <v>7</v>
      </c>
      <c r="E1619" s="121">
        <v>50000</v>
      </c>
    </row>
    <row r="1620" spans="1:5" ht="15">
      <c r="A1620" s="120" t="s">
        <v>251</v>
      </c>
      <c r="B1620" s="121">
        <v>21</v>
      </c>
      <c r="C1620" s="121">
        <v>27</v>
      </c>
      <c r="D1620" s="121">
        <v>2</v>
      </c>
      <c r="E1620" s="121">
        <v>1103224</v>
      </c>
    </row>
    <row r="1621" spans="1:5" ht="15">
      <c r="A1621" s="120" t="s">
        <v>251</v>
      </c>
      <c r="B1621" s="121">
        <v>21</v>
      </c>
      <c r="C1621" s="121">
        <v>27</v>
      </c>
      <c r="D1621" s="121">
        <v>3</v>
      </c>
      <c r="E1621" s="121">
        <v>619010</v>
      </c>
    </row>
    <row r="1622" spans="1:5" ht="15">
      <c r="A1622" s="120" t="s">
        <v>251</v>
      </c>
      <c r="B1622" s="121">
        <v>21</v>
      </c>
      <c r="C1622" s="121">
        <v>27</v>
      </c>
      <c r="D1622" s="121">
        <v>4</v>
      </c>
      <c r="E1622" s="121">
        <v>846607</v>
      </c>
    </row>
    <row r="1623" spans="1:5" ht="15">
      <c r="A1623" s="120" t="s">
        <v>251</v>
      </c>
      <c r="B1623" s="121">
        <v>21</v>
      </c>
      <c r="C1623" s="121">
        <v>27</v>
      </c>
      <c r="D1623" s="121">
        <v>5</v>
      </c>
      <c r="E1623" s="121">
        <v>8850</v>
      </c>
    </row>
    <row r="1624" spans="1:5" ht="15">
      <c r="A1624" s="120" t="s">
        <v>251</v>
      </c>
      <c r="B1624" s="121">
        <v>21</v>
      </c>
      <c r="C1624" s="121">
        <v>27</v>
      </c>
      <c r="D1624" s="121">
        <v>7</v>
      </c>
      <c r="E1624" s="121">
        <v>4000</v>
      </c>
    </row>
    <row r="1625" spans="1:5" ht="15">
      <c r="A1625" s="120" t="s">
        <v>251</v>
      </c>
      <c r="B1625" s="121">
        <v>21</v>
      </c>
      <c r="C1625" s="121">
        <v>27</v>
      </c>
      <c r="D1625" s="121">
        <v>8</v>
      </c>
      <c r="E1625" s="121">
        <v>145</v>
      </c>
    </row>
    <row r="1626" spans="1:5" ht="15">
      <c r="A1626" s="120" t="s">
        <v>251</v>
      </c>
      <c r="B1626" s="121">
        <v>21</v>
      </c>
      <c r="C1626" s="121">
        <v>29</v>
      </c>
      <c r="D1626" s="121">
        <v>7</v>
      </c>
      <c r="E1626" s="121">
        <v>750000</v>
      </c>
    </row>
    <row r="1627" spans="1:5" ht="15">
      <c r="A1627" s="120" t="s">
        <v>251</v>
      </c>
      <c r="B1627" s="121">
        <v>21</v>
      </c>
      <c r="C1627" s="121">
        <v>31</v>
      </c>
      <c r="D1627" s="121">
        <v>7</v>
      </c>
      <c r="E1627" s="121">
        <v>15000</v>
      </c>
    </row>
    <row r="1628" spans="1:5" ht="15">
      <c r="A1628" s="120" t="s">
        <v>251</v>
      </c>
      <c r="B1628" s="121">
        <v>21</v>
      </c>
      <c r="C1628" s="121">
        <v>33</v>
      </c>
      <c r="D1628" s="121">
        <v>5</v>
      </c>
      <c r="E1628" s="121">
        <v>1000</v>
      </c>
    </row>
    <row r="1629" spans="1:5" ht="15">
      <c r="A1629" s="120" t="s">
        <v>205</v>
      </c>
      <c r="B1629" s="121">
        <v>21</v>
      </c>
      <c r="C1629" s="121">
        <v>26</v>
      </c>
      <c r="D1629" s="121">
        <v>7</v>
      </c>
      <c r="E1629" s="121">
        <v>134917</v>
      </c>
    </row>
    <row r="1630" spans="1:5" ht="15">
      <c r="A1630" s="120" t="s">
        <v>205</v>
      </c>
      <c r="B1630" s="121">
        <v>21</v>
      </c>
      <c r="C1630" s="121">
        <v>27</v>
      </c>
      <c r="D1630" s="121">
        <v>2</v>
      </c>
      <c r="E1630" s="121">
        <v>106228</v>
      </c>
    </row>
    <row r="1631" spans="1:5" ht="15">
      <c r="A1631" s="120" t="s">
        <v>205</v>
      </c>
      <c r="B1631" s="121">
        <v>21</v>
      </c>
      <c r="C1631" s="121">
        <v>27</v>
      </c>
      <c r="D1631" s="121">
        <v>3</v>
      </c>
      <c r="E1631" s="121">
        <v>61341</v>
      </c>
    </row>
    <row r="1632" spans="1:5" ht="15">
      <c r="A1632" s="120" t="s">
        <v>205</v>
      </c>
      <c r="B1632" s="121">
        <v>21</v>
      </c>
      <c r="C1632" s="121">
        <v>27</v>
      </c>
      <c r="D1632" s="121">
        <v>4</v>
      </c>
      <c r="E1632" s="121">
        <v>67720</v>
      </c>
    </row>
    <row r="1633" spans="1:5" ht="15">
      <c r="A1633" s="120" t="s">
        <v>205</v>
      </c>
      <c r="B1633" s="121">
        <v>21</v>
      </c>
      <c r="C1633" s="121">
        <v>27</v>
      </c>
      <c r="D1633" s="121">
        <v>5</v>
      </c>
      <c r="E1633" s="121">
        <v>2000</v>
      </c>
    </row>
    <row r="1634" spans="1:5" ht="15">
      <c r="A1634" s="120" t="s">
        <v>205</v>
      </c>
      <c r="B1634" s="121">
        <v>24</v>
      </c>
      <c r="C1634" s="121">
        <v>27</v>
      </c>
      <c r="D1634" s="121">
        <v>3</v>
      </c>
      <c r="E1634" s="121">
        <v>16955</v>
      </c>
    </row>
    <row r="1635" spans="1:5" ht="15">
      <c r="A1635" s="120" t="s">
        <v>205</v>
      </c>
      <c r="B1635" s="121">
        <v>24</v>
      </c>
      <c r="C1635" s="121">
        <v>27</v>
      </c>
      <c r="D1635" s="121">
        <v>4</v>
      </c>
      <c r="E1635" s="121">
        <v>9747</v>
      </c>
    </row>
    <row r="1636" spans="1:5" ht="15">
      <c r="A1636" s="120" t="s">
        <v>205</v>
      </c>
      <c r="B1636" s="121">
        <v>24</v>
      </c>
      <c r="C1636" s="121">
        <v>27</v>
      </c>
      <c r="D1636" s="121">
        <v>5</v>
      </c>
      <c r="E1636" s="121">
        <v>2000</v>
      </c>
    </row>
    <row r="1637" spans="1:5" ht="15">
      <c r="A1637" s="120" t="s">
        <v>275</v>
      </c>
      <c r="B1637" s="121">
        <v>21</v>
      </c>
      <c r="C1637" s="121">
        <v>21</v>
      </c>
      <c r="D1637" s="121">
        <v>2</v>
      </c>
      <c r="E1637" s="121">
        <v>11000</v>
      </c>
    </row>
    <row r="1638" spans="1:5" ht="15">
      <c r="A1638" s="120" t="s">
        <v>275</v>
      </c>
      <c r="B1638" s="121">
        <v>21</v>
      </c>
      <c r="C1638" s="121">
        <v>21</v>
      </c>
      <c r="D1638" s="121">
        <v>4</v>
      </c>
      <c r="E1638" s="121">
        <v>1801</v>
      </c>
    </row>
    <row r="1639" spans="1:5" ht="15">
      <c r="A1639" s="120" t="s">
        <v>275</v>
      </c>
      <c r="B1639" s="121">
        <v>21</v>
      </c>
      <c r="C1639" s="121">
        <v>26</v>
      </c>
      <c r="D1639" s="121">
        <v>7</v>
      </c>
      <c r="E1639" s="121">
        <v>65918</v>
      </c>
    </row>
    <row r="1640" spans="1:5" ht="15">
      <c r="A1640" s="120" t="s">
        <v>275</v>
      </c>
      <c r="B1640" s="121">
        <v>21</v>
      </c>
      <c r="C1640" s="121">
        <v>27</v>
      </c>
      <c r="D1640" s="121">
        <v>2</v>
      </c>
      <c r="E1640" s="121">
        <v>38806</v>
      </c>
    </row>
    <row r="1641" spans="1:5" ht="15">
      <c r="A1641" s="120" t="s">
        <v>275</v>
      </c>
      <c r="B1641" s="121">
        <v>21</v>
      </c>
      <c r="C1641" s="121">
        <v>27</v>
      </c>
      <c r="D1641" s="121">
        <v>3</v>
      </c>
      <c r="E1641" s="121">
        <v>91985</v>
      </c>
    </row>
    <row r="1642" spans="1:5" ht="15">
      <c r="A1642" s="120" t="s">
        <v>275</v>
      </c>
      <c r="B1642" s="121">
        <v>21</v>
      </c>
      <c r="C1642" s="121">
        <v>27</v>
      </c>
      <c r="D1642" s="121">
        <v>4</v>
      </c>
      <c r="E1642" s="121">
        <v>91362</v>
      </c>
    </row>
    <row r="1643" spans="1:5" ht="15">
      <c r="A1643" s="120" t="s">
        <v>275</v>
      </c>
      <c r="B1643" s="121">
        <v>21</v>
      </c>
      <c r="C1643" s="121">
        <v>27</v>
      </c>
      <c r="D1643" s="121">
        <v>5</v>
      </c>
      <c r="E1643" s="121">
        <v>2350</v>
      </c>
    </row>
    <row r="1644" spans="1:5" ht="15">
      <c r="A1644" s="120" t="s">
        <v>275</v>
      </c>
      <c r="B1644" s="121">
        <v>21</v>
      </c>
      <c r="C1644" s="121">
        <v>27</v>
      </c>
      <c r="D1644" s="121">
        <v>7</v>
      </c>
      <c r="E1644" s="121">
        <v>2200</v>
      </c>
    </row>
    <row r="1645" spans="1:5" ht="15">
      <c r="A1645" s="120" t="s">
        <v>251</v>
      </c>
      <c r="B1645" s="121">
        <v>24</v>
      </c>
      <c r="C1645" s="121">
        <v>26</v>
      </c>
      <c r="D1645" s="121">
        <v>2</v>
      </c>
      <c r="E1645" s="121">
        <v>202789</v>
      </c>
    </row>
    <row r="1646" spans="1:5" ht="15">
      <c r="A1646" s="120" t="s">
        <v>251</v>
      </c>
      <c r="B1646" s="121">
        <v>24</v>
      </c>
      <c r="C1646" s="121">
        <v>26</v>
      </c>
      <c r="D1646" s="121">
        <v>4</v>
      </c>
      <c r="E1646" s="121">
        <v>64619</v>
      </c>
    </row>
    <row r="1647" spans="1:5" ht="15">
      <c r="A1647" s="120" t="s">
        <v>251</v>
      </c>
      <c r="B1647" s="121">
        <v>24</v>
      </c>
      <c r="C1647" s="121">
        <v>27</v>
      </c>
      <c r="D1647" s="121">
        <v>2</v>
      </c>
      <c r="E1647" s="121">
        <v>6593</v>
      </c>
    </row>
    <row r="1648" spans="1:5" ht="15">
      <c r="A1648" s="120" t="s">
        <v>251</v>
      </c>
      <c r="B1648" s="121">
        <v>24</v>
      </c>
      <c r="C1648" s="121">
        <v>27</v>
      </c>
      <c r="D1648" s="121">
        <v>4</v>
      </c>
      <c r="E1648" s="121">
        <v>2181</v>
      </c>
    </row>
    <row r="1649" spans="1:5" ht="15">
      <c r="A1649" s="120" t="s">
        <v>251</v>
      </c>
      <c r="B1649" s="121">
        <v>24</v>
      </c>
      <c r="C1649" s="121">
        <v>29</v>
      </c>
      <c r="D1649" s="121">
        <v>7</v>
      </c>
      <c r="E1649" s="121">
        <v>40000</v>
      </c>
    </row>
    <row r="1650" spans="1:5" ht="15">
      <c r="A1650" s="120" t="s">
        <v>275</v>
      </c>
      <c r="B1650" s="121">
        <v>21</v>
      </c>
      <c r="C1650" s="121">
        <v>32</v>
      </c>
      <c r="D1650" s="121">
        <v>7</v>
      </c>
      <c r="E1650" s="121">
        <v>1250</v>
      </c>
    </row>
    <row r="1651" spans="1:5" ht="15">
      <c r="A1651" s="120" t="s">
        <v>275</v>
      </c>
      <c r="B1651" s="121">
        <v>21</v>
      </c>
      <c r="C1651" s="121">
        <v>33</v>
      </c>
      <c r="D1651" s="121">
        <v>5</v>
      </c>
      <c r="E1651" s="121">
        <v>400</v>
      </c>
    </row>
    <row r="1652" spans="1:5" ht="15">
      <c r="A1652" s="120" t="s">
        <v>275</v>
      </c>
      <c r="B1652" s="121">
        <v>24</v>
      </c>
      <c r="C1652" s="121">
        <v>26</v>
      </c>
      <c r="D1652" s="121">
        <v>7</v>
      </c>
      <c r="E1652" s="121">
        <v>19622</v>
      </c>
    </row>
    <row r="1653" spans="1:5" ht="15">
      <c r="A1653" s="120" t="s">
        <v>275</v>
      </c>
      <c r="B1653" s="121">
        <v>24</v>
      </c>
      <c r="C1653" s="121">
        <v>27</v>
      </c>
      <c r="D1653" s="121">
        <v>2</v>
      </c>
      <c r="E1653" s="121">
        <v>27868</v>
      </c>
    </row>
    <row r="1654" spans="1:5" ht="15">
      <c r="A1654" s="120" t="s">
        <v>275</v>
      </c>
      <c r="B1654" s="121">
        <v>24</v>
      </c>
      <c r="C1654" s="121">
        <v>27</v>
      </c>
      <c r="D1654" s="121">
        <v>4</v>
      </c>
      <c r="E1654" s="121">
        <v>11829</v>
      </c>
    </row>
    <row r="1655" spans="1:5" ht="15">
      <c r="A1655" s="120" t="s">
        <v>155</v>
      </c>
      <c r="B1655" s="121">
        <v>21</v>
      </c>
      <c r="C1655" s="121">
        <v>29</v>
      </c>
      <c r="D1655" s="121">
        <v>7</v>
      </c>
      <c r="E1655" s="121">
        <v>688953</v>
      </c>
    </row>
    <row r="1656" spans="1:5" ht="15">
      <c r="A1656" s="120" t="s">
        <v>181</v>
      </c>
      <c r="B1656" s="121">
        <v>21</v>
      </c>
      <c r="C1656" s="121">
        <v>21</v>
      </c>
      <c r="D1656" s="121">
        <v>2</v>
      </c>
      <c r="E1656" s="121">
        <v>8151</v>
      </c>
    </row>
    <row r="1657" spans="1:5" ht="15">
      <c r="A1657" s="120" t="s">
        <v>181</v>
      </c>
      <c r="B1657" s="121">
        <v>21</v>
      </c>
      <c r="C1657" s="121">
        <v>21</v>
      </c>
      <c r="D1657" s="121">
        <v>3</v>
      </c>
      <c r="E1657" s="121">
        <v>33422</v>
      </c>
    </row>
    <row r="1658" spans="1:5" ht="15">
      <c r="A1658" s="120" t="s">
        <v>181</v>
      </c>
      <c r="B1658" s="121">
        <v>21</v>
      </c>
      <c r="C1658" s="121">
        <v>21</v>
      </c>
      <c r="D1658" s="121">
        <v>4</v>
      </c>
      <c r="E1658" s="121">
        <v>22089</v>
      </c>
    </row>
    <row r="1659" spans="1:5" ht="15">
      <c r="A1659" s="120" t="s">
        <v>181</v>
      </c>
      <c r="B1659" s="121">
        <v>21</v>
      </c>
      <c r="C1659" s="121">
        <v>21</v>
      </c>
      <c r="D1659" s="121">
        <v>5</v>
      </c>
      <c r="E1659" s="121">
        <v>12000</v>
      </c>
    </row>
    <row r="1660" spans="1:5" ht="15">
      <c r="A1660" s="120" t="s">
        <v>181</v>
      </c>
      <c r="B1660" s="121">
        <v>21</v>
      </c>
      <c r="C1660" s="121">
        <v>21</v>
      </c>
      <c r="D1660" s="121">
        <v>7</v>
      </c>
      <c r="E1660" s="121">
        <v>5000</v>
      </c>
    </row>
    <row r="1661" spans="1:5" ht="15">
      <c r="A1661" s="120" t="s">
        <v>181</v>
      </c>
      <c r="B1661" s="121">
        <v>21</v>
      </c>
      <c r="C1661" s="121">
        <v>21</v>
      </c>
      <c r="D1661" s="121">
        <v>8</v>
      </c>
      <c r="E1661" s="121">
        <v>1200</v>
      </c>
    </row>
    <row r="1662" spans="1:5" ht="15">
      <c r="A1662" s="120" t="s">
        <v>181</v>
      </c>
      <c r="B1662" s="121">
        <v>21</v>
      </c>
      <c r="C1662" s="121">
        <v>23</v>
      </c>
      <c r="D1662" s="121">
        <v>2</v>
      </c>
      <c r="E1662" s="121">
        <v>71912</v>
      </c>
    </row>
    <row r="1663" spans="1:5" ht="15">
      <c r="A1663" s="120" t="s">
        <v>181</v>
      </c>
      <c r="B1663" s="121">
        <v>21</v>
      </c>
      <c r="C1663" s="121">
        <v>23</v>
      </c>
      <c r="D1663" s="121">
        <v>4</v>
      </c>
      <c r="E1663" s="121">
        <v>18195</v>
      </c>
    </row>
    <row r="1664" spans="1:5" ht="15">
      <c r="A1664" s="120" t="s">
        <v>181</v>
      </c>
      <c r="B1664" s="121">
        <v>21</v>
      </c>
      <c r="C1664" s="121">
        <v>26</v>
      </c>
      <c r="D1664" s="121">
        <v>2</v>
      </c>
      <c r="E1664" s="121">
        <v>161308</v>
      </c>
    </row>
    <row r="1665" spans="1:5" ht="15">
      <c r="A1665" s="120" t="s">
        <v>181</v>
      </c>
      <c r="B1665" s="121">
        <v>21</v>
      </c>
      <c r="C1665" s="121">
        <v>26</v>
      </c>
      <c r="D1665" s="121">
        <v>4</v>
      </c>
      <c r="E1665" s="121">
        <v>49197</v>
      </c>
    </row>
    <row r="1666" spans="1:5" ht="15">
      <c r="A1666" s="120" t="s">
        <v>181</v>
      </c>
      <c r="B1666" s="121">
        <v>21</v>
      </c>
      <c r="C1666" s="121">
        <v>26</v>
      </c>
      <c r="D1666" s="121">
        <v>5</v>
      </c>
      <c r="E1666" s="121">
        <v>5500</v>
      </c>
    </row>
    <row r="1667" spans="1:5" ht="15">
      <c r="A1667" s="120" t="s">
        <v>181</v>
      </c>
      <c r="B1667" s="121">
        <v>21</v>
      </c>
      <c r="C1667" s="121">
        <v>26</v>
      </c>
      <c r="D1667" s="121">
        <v>7</v>
      </c>
      <c r="E1667" s="121">
        <v>66000</v>
      </c>
    </row>
    <row r="1668" spans="1:5" ht="15">
      <c r="A1668" s="120" t="s">
        <v>181</v>
      </c>
      <c r="B1668" s="121">
        <v>21</v>
      </c>
      <c r="C1668" s="121">
        <v>27</v>
      </c>
      <c r="D1668" s="121">
        <v>2</v>
      </c>
      <c r="E1668" s="121">
        <v>392734</v>
      </c>
    </row>
    <row r="1669" spans="1:5" ht="15">
      <c r="A1669" s="120" t="s">
        <v>181</v>
      </c>
      <c r="B1669" s="121">
        <v>21</v>
      </c>
      <c r="C1669" s="121">
        <v>27</v>
      </c>
      <c r="D1669" s="121">
        <v>3</v>
      </c>
      <c r="E1669" s="121">
        <v>335072</v>
      </c>
    </row>
    <row r="1670" spans="1:5" ht="15">
      <c r="A1670" s="120" t="s">
        <v>181</v>
      </c>
      <c r="B1670" s="121">
        <v>21</v>
      </c>
      <c r="C1670" s="121">
        <v>27</v>
      </c>
      <c r="D1670" s="121">
        <v>4</v>
      </c>
      <c r="E1670" s="121">
        <v>354801</v>
      </c>
    </row>
    <row r="1671" spans="1:5" ht="15">
      <c r="A1671" s="120" t="s">
        <v>181</v>
      </c>
      <c r="B1671" s="121">
        <v>21</v>
      </c>
      <c r="C1671" s="121">
        <v>27</v>
      </c>
      <c r="D1671" s="121">
        <v>5</v>
      </c>
      <c r="E1671" s="121">
        <v>18000</v>
      </c>
    </row>
    <row r="1672" spans="1:5" ht="15">
      <c r="A1672" s="120" t="s">
        <v>181</v>
      </c>
      <c r="B1672" s="121">
        <v>21</v>
      </c>
      <c r="C1672" s="121">
        <v>27</v>
      </c>
      <c r="D1672" s="121">
        <v>7</v>
      </c>
      <c r="E1672" s="121">
        <v>9250</v>
      </c>
    </row>
    <row r="1673" spans="1:5" ht="15">
      <c r="A1673" s="120" t="s">
        <v>181</v>
      </c>
      <c r="B1673" s="121">
        <v>21</v>
      </c>
      <c r="C1673" s="121">
        <v>31</v>
      </c>
      <c r="D1673" s="121">
        <v>7</v>
      </c>
      <c r="E1673" s="121">
        <v>250</v>
      </c>
    </row>
    <row r="1674" spans="1:5" ht="15">
      <c r="A1674" s="120" t="s">
        <v>181</v>
      </c>
      <c r="B1674" s="121">
        <v>21</v>
      </c>
      <c r="C1674" s="121">
        <v>32</v>
      </c>
      <c r="D1674" s="121">
        <v>7</v>
      </c>
      <c r="E1674" s="121">
        <v>2000</v>
      </c>
    </row>
    <row r="1675" spans="1:5" ht="15">
      <c r="A1675" s="120" t="s">
        <v>181</v>
      </c>
      <c r="B1675" s="121">
        <v>21</v>
      </c>
      <c r="C1675" s="121">
        <v>35</v>
      </c>
      <c r="D1675" s="121">
        <v>5</v>
      </c>
      <c r="E1675" s="121">
        <v>10000</v>
      </c>
    </row>
    <row r="1676" spans="1:5" ht="15">
      <c r="A1676" s="120" t="s">
        <v>181</v>
      </c>
      <c r="B1676" s="121">
        <v>24</v>
      </c>
      <c r="C1676" s="121">
        <v>21</v>
      </c>
      <c r="D1676" s="121">
        <v>2</v>
      </c>
      <c r="E1676" s="121">
        <v>59416</v>
      </c>
    </row>
    <row r="1677" spans="1:5" ht="15">
      <c r="A1677" s="120" t="s">
        <v>181</v>
      </c>
      <c r="B1677" s="121">
        <v>24</v>
      </c>
      <c r="C1677" s="121">
        <v>21</v>
      </c>
      <c r="D1677" s="121">
        <v>4</v>
      </c>
      <c r="E1677" s="121">
        <v>17403</v>
      </c>
    </row>
    <row r="1678" spans="1:5" ht="15">
      <c r="A1678" s="120" t="s">
        <v>181</v>
      </c>
      <c r="B1678" s="121">
        <v>24</v>
      </c>
      <c r="C1678" s="121">
        <v>27</v>
      </c>
      <c r="D1678" s="121">
        <v>2</v>
      </c>
      <c r="E1678" s="121">
        <v>63986</v>
      </c>
    </row>
    <row r="1679" spans="1:5" ht="15">
      <c r="A1679" s="120" t="s">
        <v>181</v>
      </c>
      <c r="B1679" s="121">
        <v>24</v>
      </c>
      <c r="C1679" s="121">
        <v>27</v>
      </c>
      <c r="D1679" s="121">
        <v>4</v>
      </c>
      <c r="E1679" s="121">
        <v>27404</v>
      </c>
    </row>
    <row r="1680" spans="1:5" ht="15">
      <c r="A1680" s="120" t="s">
        <v>207</v>
      </c>
      <c r="B1680" s="121">
        <v>21</v>
      </c>
      <c r="C1680" s="121">
        <v>21</v>
      </c>
      <c r="D1680" s="121">
        <v>2</v>
      </c>
      <c r="E1680" s="121">
        <v>111292</v>
      </c>
    </row>
    <row r="1681" spans="1:5" ht="15">
      <c r="A1681" s="120" t="s">
        <v>207</v>
      </c>
      <c r="B1681" s="121">
        <v>21</v>
      </c>
      <c r="C1681" s="121">
        <v>21</v>
      </c>
      <c r="D1681" s="121">
        <v>3</v>
      </c>
      <c r="E1681" s="121">
        <v>46063</v>
      </c>
    </row>
    <row r="1682" spans="1:5" ht="15">
      <c r="A1682" s="120" t="s">
        <v>207</v>
      </c>
      <c r="B1682" s="121">
        <v>21</v>
      </c>
      <c r="C1682" s="121">
        <v>21</v>
      </c>
      <c r="D1682" s="121">
        <v>4</v>
      </c>
      <c r="E1682" s="121">
        <v>57080</v>
      </c>
    </row>
    <row r="1683" spans="1:5" ht="15">
      <c r="A1683" s="120" t="s">
        <v>207</v>
      </c>
      <c r="B1683" s="121">
        <v>21</v>
      </c>
      <c r="C1683" s="121">
        <v>21</v>
      </c>
      <c r="D1683" s="121">
        <v>5</v>
      </c>
      <c r="E1683" s="121">
        <v>400</v>
      </c>
    </row>
    <row r="1684" spans="1:5" ht="15">
      <c r="A1684" s="120" t="s">
        <v>207</v>
      </c>
      <c r="B1684" s="121">
        <v>21</v>
      </c>
      <c r="C1684" s="121">
        <v>21</v>
      </c>
      <c r="D1684" s="121">
        <v>8</v>
      </c>
      <c r="E1684" s="121">
        <v>275</v>
      </c>
    </row>
    <row r="1685" spans="1:5" ht="15">
      <c r="A1685" s="120" t="s">
        <v>207</v>
      </c>
      <c r="B1685" s="121">
        <v>21</v>
      </c>
      <c r="C1685" s="121">
        <v>24</v>
      </c>
      <c r="D1685" s="121">
        <v>8</v>
      </c>
      <c r="E1685" s="121">
        <v>450</v>
      </c>
    </row>
    <row r="1686" spans="1:5" ht="15">
      <c r="A1686" s="120" t="s">
        <v>207</v>
      </c>
      <c r="B1686" s="121">
        <v>21</v>
      </c>
      <c r="C1686" s="121">
        <v>26</v>
      </c>
      <c r="D1686" s="121">
        <v>2</v>
      </c>
      <c r="E1686" s="121">
        <v>248232</v>
      </c>
    </row>
    <row r="1687" spans="1:5" ht="15">
      <c r="A1687" s="120" t="s">
        <v>207</v>
      </c>
      <c r="B1687" s="121">
        <v>21</v>
      </c>
      <c r="C1687" s="121">
        <v>26</v>
      </c>
      <c r="D1687" s="121">
        <v>4</v>
      </c>
      <c r="E1687" s="121">
        <v>96023</v>
      </c>
    </row>
    <row r="1688" spans="1:5" ht="15">
      <c r="A1688" s="120" t="s">
        <v>207</v>
      </c>
      <c r="B1688" s="121">
        <v>21</v>
      </c>
      <c r="C1688" s="121">
        <v>26</v>
      </c>
      <c r="D1688" s="121">
        <v>5</v>
      </c>
      <c r="E1688" s="121">
        <v>750</v>
      </c>
    </row>
    <row r="1689" spans="1:5" ht="15">
      <c r="A1689" s="120" t="s">
        <v>207</v>
      </c>
      <c r="B1689" s="121">
        <v>21</v>
      </c>
      <c r="C1689" s="121">
        <v>26</v>
      </c>
      <c r="D1689" s="121">
        <v>7</v>
      </c>
      <c r="E1689" s="121">
        <v>36250</v>
      </c>
    </row>
    <row r="1690" spans="1:5" ht="15">
      <c r="A1690" s="120" t="s">
        <v>207</v>
      </c>
      <c r="B1690" s="121">
        <v>21</v>
      </c>
      <c r="C1690" s="121">
        <v>26</v>
      </c>
      <c r="D1690" s="121">
        <v>8</v>
      </c>
      <c r="E1690" s="121">
        <v>150</v>
      </c>
    </row>
    <row r="1691" spans="1:5" ht="15">
      <c r="A1691" s="120" t="s">
        <v>207</v>
      </c>
      <c r="B1691" s="121">
        <v>21</v>
      </c>
      <c r="C1691" s="121">
        <v>27</v>
      </c>
      <c r="D1691" s="121">
        <v>0</v>
      </c>
      <c r="E1691" s="121">
        <v>570</v>
      </c>
    </row>
    <row r="1692" spans="1:5" ht="15">
      <c r="A1692" s="120" t="s">
        <v>207</v>
      </c>
      <c r="B1692" s="121">
        <v>21</v>
      </c>
      <c r="C1692" s="121">
        <v>27</v>
      </c>
      <c r="D1692" s="121">
        <v>2</v>
      </c>
      <c r="E1692" s="121">
        <v>529221</v>
      </c>
    </row>
    <row r="1693" spans="1:5" ht="15">
      <c r="A1693" s="120" t="s">
        <v>207</v>
      </c>
      <c r="B1693" s="121">
        <v>21</v>
      </c>
      <c r="C1693" s="121">
        <v>27</v>
      </c>
      <c r="D1693" s="121">
        <v>3</v>
      </c>
      <c r="E1693" s="121">
        <v>90617</v>
      </c>
    </row>
    <row r="1694" spans="1:5" ht="15">
      <c r="A1694" s="120" t="s">
        <v>207</v>
      </c>
      <c r="B1694" s="121">
        <v>21</v>
      </c>
      <c r="C1694" s="121">
        <v>27</v>
      </c>
      <c r="D1694" s="121">
        <v>4</v>
      </c>
      <c r="E1694" s="121">
        <v>262066</v>
      </c>
    </row>
    <row r="1695" spans="1:5" ht="15">
      <c r="A1695" s="120" t="s">
        <v>207</v>
      </c>
      <c r="B1695" s="121">
        <v>21</v>
      </c>
      <c r="C1695" s="121">
        <v>27</v>
      </c>
      <c r="D1695" s="121">
        <v>5</v>
      </c>
      <c r="E1695" s="121">
        <v>7400</v>
      </c>
    </row>
    <row r="1696" spans="1:5" ht="15">
      <c r="A1696" s="120" t="s">
        <v>207</v>
      </c>
      <c r="B1696" s="121">
        <v>21</v>
      </c>
      <c r="C1696" s="121">
        <v>27</v>
      </c>
      <c r="D1696" s="121">
        <v>7</v>
      </c>
      <c r="E1696" s="121">
        <v>214715</v>
      </c>
    </row>
    <row r="1697" spans="1:5" ht="15">
      <c r="A1697" s="120" t="s">
        <v>207</v>
      </c>
      <c r="B1697" s="121">
        <v>21</v>
      </c>
      <c r="C1697" s="121">
        <v>27</v>
      </c>
      <c r="D1697" s="121">
        <v>8</v>
      </c>
      <c r="E1697" s="121">
        <v>775</v>
      </c>
    </row>
    <row r="1698" spans="1:5" ht="15">
      <c r="A1698" s="120" t="s">
        <v>207</v>
      </c>
      <c r="B1698" s="121">
        <v>21</v>
      </c>
      <c r="C1698" s="121">
        <v>31</v>
      </c>
      <c r="D1698" s="121">
        <v>4</v>
      </c>
      <c r="E1698" s="121">
        <v>6640</v>
      </c>
    </row>
    <row r="1699" spans="1:5" ht="15">
      <c r="A1699" s="120" t="s">
        <v>207</v>
      </c>
      <c r="B1699" s="121">
        <v>21</v>
      </c>
      <c r="C1699" s="121">
        <v>31</v>
      </c>
      <c r="D1699" s="121">
        <v>5</v>
      </c>
      <c r="E1699" s="121">
        <v>30</v>
      </c>
    </row>
    <row r="1700" spans="1:5" ht="15">
      <c r="A1700" s="120" t="s">
        <v>207</v>
      </c>
      <c r="B1700" s="121">
        <v>21</v>
      </c>
      <c r="C1700" s="121">
        <v>31</v>
      </c>
      <c r="D1700" s="121">
        <v>7</v>
      </c>
      <c r="E1700" s="121">
        <v>5800</v>
      </c>
    </row>
    <row r="1701" spans="1:5" ht="15">
      <c r="A1701" s="120" t="s">
        <v>207</v>
      </c>
      <c r="B1701" s="121">
        <v>21</v>
      </c>
      <c r="C1701" s="121">
        <v>31</v>
      </c>
      <c r="D1701" s="121">
        <v>8</v>
      </c>
      <c r="E1701" s="121">
        <v>3850</v>
      </c>
    </row>
    <row r="1702" spans="1:5" ht="15">
      <c r="A1702" s="120" t="s">
        <v>207</v>
      </c>
      <c r="B1702" s="121">
        <v>21</v>
      </c>
      <c r="C1702" s="121">
        <v>33</v>
      </c>
      <c r="D1702" s="121">
        <v>5</v>
      </c>
      <c r="E1702" s="121">
        <v>4050</v>
      </c>
    </row>
    <row r="1703" spans="1:5" ht="15">
      <c r="A1703" s="120" t="s">
        <v>207</v>
      </c>
      <c r="B1703" s="121">
        <v>24</v>
      </c>
      <c r="C1703" s="121">
        <v>27</v>
      </c>
      <c r="D1703" s="121">
        <v>2</v>
      </c>
      <c r="E1703" s="121">
        <v>26538</v>
      </c>
    </row>
    <row r="1704" spans="1:5" ht="15">
      <c r="A1704" s="120" t="s">
        <v>207</v>
      </c>
      <c r="B1704" s="121">
        <v>24</v>
      </c>
      <c r="C1704" s="121">
        <v>27</v>
      </c>
      <c r="D1704" s="121">
        <v>3</v>
      </c>
      <c r="E1704" s="121">
        <v>107837</v>
      </c>
    </row>
    <row r="1705" spans="1:5" ht="15">
      <c r="A1705" s="120" t="s">
        <v>207</v>
      </c>
      <c r="B1705" s="121">
        <v>24</v>
      </c>
      <c r="C1705" s="121">
        <v>27</v>
      </c>
      <c r="D1705" s="121">
        <v>4</v>
      </c>
      <c r="E1705" s="121">
        <v>97474</v>
      </c>
    </row>
    <row r="1706" spans="1:5" ht="15">
      <c r="A1706" s="120" t="s">
        <v>253</v>
      </c>
      <c r="B1706" s="121">
        <v>21</v>
      </c>
      <c r="C1706" s="121">
        <v>21</v>
      </c>
      <c r="D1706" s="121">
        <v>2</v>
      </c>
      <c r="E1706" s="121">
        <v>71750</v>
      </c>
    </row>
    <row r="1707" spans="1:5" ht="15">
      <c r="A1707" s="120" t="s">
        <v>253</v>
      </c>
      <c r="B1707" s="121">
        <v>21</v>
      </c>
      <c r="C1707" s="121">
        <v>21</v>
      </c>
      <c r="D1707" s="121">
        <v>3</v>
      </c>
      <c r="E1707" s="121">
        <v>14455</v>
      </c>
    </row>
    <row r="1708" spans="1:5" ht="15">
      <c r="A1708" s="120" t="s">
        <v>253</v>
      </c>
      <c r="B1708" s="121">
        <v>21</v>
      </c>
      <c r="C1708" s="121">
        <v>21</v>
      </c>
      <c r="D1708" s="121">
        <v>4</v>
      </c>
      <c r="E1708" s="121">
        <v>39518</v>
      </c>
    </row>
    <row r="1709" spans="1:5" ht="15">
      <c r="A1709" s="120" t="s">
        <v>253</v>
      </c>
      <c r="B1709" s="121">
        <v>21</v>
      </c>
      <c r="C1709" s="121">
        <v>21</v>
      </c>
      <c r="D1709" s="121">
        <v>7</v>
      </c>
      <c r="E1709" s="121">
        <v>225000</v>
      </c>
    </row>
    <row r="1710" spans="1:5" ht="15">
      <c r="A1710" s="120" t="s">
        <v>253</v>
      </c>
      <c r="B1710" s="121">
        <v>21</v>
      </c>
      <c r="C1710" s="121">
        <v>26</v>
      </c>
      <c r="D1710" s="121">
        <v>2</v>
      </c>
      <c r="E1710" s="121">
        <v>76796</v>
      </c>
    </row>
    <row r="1711" spans="1:5" ht="15">
      <c r="A1711" s="120" t="s">
        <v>253</v>
      </c>
      <c r="B1711" s="121">
        <v>21</v>
      </c>
      <c r="C1711" s="121">
        <v>26</v>
      </c>
      <c r="D1711" s="121">
        <v>3</v>
      </c>
      <c r="E1711" s="121">
        <v>67901</v>
      </c>
    </row>
    <row r="1712" spans="1:5" ht="15">
      <c r="A1712" s="120" t="s">
        <v>253</v>
      </c>
      <c r="B1712" s="121">
        <v>21</v>
      </c>
      <c r="C1712" s="121">
        <v>26</v>
      </c>
      <c r="D1712" s="121">
        <v>4</v>
      </c>
      <c r="E1712" s="121">
        <v>58725</v>
      </c>
    </row>
    <row r="1713" spans="1:5" ht="15">
      <c r="A1713" s="120" t="s">
        <v>253</v>
      </c>
      <c r="B1713" s="121">
        <v>21</v>
      </c>
      <c r="C1713" s="121">
        <v>26</v>
      </c>
      <c r="D1713" s="121">
        <v>7</v>
      </c>
      <c r="E1713" s="121">
        <v>61500</v>
      </c>
    </row>
    <row r="1714" spans="1:5" ht="15">
      <c r="A1714" s="120" t="s">
        <v>253</v>
      </c>
      <c r="B1714" s="121">
        <v>21</v>
      </c>
      <c r="C1714" s="121">
        <v>27</v>
      </c>
      <c r="D1714" s="121">
        <v>2</v>
      </c>
      <c r="E1714" s="121">
        <v>382895</v>
      </c>
    </row>
    <row r="1715" spans="1:5" ht="15">
      <c r="A1715" s="120" t="s">
        <v>253</v>
      </c>
      <c r="B1715" s="121">
        <v>21</v>
      </c>
      <c r="C1715" s="121">
        <v>27</v>
      </c>
      <c r="D1715" s="121">
        <v>3</v>
      </c>
      <c r="E1715" s="121">
        <v>301883</v>
      </c>
    </row>
    <row r="1716" spans="1:5" ht="15">
      <c r="A1716" s="120" t="s">
        <v>253</v>
      </c>
      <c r="B1716" s="121">
        <v>21</v>
      </c>
      <c r="C1716" s="121">
        <v>27</v>
      </c>
      <c r="D1716" s="121">
        <v>4</v>
      </c>
      <c r="E1716" s="121">
        <v>327864</v>
      </c>
    </row>
    <row r="1717" spans="1:5" ht="15">
      <c r="A1717" s="120" t="s">
        <v>253</v>
      </c>
      <c r="B1717" s="121">
        <v>21</v>
      </c>
      <c r="C1717" s="121">
        <v>27</v>
      </c>
      <c r="D1717" s="121">
        <v>7</v>
      </c>
      <c r="E1717" s="121">
        <v>99000</v>
      </c>
    </row>
    <row r="1718" spans="1:5" ht="15">
      <c r="A1718" s="120" t="s">
        <v>253</v>
      </c>
      <c r="B1718" s="121">
        <v>21</v>
      </c>
      <c r="C1718" s="121">
        <v>29</v>
      </c>
      <c r="D1718" s="121">
        <v>7</v>
      </c>
      <c r="E1718" s="121">
        <v>4500</v>
      </c>
    </row>
    <row r="1719" spans="1:5" ht="15">
      <c r="A1719" s="120" t="s">
        <v>253</v>
      </c>
      <c r="B1719" s="121">
        <v>21</v>
      </c>
      <c r="C1719" s="121">
        <v>31</v>
      </c>
      <c r="D1719" s="121">
        <v>2</v>
      </c>
      <c r="E1719" s="121">
        <v>7041</v>
      </c>
    </row>
    <row r="1720" spans="1:5" ht="15">
      <c r="A1720" s="120" t="s">
        <v>253</v>
      </c>
      <c r="B1720" s="121">
        <v>21</v>
      </c>
      <c r="C1720" s="121">
        <v>31</v>
      </c>
      <c r="D1720" s="121">
        <v>4</v>
      </c>
      <c r="E1720" s="121">
        <v>1521</v>
      </c>
    </row>
    <row r="1721" spans="1:5" ht="15">
      <c r="A1721" s="120" t="s">
        <v>253</v>
      </c>
      <c r="B1721" s="121">
        <v>21</v>
      </c>
      <c r="C1721" s="121">
        <v>31</v>
      </c>
      <c r="D1721" s="121">
        <v>7</v>
      </c>
      <c r="E1721" s="121">
        <v>3000</v>
      </c>
    </row>
    <row r="1722" spans="1:5" ht="15">
      <c r="A1722" s="120" t="s">
        <v>253</v>
      </c>
      <c r="B1722" s="121">
        <v>21</v>
      </c>
      <c r="C1722" s="121">
        <v>31</v>
      </c>
      <c r="D1722" s="121">
        <v>8</v>
      </c>
      <c r="E1722" s="121">
        <v>500</v>
      </c>
    </row>
    <row r="1723" spans="1:5" ht="15">
      <c r="A1723" s="120" t="s">
        <v>253</v>
      </c>
      <c r="B1723" s="121">
        <v>21</v>
      </c>
      <c r="C1723" s="121">
        <v>32</v>
      </c>
      <c r="D1723" s="121">
        <v>5</v>
      </c>
      <c r="E1723" s="121">
        <v>1200</v>
      </c>
    </row>
    <row r="1724" spans="1:5" ht="15">
      <c r="A1724" s="120" t="s">
        <v>253</v>
      </c>
      <c r="B1724" s="121">
        <v>21</v>
      </c>
      <c r="C1724" s="121">
        <v>33</v>
      </c>
      <c r="D1724" s="121">
        <v>5</v>
      </c>
      <c r="E1724" s="121">
        <v>2000</v>
      </c>
    </row>
    <row r="1725" spans="1:5" ht="15">
      <c r="A1725" s="120" t="s">
        <v>253</v>
      </c>
      <c r="B1725" s="121">
        <v>24</v>
      </c>
      <c r="C1725" s="121">
        <v>27</v>
      </c>
      <c r="D1725" s="121">
        <v>2</v>
      </c>
      <c r="E1725" s="121">
        <v>107238</v>
      </c>
    </row>
    <row r="1726" spans="1:5" ht="15">
      <c r="A1726" s="120" t="s">
        <v>253</v>
      </c>
      <c r="B1726" s="121">
        <v>24</v>
      </c>
      <c r="C1726" s="121">
        <v>27</v>
      </c>
      <c r="D1726" s="121">
        <v>4</v>
      </c>
      <c r="E1726" s="121">
        <v>34175</v>
      </c>
    </row>
    <row r="1727" spans="1:5" ht="15">
      <c r="A1727" s="120" t="s">
        <v>253</v>
      </c>
      <c r="B1727" s="121">
        <v>24</v>
      </c>
      <c r="C1727" s="121">
        <v>31</v>
      </c>
      <c r="D1727" s="121">
        <v>2</v>
      </c>
      <c r="E1727" s="121">
        <v>2390</v>
      </c>
    </row>
    <row r="1728" spans="1:5" ht="15">
      <c r="A1728" s="120" t="s">
        <v>253</v>
      </c>
      <c r="B1728" s="121">
        <v>24</v>
      </c>
      <c r="C1728" s="121">
        <v>31</v>
      </c>
      <c r="D1728" s="121">
        <v>4</v>
      </c>
      <c r="E1728" s="121">
        <v>430</v>
      </c>
    </row>
    <row r="1729" spans="1:5" ht="15">
      <c r="A1729" s="120" t="s">
        <v>157</v>
      </c>
      <c r="B1729" s="121">
        <v>21</v>
      </c>
      <c r="C1729" s="121">
        <v>21</v>
      </c>
      <c r="D1729" s="121">
        <v>2</v>
      </c>
      <c r="E1729" s="121">
        <v>399669</v>
      </c>
    </row>
    <row r="1730" spans="1:5" ht="15">
      <c r="A1730" s="120" t="s">
        <v>157</v>
      </c>
      <c r="B1730" s="121">
        <v>21</v>
      </c>
      <c r="C1730" s="121">
        <v>21</v>
      </c>
      <c r="D1730" s="121">
        <v>3</v>
      </c>
      <c r="E1730" s="121">
        <v>99693</v>
      </c>
    </row>
    <row r="1731" spans="1:5" ht="15">
      <c r="A1731" s="120" t="s">
        <v>157</v>
      </c>
      <c r="B1731" s="121">
        <v>21</v>
      </c>
      <c r="C1731" s="121">
        <v>21</v>
      </c>
      <c r="D1731" s="121">
        <v>4</v>
      </c>
      <c r="E1731" s="121">
        <v>137003</v>
      </c>
    </row>
    <row r="1732" spans="1:5" ht="15">
      <c r="A1732" s="120" t="s">
        <v>157</v>
      </c>
      <c r="B1732" s="121">
        <v>21</v>
      </c>
      <c r="C1732" s="121">
        <v>21</v>
      </c>
      <c r="D1732" s="121">
        <v>5</v>
      </c>
      <c r="E1732" s="121">
        <v>1216</v>
      </c>
    </row>
    <row r="1733" spans="1:5" ht="15">
      <c r="A1733" s="120" t="s">
        <v>157</v>
      </c>
      <c r="B1733" s="121">
        <v>21</v>
      </c>
      <c r="C1733" s="121">
        <v>21</v>
      </c>
      <c r="D1733" s="121">
        <v>7</v>
      </c>
      <c r="E1733" s="121">
        <v>3086</v>
      </c>
    </row>
    <row r="1734" spans="1:5" ht="15">
      <c r="A1734" s="120" t="s">
        <v>157</v>
      </c>
      <c r="B1734" s="121">
        <v>21</v>
      </c>
      <c r="C1734" s="121">
        <v>21</v>
      </c>
      <c r="D1734" s="121">
        <v>8</v>
      </c>
      <c r="E1734" s="121">
        <v>3239</v>
      </c>
    </row>
    <row r="1735" spans="1:5" ht="15">
      <c r="A1735" s="120" t="s">
        <v>157</v>
      </c>
      <c r="B1735" s="121">
        <v>21</v>
      </c>
      <c r="C1735" s="121">
        <v>26</v>
      </c>
      <c r="D1735" s="121">
        <v>2</v>
      </c>
      <c r="E1735" s="121">
        <v>1207961</v>
      </c>
    </row>
    <row r="1736" spans="1:5" ht="15">
      <c r="A1736" s="120" t="s">
        <v>157</v>
      </c>
      <c r="B1736" s="121">
        <v>21</v>
      </c>
      <c r="C1736" s="121">
        <v>26</v>
      </c>
      <c r="D1736" s="121">
        <v>3</v>
      </c>
      <c r="E1736" s="121">
        <v>6726</v>
      </c>
    </row>
    <row r="1737" spans="1:5" ht="15">
      <c r="A1737" s="120" t="s">
        <v>157</v>
      </c>
      <c r="B1737" s="121">
        <v>21</v>
      </c>
      <c r="C1737" s="121">
        <v>26</v>
      </c>
      <c r="D1737" s="121">
        <v>4</v>
      </c>
      <c r="E1737" s="121">
        <v>371563</v>
      </c>
    </row>
    <row r="1738" spans="1:5" ht="15">
      <c r="A1738" s="120" t="s">
        <v>157</v>
      </c>
      <c r="B1738" s="121">
        <v>21</v>
      </c>
      <c r="C1738" s="121">
        <v>26</v>
      </c>
      <c r="D1738" s="121">
        <v>5</v>
      </c>
      <c r="E1738" s="121">
        <v>4556</v>
      </c>
    </row>
    <row r="1739" spans="1:5" ht="15">
      <c r="A1739" s="120" t="s">
        <v>157</v>
      </c>
      <c r="B1739" s="121">
        <v>21</v>
      </c>
      <c r="C1739" s="121">
        <v>26</v>
      </c>
      <c r="D1739" s="121">
        <v>7</v>
      </c>
      <c r="E1739" s="121">
        <v>1235104</v>
      </c>
    </row>
    <row r="1740" spans="1:5" ht="15">
      <c r="A1740" s="120" t="s">
        <v>157</v>
      </c>
      <c r="B1740" s="121">
        <v>21</v>
      </c>
      <c r="C1740" s="121">
        <v>26</v>
      </c>
      <c r="D1740" s="121">
        <v>8</v>
      </c>
      <c r="E1740" s="121">
        <v>2367</v>
      </c>
    </row>
    <row r="1741" spans="1:5" ht="15">
      <c r="A1741" s="120" t="s">
        <v>157</v>
      </c>
      <c r="B1741" s="121">
        <v>21</v>
      </c>
      <c r="C1741" s="121">
        <v>27</v>
      </c>
      <c r="D1741" s="121">
        <v>0</v>
      </c>
      <c r="E1741" s="121">
        <v>621</v>
      </c>
    </row>
    <row r="1742" spans="1:5" ht="15">
      <c r="A1742" s="120" t="s">
        <v>157</v>
      </c>
      <c r="B1742" s="121">
        <v>21</v>
      </c>
      <c r="C1742" s="121">
        <v>27</v>
      </c>
      <c r="D1742" s="121">
        <v>2</v>
      </c>
      <c r="E1742" s="121">
        <v>2973880</v>
      </c>
    </row>
    <row r="1743" spans="1:5" ht="15">
      <c r="A1743" s="120" t="s">
        <v>157</v>
      </c>
      <c r="B1743" s="121">
        <v>21</v>
      </c>
      <c r="C1743" s="121">
        <v>27</v>
      </c>
      <c r="D1743" s="121">
        <v>3</v>
      </c>
      <c r="E1743" s="121">
        <v>2419998</v>
      </c>
    </row>
    <row r="1744" spans="1:5" ht="15">
      <c r="A1744" s="120" t="s">
        <v>157</v>
      </c>
      <c r="B1744" s="121">
        <v>21</v>
      </c>
      <c r="C1744" s="121">
        <v>27</v>
      </c>
      <c r="D1744" s="121">
        <v>4</v>
      </c>
      <c r="E1744" s="121">
        <v>2486625</v>
      </c>
    </row>
    <row r="1745" spans="1:5" ht="15">
      <c r="A1745" s="120" t="s">
        <v>157</v>
      </c>
      <c r="B1745" s="121">
        <v>21</v>
      </c>
      <c r="C1745" s="121">
        <v>27</v>
      </c>
      <c r="D1745" s="121">
        <v>5</v>
      </c>
      <c r="E1745" s="121">
        <v>12810</v>
      </c>
    </row>
    <row r="1746" spans="1:5" ht="15">
      <c r="A1746" s="120" t="s">
        <v>157</v>
      </c>
      <c r="B1746" s="121">
        <v>21</v>
      </c>
      <c r="C1746" s="121">
        <v>27</v>
      </c>
      <c r="D1746" s="121">
        <v>7</v>
      </c>
      <c r="E1746" s="121">
        <v>1623976</v>
      </c>
    </row>
    <row r="1747" spans="1:5" ht="15">
      <c r="A1747" s="120" t="s">
        <v>253</v>
      </c>
      <c r="B1747" s="121">
        <v>29</v>
      </c>
      <c r="C1747" s="121">
        <v>27</v>
      </c>
      <c r="D1747" s="121">
        <v>3</v>
      </c>
      <c r="E1747" s="121">
        <v>70202</v>
      </c>
    </row>
    <row r="1748" spans="1:5" ht="15">
      <c r="A1748" s="120" t="s">
        <v>253</v>
      </c>
      <c r="B1748" s="121">
        <v>29</v>
      </c>
      <c r="C1748" s="121">
        <v>27</v>
      </c>
      <c r="D1748" s="121">
        <v>4</v>
      </c>
      <c r="E1748" s="121">
        <v>45376</v>
      </c>
    </row>
    <row r="1749" spans="1:5" ht="15">
      <c r="A1749" s="120" t="s">
        <v>157</v>
      </c>
      <c r="B1749" s="121">
        <v>21</v>
      </c>
      <c r="C1749" s="121">
        <v>27</v>
      </c>
      <c r="D1749" s="121">
        <v>8</v>
      </c>
      <c r="E1749" s="121">
        <v>752</v>
      </c>
    </row>
    <row r="1750" spans="1:5" ht="15">
      <c r="A1750" s="120" t="s">
        <v>157</v>
      </c>
      <c r="B1750" s="121">
        <v>21</v>
      </c>
      <c r="C1750" s="121">
        <v>31</v>
      </c>
      <c r="D1750" s="121">
        <v>0</v>
      </c>
      <c r="E1750" s="121">
        <v>69</v>
      </c>
    </row>
    <row r="1751" spans="1:5" ht="15">
      <c r="A1751" s="120" t="s">
        <v>157</v>
      </c>
      <c r="B1751" s="121">
        <v>21</v>
      </c>
      <c r="C1751" s="121">
        <v>31</v>
      </c>
      <c r="D1751" s="121">
        <v>2</v>
      </c>
      <c r="E1751" s="121">
        <v>67146</v>
      </c>
    </row>
    <row r="1752" spans="1:5" ht="15">
      <c r="A1752" s="120" t="s">
        <v>157</v>
      </c>
      <c r="B1752" s="121">
        <v>21</v>
      </c>
      <c r="C1752" s="121">
        <v>31</v>
      </c>
      <c r="D1752" s="121">
        <v>4</v>
      </c>
      <c r="E1752" s="121">
        <v>10917</v>
      </c>
    </row>
    <row r="1753" spans="1:5" ht="15">
      <c r="A1753" s="120" t="s">
        <v>157</v>
      </c>
      <c r="B1753" s="121">
        <v>21</v>
      </c>
      <c r="C1753" s="121">
        <v>31</v>
      </c>
      <c r="D1753" s="121">
        <v>5</v>
      </c>
      <c r="E1753" s="121">
        <v>147</v>
      </c>
    </row>
    <row r="1754" spans="1:5" ht="15">
      <c r="A1754" s="120" t="s">
        <v>157</v>
      </c>
      <c r="B1754" s="121">
        <v>21</v>
      </c>
      <c r="C1754" s="121">
        <v>31</v>
      </c>
      <c r="D1754" s="121">
        <v>7</v>
      </c>
      <c r="E1754" s="121">
        <v>10161</v>
      </c>
    </row>
    <row r="1755" spans="1:5" ht="15">
      <c r="A1755" s="120" t="s">
        <v>157</v>
      </c>
      <c r="B1755" s="121">
        <v>21</v>
      </c>
      <c r="C1755" s="121">
        <v>31</v>
      </c>
      <c r="D1755" s="121">
        <v>8</v>
      </c>
      <c r="E1755" s="121">
        <v>11039</v>
      </c>
    </row>
    <row r="1756" spans="1:5" ht="15">
      <c r="A1756" s="120" t="s">
        <v>157</v>
      </c>
      <c r="B1756" s="121">
        <v>21</v>
      </c>
      <c r="C1756" s="121">
        <v>32</v>
      </c>
      <c r="D1756" s="121">
        <v>5</v>
      </c>
      <c r="E1756" s="121">
        <v>600</v>
      </c>
    </row>
    <row r="1757" spans="1:5" ht="15">
      <c r="A1757" s="120" t="s">
        <v>157</v>
      </c>
      <c r="B1757" s="121">
        <v>21</v>
      </c>
      <c r="C1757" s="121">
        <v>32</v>
      </c>
      <c r="D1757" s="121">
        <v>7</v>
      </c>
      <c r="E1757" s="121">
        <v>4125</v>
      </c>
    </row>
    <row r="1758" spans="1:5" ht="15">
      <c r="A1758" s="120" t="s">
        <v>157</v>
      </c>
      <c r="B1758" s="121">
        <v>21</v>
      </c>
      <c r="C1758" s="121">
        <v>33</v>
      </c>
      <c r="D1758" s="121">
        <v>5</v>
      </c>
      <c r="E1758" s="121">
        <v>26286</v>
      </c>
    </row>
    <row r="1759" spans="1:5" ht="15">
      <c r="A1759" s="120" t="s">
        <v>157</v>
      </c>
      <c r="B1759" s="121">
        <v>21</v>
      </c>
      <c r="C1759" s="121">
        <v>33</v>
      </c>
      <c r="D1759" s="121">
        <v>7</v>
      </c>
      <c r="E1759" s="121">
        <v>16618</v>
      </c>
    </row>
    <row r="1760" spans="1:5" ht="15">
      <c r="A1760" s="120" t="s">
        <v>157</v>
      </c>
      <c r="B1760" s="121">
        <v>21</v>
      </c>
      <c r="C1760" s="121">
        <v>34</v>
      </c>
      <c r="D1760" s="121">
        <v>2</v>
      </c>
      <c r="E1760" s="121">
        <v>107744</v>
      </c>
    </row>
    <row r="1761" spans="1:5" ht="15">
      <c r="A1761" s="120" t="s">
        <v>157</v>
      </c>
      <c r="B1761" s="121">
        <v>21</v>
      </c>
      <c r="C1761" s="121">
        <v>34</v>
      </c>
      <c r="D1761" s="121">
        <v>4</v>
      </c>
      <c r="E1761" s="121">
        <v>17477</v>
      </c>
    </row>
    <row r="1762" spans="1:5" ht="15">
      <c r="A1762" s="120" t="s">
        <v>157</v>
      </c>
      <c r="B1762" s="121">
        <v>24</v>
      </c>
      <c r="C1762" s="121">
        <v>26</v>
      </c>
      <c r="D1762" s="121">
        <v>2</v>
      </c>
      <c r="E1762" s="121">
        <v>424835</v>
      </c>
    </row>
    <row r="1763" spans="1:5" ht="15">
      <c r="A1763" s="120" t="s">
        <v>157</v>
      </c>
      <c r="B1763" s="121">
        <v>24</v>
      </c>
      <c r="C1763" s="121">
        <v>26</v>
      </c>
      <c r="D1763" s="121">
        <v>4</v>
      </c>
      <c r="E1763" s="121">
        <v>131556</v>
      </c>
    </row>
    <row r="1764" spans="1:5" ht="15">
      <c r="A1764" s="120" t="s">
        <v>157</v>
      </c>
      <c r="B1764" s="121">
        <v>24</v>
      </c>
      <c r="C1764" s="121">
        <v>26</v>
      </c>
      <c r="D1764" s="121">
        <v>5</v>
      </c>
      <c r="E1764" s="121">
        <v>1500</v>
      </c>
    </row>
    <row r="1765" spans="1:5" ht="15">
      <c r="A1765" s="120" t="s">
        <v>157</v>
      </c>
      <c r="B1765" s="121">
        <v>24</v>
      </c>
      <c r="C1765" s="121">
        <v>27</v>
      </c>
      <c r="D1765" s="121">
        <v>2</v>
      </c>
      <c r="E1765" s="121">
        <v>399979</v>
      </c>
    </row>
    <row r="1766" spans="1:5" ht="15">
      <c r="A1766" s="120" t="s">
        <v>157</v>
      </c>
      <c r="B1766" s="121">
        <v>24</v>
      </c>
      <c r="C1766" s="121">
        <v>27</v>
      </c>
      <c r="D1766" s="121">
        <v>3</v>
      </c>
      <c r="E1766" s="121">
        <v>17863</v>
      </c>
    </row>
    <row r="1767" spans="1:5" ht="15">
      <c r="A1767" s="120" t="s">
        <v>157</v>
      </c>
      <c r="B1767" s="121">
        <v>24</v>
      </c>
      <c r="C1767" s="121">
        <v>27</v>
      </c>
      <c r="D1767" s="121">
        <v>4</v>
      </c>
      <c r="E1767" s="121">
        <v>141674</v>
      </c>
    </row>
    <row r="1768" spans="1:5" ht="15">
      <c r="A1768" s="120" t="s">
        <v>157</v>
      </c>
      <c r="B1768" s="121">
        <v>24</v>
      </c>
      <c r="C1768" s="121">
        <v>27</v>
      </c>
      <c r="D1768" s="121">
        <v>5</v>
      </c>
      <c r="E1768" s="121">
        <v>4500</v>
      </c>
    </row>
    <row r="1769" spans="1:5" ht="15">
      <c r="A1769" s="120" t="s">
        <v>157</v>
      </c>
      <c r="B1769" s="121">
        <v>24</v>
      </c>
      <c r="C1769" s="121">
        <v>31</v>
      </c>
      <c r="D1769" s="121">
        <v>2</v>
      </c>
      <c r="E1769" s="121">
        <v>37891</v>
      </c>
    </row>
    <row r="1770" spans="1:5" ht="15">
      <c r="A1770" s="120" t="s">
        <v>157</v>
      </c>
      <c r="B1770" s="121">
        <v>24</v>
      </c>
      <c r="C1770" s="121">
        <v>31</v>
      </c>
      <c r="D1770" s="121">
        <v>4</v>
      </c>
      <c r="E1770" s="121">
        <v>6291</v>
      </c>
    </row>
    <row r="1771" spans="1:5" ht="15">
      <c r="A1771" s="120" t="s">
        <v>183</v>
      </c>
      <c r="B1771" s="121">
        <v>21</v>
      </c>
      <c r="C1771" s="121">
        <v>26</v>
      </c>
      <c r="D1771" s="121">
        <v>7</v>
      </c>
      <c r="E1771" s="121">
        <v>26000</v>
      </c>
    </row>
    <row r="1772" spans="1:5" ht="15">
      <c r="A1772" s="120" t="s">
        <v>183</v>
      </c>
      <c r="B1772" s="121">
        <v>21</v>
      </c>
      <c r="C1772" s="121">
        <v>27</v>
      </c>
      <c r="D1772" s="121">
        <v>2</v>
      </c>
      <c r="E1772" s="121">
        <v>73705</v>
      </c>
    </row>
    <row r="1773" spans="1:5" ht="15">
      <c r="A1773" s="120" t="s">
        <v>183</v>
      </c>
      <c r="B1773" s="121">
        <v>21</v>
      </c>
      <c r="C1773" s="121">
        <v>27</v>
      </c>
      <c r="D1773" s="121">
        <v>3</v>
      </c>
      <c r="E1773" s="121">
        <v>97592</v>
      </c>
    </row>
    <row r="1774" spans="1:5" ht="15">
      <c r="A1774" s="120" t="s">
        <v>183</v>
      </c>
      <c r="B1774" s="121">
        <v>21</v>
      </c>
      <c r="C1774" s="121">
        <v>27</v>
      </c>
      <c r="D1774" s="121">
        <v>4</v>
      </c>
      <c r="E1774" s="121">
        <v>92041</v>
      </c>
    </row>
    <row r="1775" spans="1:5" ht="15">
      <c r="A1775" s="120" t="s">
        <v>183</v>
      </c>
      <c r="B1775" s="121">
        <v>21</v>
      </c>
      <c r="C1775" s="121">
        <v>27</v>
      </c>
      <c r="D1775" s="121">
        <v>5</v>
      </c>
      <c r="E1775" s="121">
        <v>2500</v>
      </c>
    </row>
    <row r="1776" spans="1:5" ht="15">
      <c r="A1776" s="120" t="s">
        <v>183</v>
      </c>
      <c r="B1776" s="121">
        <v>21</v>
      </c>
      <c r="C1776" s="121">
        <v>27</v>
      </c>
      <c r="D1776" s="121">
        <v>7</v>
      </c>
      <c r="E1776" s="121">
        <v>3000</v>
      </c>
    </row>
    <row r="1777" spans="1:5" ht="15">
      <c r="A1777" s="120" t="s">
        <v>225</v>
      </c>
      <c r="B1777" s="121">
        <v>21</v>
      </c>
      <c r="C1777" s="121">
        <v>26</v>
      </c>
      <c r="D1777" s="121">
        <v>5</v>
      </c>
      <c r="E1777" s="121">
        <v>100</v>
      </c>
    </row>
    <row r="1778" spans="1:5" ht="15">
      <c r="A1778" s="120" t="s">
        <v>225</v>
      </c>
      <c r="B1778" s="121">
        <v>21</v>
      </c>
      <c r="C1778" s="121">
        <v>27</v>
      </c>
      <c r="D1778" s="121">
        <v>3</v>
      </c>
      <c r="E1778" s="121">
        <v>7230</v>
      </c>
    </row>
    <row r="1779" spans="1:5" ht="15">
      <c r="A1779" s="120" t="s">
        <v>225</v>
      </c>
      <c r="B1779" s="121">
        <v>21</v>
      </c>
      <c r="C1779" s="121">
        <v>27</v>
      </c>
      <c r="D1779" s="121">
        <v>4</v>
      </c>
      <c r="E1779" s="121">
        <v>10056</v>
      </c>
    </row>
    <row r="1780" spans="1:5" ht="15">
      <c r="A1780" s="120" t="s">
        <v>225</v>
      </c>
      <c r="B1780" s="121">
        <v>21</v>
      </c>
      <c r="C1780" s="121">
        <v>27</v>
      </c>
      <c r="D1780" s="121">
        <v>5</v>
      </c>
      <c r="E1780" s="121">
        <v>100</v>
      </c>
    </row>
    <row r="1781" spans="1:5" ht="15">
      <c r="A1781" s="120" t="s">
        <v>225</v>
      </c>
      <c r="B1781" s="121">
        <v>21</v>
      </c>
      <c r="C1781" s="121">
        <v>27</v>
      </c>
      <c r="D1781" s="121">
        <v>7</v>
      </c>
      <c r="E1781" s="121">
        <v>80766</v>
      </c>
    </row>
    <row r="1782" spans="1:5" ht="15">
      <c r="A1782" s="120" t="s">
        <v>277</v>
      </c>
      <c r="B1782" s="121">
        <v>21</v>
      </c>
      <c r="C1782" s="121">
        <v>21</v>
      </c>
      <c r="D1782" s="121">
        <v>2</v>
      </c>
      <c r="E1782" s="121">
        <v>26042</v>
      </c>
    </row>
    <row r="1783" spans="1:5" ht="15">
      <c r="A1783" s="120" t="s">
        <v>277</v>
      </c>
      <c r="B1783" s="121">
        <v>21</v>
      </c>
      <c r="C1783" s="121">
        <v>21</v>
      </c>
      <c r="D1783" s="121">
        <v>4</v>
      </c>
      <c r="E1783" s="121">
        <v>4160</v>
      </c>
    </row>
    <row r="1784" spans="1:5" ht="15">
      <c r="A1784" s="120" t="s">
        <v>277</v>
      </c>
      <c r="B1784" s="121">
        <v>21</v>
      </c>
      <c r="C1784" s="121">
        <v>26</v>
      </c>
      <c r="D1784" s="121">
        <v>5</v>
      </c>
      <c r="E1784" s="121">
        <v>2000</v>
      </c>
    </row>
    <row r="1785" spans="1:5" ht="15">
      <c r="A1785" s="120" t="s">
        <v>277</v>
      </c>
      <c r="B1785" s="121">
        <v>21</v>
      </c>
      <c r="C1785" s="121">
        <v>26</v>
      </c>
      <c r="D1785" s="121">
        <v>7</v>
      </c>
      <c r="E1785" s="121">
        <v>238553</v>
      </c>
    </row>
    <row r="1786" spans="1:5" ht="15">
      <c r="A1786" s="120" t="s">
        <v>277</v>
      </c>
      <c r="B1786" s="121">
        <v>21</v>
      </c>
      <c r="C1786" s="121">
        <v>27</v>
      </c>
      <c r="D1786" s="121">
        <v>2</v>
      </c>
      <c r="E1786" s="121">
        <v>238310</v>
      </c>
    </row>
    <row r="1787" spans="1:5" ht="15">
      <c r="A1787" s="120" t="s">
        <v>277</v>
      </c>
      <c r="B1787" s="121">
        <v>21</v>
      </c>
      <c r="C1787" s="121">
        <v>27</v>
      </c>
      <c r="D1787" s="121">
        <v>3</v>
      </c>
      <c r="E1787" s="121">
        <v>177378</v>
      </c>
    </row>
    <row r="1788" spans="1:5" ht="15">
      <c r="A1788" s="120" t="s">
        <v>277</v>
      </c>
      <c r="B1788" s="121">
        <v>21</v>
      </c>
      <c r="C1788" s="121">
        <v>27</v>
      </c>
      <c r="D1788" s="121">
        <v>4</v>
      </c>
      <c r="E1788" s="121">
        <v>169903</v>
      </c>
    </row>
    <row r="1789" spans="1:5" ht="15">
      <c r="A1789" s="120" t="s">
        <v>277</v>
      </c>
      <c r="B1789" s="121">
        <v>21</v>
      </c>
      <c r="C1789" s="121">
        <v>27</v>
      </c>
      <c r="D1789" s="121">
        <v>5</v>
      </c>
      <c r="E1789" s="121">
        <v>7000</v>
      </c>
    </row>
    <row r="1790" spans="1:5" ht="15">
      <c r="A1790" s="120" t="s">
        <v>277</v>
      </c>
      <c r="B1790" s="121">
        <v>21</v>
      </c>
      <c r="C1790" s="121">
        <v>27</v>
      </c>
      <c r="D1790" s="121">
        <v>7</v>
      </c>
      <c r="E1790" s="121">
        <v>3000</v>
      </c>
    </row>
    <row r="1791" spans="1:5" ht="15">
      <c r="A1791" s="120" t="s">
        <v>277</v>
      </c>
      <c r="B1791" s="121">
        <v>21</v>
      </c>
      <c r="C1791" s="121">
        <v>31</v>
      </c>
      <c r="D1791" s="121">
        <v>2</v>
      </c>
      <c r="E1791" s="121">
        <v>995</v>
      </c>
    </row>
    <row r="1792" spans="1:5" ht="15">
      <c r="A1792" s="120" t="s">
        <v>277</v>
      </c>
      <c r="B1792" s="121">
        <v>21</v>
      </c>
      <c r="C1792" s="121">
        <v>31</v>
      </c>
      <c r="D1792" s="121">
        <v>4</v>
      </c>
      <c r="E1792" s="121">
        <v>300</v>
      </c>
    </row>
    <row r="1793" spans="1:5" ht="15">
      <c r="A1793" s="120" t="s">
        <v>277</v>
      </c>
      <c r="B1793" s="121">
        <v>21</v>
      </c>
      <c r="C1793" s="121">
        <v>34</v>
      </c>
      <c r="D1793" s="121">
        <v>2</v>
      </c>
      <c r="E1793" s="121">
        <v>2986</v>
      </c>
    </row>
    <row r="1794" spans="1:5" ht="15">
      <c r="A1794" s="120" t="s">
        <v>277</v>
      </c>
      <c r="B1794" s="121">
        <v>21</v>
      </c>
      <c r="C1794" s="121">
        <v>34</v>
      </c>
      <c r="D1794" s="121">
        <v>4</v>
      </c>
      <c r="E1794" s="121">
        <v>898</v>
      </c>
    </row>
    <row r="1795" spans="1:5" ht="15">
      <c r="A1795" s="120" t="s">
        <v>225</v>
      </c>
      <c r="B1795" s="121">
        <v>24</v>
      </c>
      <c r="C1795" s="121">
        <v>27</v>
      </c>
      <c r="D1795" s="121">
        <v>7</v>
      </c>
      <c r="E1795" s="121">
        <v>8751</v>
      </c>
    </row>
    <row r="1796" spans="1:5" ht="15">
      <c r="A1796" s="120" t="s">
        <v>277</v>
      </c>
      <c r="B1796" s="121">
        <v>24</v>
      </c>
      <c r="C1796" s="121">
        <v>26</v>
      </c>
      <c r="D1796" s="121">
        <v>2</v>
      </c>
      <c r="E1796" s="121">
        <v>68820</v>
      </c>
    </row>
    <row r="1797" spans="1:5" ht="15">
      <c r="A1797" s="120" t="s">
        <v>277</v>
      </c>
      <c r="B1797" s="121">
        <v>24</v>
      </c>
      <c r="C1797" s="121">
        <v>26</v>
      </c>
      <c r="D1797" s="121">
        <v>4</v>
      </c>
      <c r="E1797" s="121">
        <v>26197</v>
      </c>
    </row>
    <row r="1798" spans="1:5" ht="15">
      <c r="A1798" s="120" t="s">
        <v>183</v>
      </c>
      <c r="B1798" s="121">
        <v>24</v>
      </c>
      <c r="C1798" s="121">
        <v>26</v>
      </c>
      <c r="D1798" s="121">
        <v>7</v>
      </c>
      <c r="E1798" s="121">
        <v>34000</v>
      </c>
    </row>
    <row r="1799" spans="1:5" ht="15">
      <c r="A1799" s="120" t="s">
        <v>255</v>
      </c>
      <c r="B1799" s="121">
        <v>21</v>
      </c>
      <c r="C1799" s="121">
        <v>24</v>
      </c>
      <c r="D1799" s="121">
        <v>2</v>
      </c>
      <c r="E1799" s="121">
        <v>7230</v>
      </c>
    </row>
    <row r="1800" spans="1:5" ht="15">
      <c r="A1800" s="120" t="s">
        <v>255</v>
      </c>
      <c r="B1800" s="121">
        <v>21</v>
      </c>
      <c r="C1800" s="121">
        <v>24</v>
      </c>
      <c r="D1800" s="121">
        <v>4</v>
      </c>
      <c r="E1800" s="121">
        <v>32</v>
      </c>
    </row>
    <row r="1801" spans="1:5" ht="15">
      <c r="A1801" s="120" t="s">
        <v>255</v>
      </c>
      <c r="B1801" s="121">
        <v>21</v>
      </c>
      <c r="C1801" s="121">
        <v>27</v>
      </c>
      <c r="D1801" s="121">
        <v>2</v>
      </c>
      <c r="E1801" s="121">
        <v>77436</v>
      </c>
    </row>
    <row r="1802" spans="1:5" ht="15">
      <c r="A1802" s="120" t="s">
        <v>255</v>
      </c>
      <c r="B1802" s="121">
        <v>21</v>
      </c>
      <c r="C1802" s="121">
        <v>27</v>
      </c>
      <c r="D1802" s="121">
        <v>4</v>
      </c>
      <c r="E1802" s="121">
        <v>48040</v>
      </c>
    </row>
    <row r="1803" spans="1:5" ht="15">
      <c r="A1803" s="120" t="s">
        <v>255</v>
      </c>
      <c r="B1803" s="121">
        <v>21</v>
      </c>
      <c r="C1803" s="121">
        <v>27</v>
      </c>
      <c r="D1803" s="121">
        <v>5</v>
      </c>
      <c r="E1803" s="121">
        <v>4500</v>
      </c>
    </row>
    <row r="1804" spans="1:5" ht="15">
      <c r="A1804" s="120" t="s">
        <v>255</v>
      </c>
      <c r="B1804" s="121">
        <v>21</v>
      </c>
      <c r="C1804" s="121">
        <v>27</v>
      </c>
      <c r="D1804" s="121">
        <v>7</v>
      </c>
      <c r="E1804" s="121">
        <v>80500</v>
      </c>
    </row>
    <row r="1805" spans="1:5" ht="15">
      <c r="A1805" s="120" t="s">
        <v>255</v>
      </c>
      <c r="B1805" s="121">
        <v>21</v>
      </c>
      <c r="C1805" s="121">
        <v>32</v>
      </c>
      <c r="D1805" s="121">
        <v>5</v>
      </c>
      <c r="E1805" s="121">
        <v>500</v>
      </c>
    </row>
    <row r="1806" spans="1:5" ht="15">
      <c r="A1806" s="120" t="s">
        <v>255</v>
      </c>
      <c r="B1806" s="121">
        <v>21</v>
      </c>
      <c r="C1806" s="121">
        <v>33</v>
      </c>
      <c r="D1806" s="121">
        <v>5</v>
      </c>
      <c r="E1806" s="121">
        <v>1500</v>
      </c>
    </row>
    <row r="1807" spans="1:5" ht="15">
      <c r="A1807" s="120" t="s">
        <v>255</v>
      </c>
      <c r="B1807" s="121">
        <v>24</v>
      </c>
      <c r="C1807" s="121">
        <v>27</v>
      </c>
      <c r="D1807" s="121">
        <v>5</v>
      </c>
      <c r="E1807" s="121">
        <v>500</v>
      </c>
    </row>
    <row r="1808" spans="1:5" ht="15">
      <c r="A1808" s="120" t="s">
        <v>255</v>
      </c>
      <c r="B1808" s="121">
        <v>24</v>
      </c>
      <c r="C1808" s="121">
        <v>27</v>
      </c>
      <c r="D1808" s="121">
        <v>7</v>
      </c>
      <c r="E1808" s="121">
        <v>18800</v>
      </c>
    </row>
    <row r="1809" spans="1:5" ht="15">
      <c r="A1809" s="120" t="s">
        <v>255</v>
      </c>
      <c r="B1809" s="121">
        <v>24</v>
      </c>
      <c r="C1809" s="121">
        <v>32</v>
      </c>
      <c r="D1809" s="121">
        <v>5</v>
      </c>
      <c r="E1809" s="121">
        <v>32</v>
      </c>
    </row>
    <row r="1810" spans="1:5" ht="15">
      <c r="A1810" s="120" t="s">
        <v>209</v>
      </c>
      <c r="B1810" s="121">
        <v>21</v>
      </c>
      <c r="C1810" s="121">
        <v>21</v>
      </c>
      <c r="D1810" s="121">
        <v>2</v>
      </c>
      <c r="E1810" s="121">
        <v>585994</v>
      </c>
    </row>
    <row r="1811" spans="1:5" ht="15">
      <c r="A1811" s="120" t="s">
        <v>209</v>
      </c>
      <c r="B1811" s="121">
        <v>21</v>
      </c>
      <c r="C1811" s="121">
        <v>21</v>
      </c>
      <c r="D1811" s="121">
        <v>3</v>
      </c>
      <c r="E1811" s="121">
        <v>195719</v>
      </c>
    </row>
    <row r="1812" spans="1:5" ht="15">
      <c r="A1812" s="120" t="s">
        <v>209</v>
      </c>
      <c r="B1812" s="121">
        <v>21</v>
      </c>
      <c r="C1812" s="121">
        <v>21</v>
      </c>
      <c r="D1812" s="121">
        <v>4</v>
      </c>
      <c r="E1812" s="121">
        <v>199560</v>
      </c>
    </row>
    <row r="1813" spans="1:5" ht="15">
      <c r="A1813" s="120" t="s">
        <v>209</v>
      </c>
      <c r="B1813" s="121">
        <v>21</v>
      </c>
      <c r="C1813" s="121">
        <v>24</v>
      </c>
      <c r="D1813" s="121">
        <v>2</v>
      </c>
      <c r="E1813" s="121">
        <v>260575</v>
      </c>
    </row>
    <row r="1814" spans="1:5" ht="15">
      <c r="A1814" s="120" t="s">
        <v>209</v>
      </c>
      <c r="B1814" s="121">
        <v>21</v>
      </c>
      <c r="C1814" s="121">
        <v>24</v>
      </c>
      <c r="D1814" s="121">
        <v>4</v>
      </c>
      <c r="E1814" s="121">
        <v>74931</v>
      </c>
    </row>
    <row r="1815" spans="1:5" ht="15">
      <c r="A1815" s="120" t="s">
        <v>209</v>
      </c>
      <c r="B1815" s="121">
        <v>21</v>
      </c>
      <c r="C1815" s="121">
        <v>24</v>
      </c>
      <c r="D1815" s="121">
        <v>8</v>
      </c>
      <c r="E1815" s="121">
        <v>800</v>
      </c>
    </row>
    <row r="1816" spans="1:5" ht="15">
      <c r="A1816" s="120" t="s">
        <v>209</v>
      </c>
      <c r="B1816" s="121">
        <v>21</v>
      </c>
      <c r="C1816" s="121">
        <v>26</v>
      </c>
      <c r="D1816" s="121">
        <v>2</v>
      </c>
      <c r="E1816" s="121">
        <v>10896936</v>
      </c>
    </row>
    <row r="1817" spans="1:5" ht="15">
      <c r="A1817" s="120" t="s">
        <v>209</v>
      </c>
      <c r="B1817" s="121">
        <v>21</v>
      </c>
      <c r="C1817" s="121">
        <v>26</v>
      </c>
      <c r="D1817" s="121">
        <v>3</v>
      </c>
      <c r="E1817" s="121">
        <v>1410666</v>
      </c>
    </row>
    <row r="1818" spans="1:5" ht="15">
      <c r="A1818" s="120" t="s">
        <v>209</v>
      </c>
      <c r="B1818" s="121">
        <v>21</v>
      </c>
      <c r="C1818" s="121">
        <v>26</v>
      </c>
      <c r="D1818" s="121">
        <v>4</v>
      </c>
      <c r="E1818" s="121">
        <v>3776514</v>
      </c>
    </row>
    <row r="1819" spans="1:5" ht="15">
      <c r="A1819" s="120" t="s">
        <v>209</v>
      </c>
      <c r="B1819" s="121">
        <v>21</v>
      </c>
      <c r="C1819" s="121">
        <v>26</v>
      </c>
      <c r="D1819" s="121">
        <v>5</v>
      </c>
      <c r="E1819" s="121">
        <v>85500</v>
      </c>
    </row>
    <row r="1820" spans="1:5" ht="15">
      <c r="A1820" s="120" t="s">
        <v>209</v>
      </c>
      <c r="B1820" s="121">
        <v>21</v>
      </c>
      <c r="C1820" s="121">
        <v>26</v>
      </c>
      <c r="D1820" s="121">
        <v>8</v>
      </c>
      <c r="E1820" s="121">
        <v>19250</v>
      </c>
    </row>
    <row r="1821" spans="1:5" ht="15">
      <c r="A1821" s="120" t="s">
        <v>209</v>
      </c>
      <c r="B1821" s="121">
        <v>21</v>
      </c>
      <c r="C1821" s="121">
        <v>27</v>
      </c>
      <c r="D1821" s="121">
        <v>2</v>
      </c>
      <c r="E1821" s="121">
        <v>20043360</v>
      </c>
    </row>
    <row r="1822" spans="1:5" ht="15">
      <c r="A1822" s="120" t="s">
        <v>209</v>
      </c>
      <c r="B1822" s="121">
        <v>21</v>
      </c>
      <c r="C1822" s="121">
        <v>27</v>
      </c>
      <c r="D1822" s="121">
        <v>3</v>
      </c>
      <c r="E1822" s="121">
        <v>16137041</v>
      </c>
    </row>
    <row r="1823" spans="1:5" ht="15">
      <c r="A1823" s="120" t="s">
        <v>209</v>
      </c>
      <c r="B1823" s="121">
        <v>21</v>
      </c>
      <c r="C1823" s="121">
        <v>27</v>
      </c>
      <c r="D1823" s="121">
        <v>4</v>
      </c>
      <c r="E1823" s="121">
        <v>14796073</v>
      </c>
    </row>
    <row r="1824" spans="1:5" ht="15">
      <c r="A1824" s="120" t="s">
        <v>209</v>
      </c>
      <c r="B1824" s="121">
        <v>21</v>
      </c>
      <c r="C1824" s="121">
        <v>27</v>
      </c>
      <c r="D1824" s="121">
        <v>5</v>
      </c>
      <c r="E1824" s="121">
        <v>84000</v>
      </c>
    </row>
    <row r="1825" spans="1:5" ht="15">
      <c r="A1825" s="120" t="s">
        <v>209</v>
      </c>
      <c r="B1825" s="121">
        <v>21</v>
      </c>
      <c r="C1825" s="121">
        <v>27</v>
      </c>
      <c r="D1825" s="121">
        <v>7</v>
      </c>
      <c r="E1825" s="121">
        <v>131000</v>
      </c>
    </row>
    <row r="1826" spans="1:5" ht="15">
      <c r="A1826" s="120" t="s">
        <v>209</v>
      </c>
      <c r="B1826" s="121">
        <v>21</v>
      </c>
      <c r="C1826" s="121">
        <v>27</v>
      </c>
      <c r="D1826" s="121">
        <v>8</v>
      </c>
      <c r="E1826" s="121">
        <v>19250</v>
      </c>
    </row>
    <row r="1827" spans="1:5" ht="15">
      <c r="A1827" s="120" t="s">
        <v>209</v>
      </c>
      <c r="B1827" s="121">
        <v>21</v>
      </c>
      <c r="C1827" s="121">
        <v>28</v>
      </c>
      <c r="D1827" s="121">
        <v>5</v>
      </c>
      <c r="E1827" s="121">
        <v>15000</v>
      </c>
    </row>
    <row r="1828" spans="1:5" ht="15">
      <c r="A1828" s="120" t="s">
        <v>209</v>
      </c>
      <c r="B1828" s="121">
        <v>21</v>
      </c>
      <c r="C1828" s="121">
        <v>31</v>
      </c>
      <c r="D1828" s="121">
        <v>2</v>
      </c>
      <c r="E1828" s="121">
        <v>44650</v>
      </c>
    </row>
    <row r="1829" spans="1:5" ht="15">
      <c r="A1829" s="120" t="s">
        <v>209</v>
      </c>
      <c r="B1829" s="121">
        <v>21</v>
      </c>
      <c r="C1829" s="121">
        <v>31</v>
      </c>
      <c r="D1829" s="121">
        <v>4</v>
      </c>
      <c r="E1829" s="121">
        <v>450</v>
      </c>
    </row>
    <row r="1830" spans="1:5" ht="15">
      <c r="A1830" s="120" t="s">
        <v>209</v>
      </c>
      <c r="B1830" s="121">
        <v>21</v>
      </c>
      <c r="C1830" s="121">
        <v>32</v>
      </c>
      <c r="D1830" s="121">
        <v>5</v>
      </c>
      <c r="E1830" s="121">
        <v>38000</v>
      </c>
    </row>
    <row r="1831" spans="1:5" ht="15">
      <c r="A1831" s="120" t="s">
        <v>209</v>
      </c>
      <c r="B1831" s="121">
        <v>21</v>
      </c>
      <c r="C1831" s="121">
        <v>32</v>
      </c>
      <c r="D1831" s="121">
        <v>7</v>
      </c>
      <c r="E1831" s="121">
        <v>50000</v>
      </c>
    </row>
    <row r="1832" spans="1:5" ht="15">
      <c r="A1832" s="120" t="s">
        <v>209</v>
      </c>
      <c r="B1832" s="121">
        <v>21</v>
      </c>
      <c r="C1832" s="121">
        <v>33</v>
      </c>
      <c r="D1832" s="121">
        <v>5</v>
      </c>
      <c r="E1832" s="121">
        <v>60000</v>
      </c>
    </row>
    <row r="1833" spans="1:5" ht="15">
      <c r="A1833" s="120" t="s">
        <v>209</v>
      </c>
      <c r="B1833" s="121">
        <v>21</v>
      </c>
      <c r="C1833" s="121">
        <v>34</v>
      </c>
      <c r="D1833" s="121">
        <v>2</v>
      </c>
      <c r="E1833" s="121">
        <v>307126</v>
      </c>
    </row>
    <row r="1834" spans="1:5" ht="15">
      <c r="A1834" s="120" t="s">
        <v>159</v>
      </c>
      <c r="B1834" s="121">
        <v>21</v>
      </c>
      <c r="C1834" s="121">
        <v>21</v>
      </c>
      <c r="D1834" s="121">
        <v>2</v>
      </c>
      <c r="E1834" s="121">
        <v>149510</v>
      </c>
    </row>
    <row r="1835" spans="1:5" ht="15">
      <c r="A1835" s="120" t="s">
        <v>159</v>
      </c>
      <c r="B1835" s="121">
        <v>21</v>
      </c>
      <c r="C1835" s="121">
        <v>21</v>
      </c>
      <c r="D1835" s="121">
        <v>3</v>
      </c>
      <c r="E1835" s="121">
        <v>95493</v>
      </c>
    </row>
    <row r="1836" spans="1:5" ht="15">
      <c r="A1836" s="120" t="s">
        <v>159</v>
      </c>
      <c r="B1836" s="121">
        <v>21</v>
      </c>
      <c r="C1836" s="121">
        <v>21</v>
      </c>
      <c r="D1836" s="121">
        <v>4</v>
      </c>
      <c r="E1836" s="121">
        <v>84984</v>
      </c>
    </row>
    <row r="1837" spans="1:5" ht="15">
      <c r="A1837" s="120" t="s">
        <v>159</v>
      </c>
      <c r="B1837" s="121">
        <v>21</v>
      </c>
      <c r="C1837" s="121">
        <v>21</v>
      </c>
      <c r="D1837" s="121">
        <v>5</v>
      </c>
      <c r="E1837" s="121">
        <v>15000</v>
      </c>
    </row>
    <row r="1838" spans="1:5" ht="15">
      <c r="A1838" s="120" t="s">
        <v>159</v>
      </c>
      <c r="B1838" s="121">
        <v>21</v>
      </c>
      <c r="C1838" s="121">
        <v>21</v>
      </c>
      <c r="D1838" s="121">
        <v>7</v>
      </c>
      <c r="E1838" s="121">
        <v>25000</v>
      </c>
    </row>
    <row r="1839" spans="1:5" ht="15">
      <c r="A1839" s="120" t="s">
        <v>159</v>
      </c>
      <c r="B1839" s="121">
        <v>21</v>
      </c>
      <c r="C1839" s="121">
        <v>25</v>
      </c>
      <c r="D1839" s="121">
        <v>3</v>
      </c>
      <c r="E1839" s="121">
        <v>71453</v>
      </c>
    </row>
    <row r="1840" spans="1:5" ht="15">
      <c r="A1840" s="120" t="s">
        <v>159</v>
      </c>
      <c r="B1840" s="121">
        <v>21</v>
      </c>
      <c r="C1840" s="121">
        <v>25</v>
      </c>
      <c r="D1840" s="121">
        <v>4</v>
      </c>
      <c r="E1840" s="121">
        <v>20224</v>
      </c>
    </row>
    <row r="1841" spans="1:5" ht="15">
      <c r="A1841" s="120" t="s">
        <v>159</v>
      </c>
      <c r="B1841" s="121">
        <v>21</v>
      </c>
      <c r="C1841" s="121">
        <v>26</v>
      </c>
      <c r="D1841" s="121">
        <v>2</v>
      </c>
      <c r="E1841" s="121">
        <v>632177</v>
      </c>
    </row>
    <row r="1842" spans="1:5" ht="15">
      <c r="A1842" s="120" t="s">
        <v>159</v>
      </c>
      <c r="B1842" s="121">
        <v>21</v>
      </c>
      <c r="C1842" s="121">
        <v>26</v>
      </c>
      <c r="D1842" s="121">
        <v>3</v>
      </c>
      <c r="E1842" s="121">
        <v>7040</v>
      </c>
    </row>
    <row r="1843" spans="1:5" ht="15">
      <c r="A1843" s="120" t="s">
        <v>159</v>
      </c>
      <c r="B1843" s="121">
        <v>21</v>
      </c>
      <c r="C1843" s="121">
        <v>26</v>
      </c>
      <c r="D1843" s="121">
        <v>4</v>
      </c>
      <c r="E1843" s="121">
        <v>223134</v>
      </c>
    </row>
    <row r="1844" spans="1:5" ht="15">
      <c r="A1844" s="120" t="s">
        <v>159</v>
      </c>
      <c r="B1844" s="121">
        <v>21</v>
      </c>
      <c r="C1844" s="121">
        <v>26</v>
      </c>
      <c r="D1844" s="121">
        <v>5</v>
      </c>
      <c r="E1844" s="121">
        <v>8500</v>
      </c>
    </row>
    <row r="1845" spans="1:5" ht="15">
      <c r="A1845" s="120" t="s">
        <v>159</v>
      </c>
      <c r="B1845" s="121">
        <v>21</v>
      </c>
      <c r="C1845" s="121">
        <v>26</v>
      </c>
      <c r="D1845" s="121">
        <v>7</v>
      </c>
      <c r="E1845" s="121">
        <v>376000</v>
      </c>
    </row>
    <row r="1846" spans="1:5" ht="15">
      <c r="A1846" s="120" t="s">
        <v>159</v>
      </c>
      <c r="B1846" s="121">
        <v>21</v>
      </c>
      <c r="C1846" s="121">
        <v>26</v>
      </c>
      <c r="D1846" s="121">
        <v>8</v>
      </c>
      <c r="E1846" s="121">
        <v>2500</v>
      </c>
    </row>
    <row r="1847" spans="1:5" ht="15">
      <c r="A1847" s="120" t="s">
        <v>159</v>
      </c>
      <c r="B1847" s="121">
        <v>21</v>
      </c>
      <c r="C1847" s="121">
        <v>27</v>
      </c>
      <c r="D1847" s="121">
        <v>2</v>
      </c>
      <c r="E1847" s="121">
        <v>1529233</v>
      </c>
    </row>
    <row r="1848" spans="1:5" ht="15">
      <c r="A1848" s="120" t="s">
        <v>159</v>
      </c>
      <c r="B1848" s="121">
        <v>21</v>
      </c>
      <c r="C1848" s="121">
        <v>27</v>
      </c>
      <c r="D1848" s="121">
        <v>3</v>
      </c>
      <c r="E1848" s="121">
        <v>624671</v>
      </c>
    </row>
    <row r="1849" spans="1:5" ht="15">
      <c r="A1849" s="120" t="s">
        <v>159</v>
      </c>
      <c r="B1849" s="121">
        <v>21</v>
      </c>
      <c r="C1849" s="121">
        <v>27</v>
      </c>
      <c r="D1849" s="121">
        <v>4</v>
      </c>
      <c r="E1849" s="121">
        <v>902671</v>
      </c>
    </row>
    <row r="1850" spans="1:5" ht="15">
      <c r="A1850" s="120" t="s">
        <v>159</v>
      </c>
      <c r="B1850" s="121">
        <v>21</v>
      </c>
      <c r="C1850" s="121">
        <v>27</v>
      </c>
      <c r="D1850" s="121">
        <v>5</v>
      </c>
      <c r="E1850" s="121">
        <v>5950</v>
      </c>
    </row>
    <row r="1851" spans="1:5" ht="15">
      <c r="A1851" s="120" t="s">
        <v>159</v>
      </c>
      <c r="B1851" s="121">
        <v>21</v>
      </c>
      <c r="C1851" s="121">
        <v>27</v>
      </c>
      <c r="D1851" s="121">
        <v>7</v>
      </c>
      <c r="E1851" s="121">
        <v>256501</v>
      </c>
    </row>
    <row r="1852" spans="1:5" ht="15">
      <c r="A1852" s="120" t="s">
        <v>159</v>
      </c>
      <c r="B1852" s="121">
        <v>21</v>
      </c>
      <c r="C1852" s="121">
        <v>31</v>
      </c>
      <c r="D1852" s="121">
        <v>7</v>
      </c>
      <c r="E1852" s="121">
        <v>35000</v>
      </c>
    </row>
    <row r="1853" spans="1:5" ht="15">
      <c r="A1853" s="120" t="s">
        <v>159</v>
      </c>
      <c r="B1853" s="121">
        <v>21</v>
      </c>
      <c r="C1853" s="121">
        <v>31</v>
      </c>
      <c r="D1853" s="121">
        <v>8</v>
      </c>
      <c r="E1853" s="121">
        <v>10000</v>
      </c>
    </row>
    <row r="1854" spans="1:5" ht="15">
      <c r="A1854" s="120" t="s">
        <v>159</v>
      </c>
      <c r="B1854" s="121">
        <v>21</v>
      </c>
      <c r="C1854" s="121">
        <v>32</v>
      </c>
      <c r="D1854" s="121">
        <v>5</v>
      </c>
      <c r="E1854" s="121">
        <v>8000</v>
      </c>
    </row>
    <row r="1855" spans="1:5" ht="15">
      <c r="A1855" s="120" t="s">
        <v>159</v>
      </c>
      <c r="B1855" s="121">
        <v>21</v>
      </c>
      <c r="C1855" s="121">
        <v>32</v>
      </c>
      <c r="D1855" s="121">
        <v>7</v>
      </c>
      <c r="E1855" s="121">
        <v>7000</v>
      </c>
    </row>
    <row r="1856" spans="1:5" ht="15">
      <c r="A1856" s="120" t="s">
        <v>159</v>
      </c>
      <c r="B1856" s="121">
        <v>21</v>
      </c>
      <c r="C1856" s="121">
        <v>33</v>
      </c>
      <c r="D1856" s="121">
        <v>5</v>
      </c>
      <c r="E1856" s="121">
        <v>20000</v>
      </c>
    </row>
    <row r="1857" spans="1:5" ht="15">
      <c r="A1857" s="120" t="s">
        <v>159</v>
      </c>
      <c r="B1857" s="121">
        <v>21</v>
      </c>
      <c r="C1857" s="121">
        <v>34</v>
      </c>
      <c r="D1857" s="121">
        <v>2</v>
      </c>
      <c r="E1857" s="121">
        <v>31812</v>
      </c>
    </row>
    <row r="1858" spans="1:5" ht="15">
      <c r="A1858" s="120" t="s">
        <v>159</v>
      </c>
      <c r="B1858" s="121">
        <v>21</v>
      </c>
      <c r="C1858" s="121">
        <v>34</v>
      </c>
      <c r="D1858" s="121">
        <v>4</v>
      </c>
      <c r="E1858" s="121">
        <v>5181</v>
      </c>
    </row>
    <row r="1859" spans="1:5" ht="15">
      <c r="A1859" s="120" t="s">
        <v>209</v>
      </c>
      <c r="B1859" s="121">
        <v>24</v>
      </c>
      <c r="C1859" s="121">
        <v>21</v>
      </c>
      <c r="D1859" s="121">
        <v>3</v>
      </c>
      <c r="E1859" s="121">
        <v>120098</v>
      </c>
    </row>
    <row r="1860" spans="1:5" ht="15">
      <c r="A1860" s="120" t="s">
        <v>209</v>
      </c>
      <c r="B1860" s="121">
        <v>24</v>
      </c>
      <c r="C1860" s="121">
        <v>21</v>
      </c>
      <c r="D1860" s="121">
        <v>4</v>
      </c>
      <c r="E1860" s="121">
        <v>48563</v>
      </c>
    </row>
    <row r="1861" spans="1:5" ht="15">
      <c r="A1861" s="120" t="s">
        <v>209</v>
      </c>
      <c r="B1861" s="121">
        <v>24</v>
      </c>
      <c r="C1861" s="121">
        <v>27</v>
      </c>
      <c r="D1861" s="121">
        <v>2</v>
      </c>
      <c r="E1861" s="121">
        <v>2088607</v>
      </c>
    </row>
    <row r="1862" spans="1:5" ht="15">
      <c r="A1862" s="120" t="s">
        <v>209</v>
      </c>
      <c r="B1862" s="121">
        <v>24</v>
      </c>
      <c r="C1862" s="121">
        <v>27</v>
      </c>
      <c r="D1862" s="121">
        <v>3</v>
      </c>
      <c r="E1862" s="121">
        <v>1276310</v>
      </c>
    </row>
    <row r="1863" spans="1:5" ht="15">
      <c r="A1863" s="120" t="s">
        <v>209</v>
      </c>
      <c r="B1863" s="121">
        <v>24</v>
      </c>
      <c r="C1863" s="121">
        <v>27</v>
      </c>
      <c r="D1863" s="121">
        <v>4</v>
      </c>
      <c r="E1863" s="121">
        <v>1377679</v>
      </c>
    </row>
    <row r="1864" spans="1:5" ht="15">
      <c r="A1864" s="120" t="s">
        <v>159</v>
      </c>
      <c r="B1864" s="121">
        <v>24</v>
      </c>
      <c r="C1864" s="121">
        <v>27</v>
      </c>
      <c r="D1864" s="121">
        <v>2</v>
      </c>
      <c r="E1864" s="121">
        <v>13768</v>
      </c>
    </row>
    <row r="1865" spans="1:5" ht="15">
      <c r="A1865" s="120" t="s">
        <v>159</v>
      </c>
      <c r="B1865" s="121">
        <v>24</v>
      </c>
      <c r="C1865" s="121">
        <v>27</v>
      </c>
      <c r="D1865" s="121">
        <v>3</v>
      </c>
      <c r="E1865" s="121">
        <v>360042</v>
      </c>
    </row>
    <row r="1866" spans="1:5" ht="15">
      <c r="A1866" s="120" t="s">
        <v>159</v>
      </c>
      <c r="B1866" s="121">
        <v>24</v>
      </c>
      <c r="C1866" s="121">
        <v>27</v>
      </c>
      <c r="D1866" s="121">
        <v>4</v>
      </c>
      <c r="E1866" s="121">
        <v>250703</v>
      </c>
    </row>
    <row r="1867" spans="1:5" ht="15">
      <c r="A1867" s="120" t="s">
        <v>185</v>
      </c>
      <c r="B1867" s="121">
        <v>21</v>
      </c>
      <c r="C1867" s="121">
        <v>29</v>
      </c>
      <c r="D1867" s="121">
        <v>7</v>
      </c>
      <c r="E1867" s="121">
        <v>138615</v>
      </c>
    </row>
    <row r="1868" spans="1:5" ht="15">
      <c r="A1868" s="120" t="s">
        <v>279</v>
      </c>
      <c r="B1868" s="121">
        <v>21</v>
      </c>
      <c r="C1868" s="121">
        <v>27</v>
      </c>
      <c r="D1868" s="121">
        <v>2</v>
      </c>
      <c r="E1868" s="121">
        <v>52633</v>
      </c>
    </row>
    <row r="1869" spans="1:5" ht="15">
      <c r="A1869" s="120" t="s">
        <v>279</v>
      </c>
      <c r="B1869" s="121">
        <v>21</v>
      </c>
      <c r="C1869" s="121">
        <v>27</v>
      </c>
      <c r="D1869" s="121">
        <v>4</v>
      </c>
      <c r="E1869" s="121">
        <v>17852</v>
      </c>
    </row>
    <row r="1870" spans="1:5" ht="15">
      <c r="A1870" s="120" t="s">
        <v>279</v>
      </c>
      <c r="B1870" s="121">
        <v>21</v>
      </c>
      <c r="C1870" s="121">
        <v>27</v>
      </c>
      <c r="D1870" s="121">
        <v>5</v>
      </c>
      <c r="E1870" s="121">
        <v>100</v>
      </c>
    </row>
    <row r="1871" spans="1:5" ht="15">
      <c r="A1871" s="120" t="s">
        <v>279</v>
      </c>
      <c r="B1871" s="121">
        <v>21</v>
      </c>
      <c r="C1871" s="121">
        <v>27</v>
      </c>
      <c r="D1871" s="121">
        <v>7</v>
      </c>
      <c r="E1871" s="121">
        <v>6793</v>
      </c>
    </row>
    <row r="1872" spans="1:5" ht="15">
      <c r="A1872" s="120" t="s">
        <v>279</v>
      </c>
      <c r="B1872" s="121">
        <v>21</v>
      </c>
      <c r="C1872" s="121">
        <v>31</v>
      </c>
      <c r="D1872" s="121">
        <v>7</v>
      </c>
      <c r="E1872" s="121">
        <v>7950</v>
      </c>
    </row>
    <row r="1873" spans="1:5" ht="15">
      <c r="A1873" s="120" t="s">
        <v>279</v>
      </c>
      <c r="B1873" s="121">
        <v>21</v>
      </c>
      <c r="C1873" s="121">
        <v>32</v>
      </c>
      <c r="D1873" s="121">
        <v>7</v>
      </c>
      <c r="E1873" s="121">
        <v>1089</v>
      </c>
    </row>
    <row r="1874" spans="1:5" ht="15">
      <c r="A1874" s="120" t="s">
        <v>279</v>
      </c>
      <c r="B1874" s="121">
        <v>24</v>
      </c>
      <c r="C1874" s="121">
        <v>27</v>
      </c>
      <c r="D1874" s="121">
        <v>2</v>
      </c>
      <c r="E1874" s="121">
        <v>5263</v>
      </c>
    </row>
    <row r="1875" spans="1:5" ht="15">
      <c r="A1875" s="120" t="s">
        <v>279</v>
      </c>
      <c r="B1875" s="121">
        <v>24</v>
      </c>
      <c r="C1875" s="121">
        <v>27</v>
      </c>
      <c r="D1875" s="121">
        <v>4</v>
      </c>
      <c r="E1875" s="121">
        <v>1785</v>
      </c>
    </row>
    <row r="1876" spans="1:5" ht="15">
      <c r="A1876" s="120" t="s">
        <v>279</v>
      </c>
      <c r="B1876" s="121">
        <v>24</v>
      </c>
      <c r="C1876" s="121">
        <v>27</v>
      </c>
      <c r="D1876" s="121">
        <v>7</v>
      </c>
      <c r="E1876" s="121">
        <v>443</v>
      </c>
    </row>
    <row r="1877" spans="1:5" ht="15">
      <c r="A1877" s="120" t="s">
        <v>423</v>
      </c>
      <c r="B1877" s="121">
        <v>21</v>
      </c>
      <c r="C1877" s="121">
        <v>24</v>
      </c>
      <c r="D1877" s="121">
        <v>2</v>
      </c>
      <c r="E1877" s="121">
        <v>21299</v>
      </c>
    </row>
    <row r="1878" spans="1:5" ht="15">
      <c r="A1878" s="120" t="s">
        <v>423</v>
      </c>
      <c r="B1878" s="121">
        <v>21</v>
      </c>
      <c r="C1878" s="121">
        <v>24</v>
      </c>
      <c r="D1878" s="121">
        <v>4</v>
      </c>
      <c r="E1878" s="121">
        <v>7668</v>
      </c>
    </row>
    <row r="1879" spans="1:5" ht="15">
      <c r="A1879" s="120" t="s">
        <v>423</v>
      </c>
      <c r="B1879" s="121">
        <v>21</v>
      </c>
      <c r="C1879" s="121">
        <v>26</v>
      </c>
      <c r="D1879" s="121">
        <v>5</v>
      </c>
      <c r="E1879" s="121">
        <v>1664</v>
      </c>
    </row>
    <row r="1880" spans="1:5" ht="15">
      <c r="A1880" s="120" t="s">
        <v>423</v>
      </c>
      <c r="B1880" s="121">
        <v>21</v>
      </c>
      <c r="C1880" s="121">
        <v>26</v>
      </c>
      <c r="D1880" s="121">
        <v>7</v>
      </c>
      <c r="E1880" s="121">
        <v>234002</v>
      </c>
    </row>
    <row r="1881" spans="1:5" ht="15">
      <c r="A1881" s="120" t="s">
        <v>423</v>
      </c>
      <c r="B1881" s="121">
        <v>21</v>
      </c>
      <c r="C1881" s="121">
        <v>27</v>
      </c>
      <c r="D1881" s="121">
        <v>2</v>
      </c>
      <c r="E1881" s="121">
        <v>85108</v>
      </c>
    </row>
    <row r="1882" spans="1:5" ht="15">
      <c r="A1882" s="120" t="s">
        <v>423</v>
      </c>
      <c r="B1882" s="121">
        <v>21</v>
      </c>
      <c r="C1882" s="121">
        <v>27</v>
      </c>
      <c r="D1882" s="121">
        <v>3</v>
      </c>
      <c r="E1882" s="121">
        <v>30000</v>
      </c>
    </row>
    <row r="1883" spans="1:5" ht="15">
      <c r="A1883" s="120" t="s">
        <v>423</v>
      </c>
      <c r="B1883" s="121">
        <v>21</v>
      </c>
      <c r="C1883" s="121">
        <v>27</v>
      </c>
      <c r="D1883" s="121">
        <v>4</v>
      </c>
      <c r="E1883" s="121">
        <v>41439</v>
      </c>
    </row>
    <row r="1884" spans="1:5" ht="15">
      <c r="A1884" s="120" t="s">
        <v>423</v>
      </c>
      <c r="B1884" s="121">
        <v>24</v>
      </c>
      <c r="C1884" s="121">
        <v>27</v>
      </c>
      <c r="D1884" s="121">
        <v>2</v>
      </c>
      <c r="E1884" s="121">
        <v>37748</v>
      </c>
    </row>
    <row r="1885" spans="1:5" ht="15">
      <c r="A1885" s="120" t="s">
        <v>423</v>
      </c>
      <c r="B1885" s="121">
        <v>24</v>
      </c>
      <c r="C1885" s="121">
        <v>27</v>
      </c>
      <c r="D1885" s="121">
        <v>4</v>
      </c>
      <c r="E1885" s="121">
        <v>13589</v>
      </c>
    </row>
    <row r="1886" spans="1:5" ht="15">
      <c r="A1886" s="120" t="s">
        <v>257</v>
      </c>
      <c r="B1886" s="121">
        <v>21</v>
      </c>
      <c r="C1886" s="121">
        <v>21</v>
      </c>
      <c r="D1886" s="121">
        <v>2</v>
      </c>
      <c r="E1886" s="121">
        <v>98339</v>
      </c>
    </row>
    <row r="1887" spans="1:5" ht="15">
      <c r="A1887" s="120" t="s">
        <v>257</v>
      </c>
      <c r="B1887" s="121">
        <v>21</v>
      </c>
      <c r="C1887" s="121">
        <v>21</v>
      </c>
      <c r="D1887" s="121">
        <v>3</v>
      </c>
      <c r="E1887" s="121">
        <v>49130</v>
      </c>
    </row>
    <row r="1888" spans="1:5" ht="15">
      <c r="A1888" s="120" t="s">
        <v>257</v>
      </c>
      <c r="B1888" s="121">
        <v>21</v>
      </c>
      <c r="C1888" s="121">
        <v>21</v>
      </c>
      <c r="D1888" s="121">
        <v>4</v>
      </c>
      <c r="E1888" s="121">
        <v>49447</v>
      </c>
    </row>
    <row r="1889" spans="1:5" ht="15">
      <c r="A1889" s="120" t="s">
        <v>257</v>
      </c>
      <c r="B1889" s="121">
        <v>21</v>
      </c>
      <c r="C1889" s="121">
        <v>21</v>
      </c>
      <c r="D1889" s="121">
        <v>5</v>
      </c>
      <c r="E1889" s="121">
        <v>4500</v>
      </c>
    </row>
    <row r="1890" spans="1:5" ht="15">
      <c r="A1890" s="120" t="s">
        <v>257</v>
      </c>
      <c r="B1890" s="121">
        <v>21</v>
      </c>
      <c r="C1890" s="121">
        <v>25</v>
      </c>
      <c r="D1890" s="121">
        <v>3</v>
      </c>
      <c r="E1890" s="121">
        <v>30884</v>
      </c>
    </row>
    <row r="1891" spans="1:5" ht="15">
      <c r="A1891" s="120" t="s">
        <v>257</v>
      </c>
      <c r="B1891" s="121">
        <v>21</v>
      </c>
      <c r="C1891" s="121">
        <v>25</v>
      </c>
      <c r="D1891" s="121">
        <v>4</v>
      </c>
      <c r="E1891" s="121">
        <v>5089</v>
      </c>
    </row>
    <row r="1892" spans="1:5" ht="15">
      <c r="A1892" s="120" t="s">
        <v>257</v>
      </c>
      <c r="B1892" s="121">
        <v>21</v>
      </c>
      <c r="C1892" s="121">
        <v>26</v>
      </c>
      <c r="D1892" s="121">
        <v>2</v>
      </c>
      <c r="E1892" s="121">
        <v>246350</v>
      </c>
    </row>
    <row r="1893" spans="1:5" ht="15">
      <c r="A1893" s="120" t="s">
        <v>257</v>
      </c>
      <c r="B1893" s="121">
        <v>21</v>
      </c>
      <c r="C1893" s="121">
        <v>26</v>
      </c>
      <c r="D1893" s="121">
        <v>4</v>
      </c>
      <c r="E1893" s="121">
        <v>87342</v>
      </c>
    </row>
    <row r="1894" spans="1:5" ht="15">
      <c r="A1894" s="120" t="s">
        <v>257</v>
      </c>
      <c r="B1894" s="121">
        <v>21</v>
      </c>
      <c r="C1894" s="121">
        <v>26</v>
      </c>
      <c r="D1894" s="121">
        <v>7</v>
      </c>
      <c r="E1894" s="121">
        <v>80600</v>
      </c>
    </row>
    <row r="1895" spans="1:5" ht="15">
      <c r="A1895" s="120" t="s">
        <v>257</v>
      </c>
      <c r="B1895" s="121">
        <v>21</v>
      </c>
      <c r="C1895" s="121">
        <v>27</v>
      </c>
      <c r="D1895" s="121">
        <v>2</v>
      </c>
      <c r="E1895" s="121">
        <v>564449</v>
      </c>
    </row>
    <row r="1896" spans="1:5" ht="15">
      <c r="A1896" s="120" t="s">
        <v>257</v>
      </c>
      <c r="B1896" s="121">
        <v>21</v>
      </c>
      <c r="C1896" s="121">
        <v>27</v>
      </c>
      <c r="D1896" s="121">
        <v>3</v>
      </c>
      <c r="E1896" s="121">
        <v>333613</v>
      </c>
    </row>
    <row r="1897" spans="1:5" ht="15">
      <c r="A1897" s="120" t="s">
        <v>257</v>
      </c>
      <c r="B1897" s="121">
        <v>21</v>
      </c>
      <c r="C1897" s="121">
        <v>27</v>
      </c>
      <c r="D1897" s="121">
        <v>4</v>
      </c>
      <c r="E1897" s="121">
        <v>385830</v>
      </c>
    </row>
    <row r="1898" spans="1:5" ht="15">
      <c r="A1898" s="120" t="s">
        <v>257</v>
      </c>
      <c r="B1898" s="121">
        <v>21</v>
      </c>
      <c r="C1898" s="121">
        <v>27</v>
      </c>
      <c r="D1898" s="121">
        <v>5</v>
      </c>
      <c r="E1898" s="121">
        <v>45869</v>
      </c>
    </row>
    <row r="1899" spans="1:5" ht="15">
      <c r="A1899" s="120" t="s">
        <v>257</v>
      </c>
      <c r="B1899" s="121">
        <v>21</v>
      </c>
      <c r="C1899" s="121">
        <v>27</v>
      </c>
      <c r="D1899" s="121">
        <v>7</v>
      </c>
      <c r="E1899" s="121">
        <v>96900</v>
      </c>
    </row>
    <row r="1900" spans="1:5" ht="15">
      <c r="A1900" s="120" t="s">
        <v>257</v>
      </c>
      <c r="B1900" s="121">
        <v>21</v>
      </c>
      <c r="C1900" s="121">
        <v>31</v>
      </c>
      <c r="D1900" s="121">
        <v>2</v>
      </c>
      <c r="E1900" s="121">
        <v>4330</v>
      </c>
    </row>
    <row r="1901" spans="1:5" ht="15">
      <c r="A1901" s="120" t="s">
        <v>257</v>
      </c>
      <c r="B1901" s="121">
        <v>21</v>
      </c>
      <c r="C1901" s="121">
        <v>31</v>
      </c>
      <c r="D1901" s="121">
        <v>4</v>
      </c>
      <c r="E1901" s="121">
        <v>867</v>
      </c>
    </row>
    <row r="1902" spans="1:5" ht="15">
      <c r="A1902" s="120" t="s">
        <v>257</v>
      </c>
      <c r="B1902" s="121">
        <v>21</v>
      </c>
      <c r="C1902" s="121">
        <v>31</v>
      </c>
      <c r="D1902" s="121">
        <v>7</v>
      </c>
      <c r="E1902" s="121">
        <v>1000</v>
      </c>
    </row>
    <row r="1903" spans="1:5" ht="15">
      <c r="A1903" s="120" t="s">
        <v>257</v>
      </c>
      <c r="B1903" s="121">
        <v>21</v>
      </c>
      <c r="C1903" s="121">
        <v>31</v>
      </c>
      <c r="D1903" s="121">
        <v>8</v>
      </c>
      <c r="E1903" s="121">
        <v>800</v>
      </c>
    </row>
    <row r="1904" spans="1:5" ht="15">
      <c r="A1904" s="120" t="s">
        <v>257</v>
      </c>
      <c r="B1904" s="121">
        <v>21</v>
      </c>
      <c r="C1904" s="121">
        <v>32</v>
      </c>
      <c r="D1904" s="121">
        <v>9</v>
      </c>
      <c r="E1904" s="121">
        <v>1500</v>
      </c>
    </row>
    <row r="1905" spans="1:5" ht="15">
      <c r="A1905" s="120" t="s">
        <v>257</v>
      </c>
      <c r="B1905" s="121">
        <v>21</v>
      </c>
      <c r="C1905" s="121">
        <v>33</v>
      </c>
      <c r="D1905" s="121">
        <v>5</v>
      </c>
      <c r="E1905" s="121">
        <v>3000</v>
      </c>
    </row>
    <row r="1906" spans="1:5" ht="15">
      <c r="A1906" s="120" t="s">
        <v>257</v>
      </c>
      <c r="B1906" s="121">
        <v>21</v>
      </c>
      <c r="C1906" s="121">
        <v>34</v>
      </c>
      <c r="D1906" s="121">
        <v>2</v>
      </c>
      <c r="E1906" s="121">
        <v>13003</v>
      </c>
    </row>
    <row r="1907" spans="1:5" ht="15">
      <c r="A1907" s="120" t="s">
        <v>257</v>
      </c>
      <c r="B1907" s="121">
        <v>21</v>
      </c>
      <c r="C1907" s="121">
        <v>34</v>
      </c>
      <c r="D1907" s="121">
        <v>4</v>
      </c>
      <c r="E1907" s="121">
        <v>2181</v>
      </c>
    </row>
    <row r="1908" spans="1:5" ht="15">
      <c r="A1908" s="120" t="s">
        <v>257</v>
      </c>
      <c r="B1908" s="121">
        <v>24</v>
      </c>
      <c r="C1908" s="121">
        <v>27</v>
      </c>
      <c r="D1908" s="121">
        <v>2</v>
      </c>
      <c r="E1908" s="121">
        <v>8553</v>
      </c>
    </row>
    <row r="1909" spans="1:5" ht="15">
      <c r="A1909" s="120" t="s">
        <v>257</v>
      </c>
      <c r="B1909" s="121">
        <v>24</v>
      </c>
      <c r="C1909" s="121">
        <v>27</v>
      </c>
      <c r="D1909" s="121">
        <v>3</v>
      </c>
      <c r="E1909" s="121">
        <v>188670</v>
      </c>
    </row>
    <row r="1910" spans="1:5" ht="15">
      <c r="A1910" s="120" t="s">
        <v>257</v>
      </c>
      <c r="B1910" s="121">
        <v>24</v>
      </c>
      <c r="C1910" s="121">
        <v>27</v>
      </c>
      <c r="D1910" s="121">
        <v>4</v>
      </c>
      <c r="E1910" s="121">
        <v>92434</v>
      </c>
    </row>
    <row r="1911" spans="1:5" ht="15">
      <c r="A1911" s="120" t="s">
        <v>163</v>
      </c>
      <c r="B1911" s="121">
        <v>21</v>
      </c>
      <c r="C1911" s="121">
        <v>27</v>
      </c>
      <c r="D1911" s="121">
        <v>2</v>
      </c>
      <c r="E1911" s="121">
        <v>32112</v>
      </c>
    </row>
    <row r="1912" spans="1:5" ht="15">
      <c r="A1912" s="120" t="s">
        <v>163</v>
      </c>
      <c r="B1912" s="121">
        <v>21</v>
      </c>
      <c r="C1912" s="121">
        <v>27</v>
      </c>
      <c r="D1912" s="121">
        <v>3</v>
      </c>
      <c r="E1912" s="121">
        <v>32525</v>
      </c>
    </row>
    <row r="1913" spans="1:5" ht="15">
      <c r="A1913" s="120" t="s">
        <v>163</v>
      </c>
      <c r="B1913" s="121">
        <v>21</v>
      </c>
      <c r="C1913" s="121">
        <v>27</v>
      </c>
      <c r="D1913" s="121">
        <v>4</v>
      </c>
      <c r="E1913" s="121">
        <v>33758</v>
      </c>
    </row>
    <row r="1914" spans="1:5" ht="15">
      <c r="A1914" s="120" t="s">
        <v>163</v>
      </c>
      <c r="B1914" s="121">
        <v>21</v>
      </c>
      <c r="C1914" s="121">
        <v>27</v>
      </c>
      <c r="D1914" s="121">
        <v>5</v>
      </c>
      <c r="E1914" s="121">
        <v>1300</v>
      </c>
    </row>
    <row r="1915" spans="1:5" ht="15">
      <c r="A1915" s="120" t="s">
        <v>163</v>
      </c>
      <c r="B1915" s="121">
        <v>21</v>
      </c>
      <c r="C1915" s="121">
        <v>27</v>
      </c>
      <c r="D1915" s="121">
        <v>7</v>
      </c>
      <c r="E1915" s="121">
        <v>100</v>
      </c>
    </row>
    <row r="1916" spans="1:5" ht="15">
      <c r="A1916" s="120" t="s">
        <v>163</v>
      </c>
      <c r="B1916" s="121">
        <v>21</v>
      </c>
      <c r="C1916" s="121">
        <v>29</v>
      </c>
      <c r="D1916" s="121">
        <v>7</v>
      </c>
      <c r="E1916" s="121">
        <v>58650</v>
      </c>
    </row>
    <row r="1917" spans="1:5" ht="15">
      <c r="A1917" s="120" t="s">
        <v>163</v>
      </c>
      <c r="B1917" s="121">
        <v>21</v>
      </c>
      <c r="C1917" s="121">
        <v>31</v>
      </c>
      <c r="D1917" s="121">
        <v>8</v>
      </c>
      <c r="E1917" s="121">
        <v>100</v>
      </c>
    </row>
    <row r="1918" spans="1:5" ht="15">
      <c r="A1918" s="120" t="s">
        <v>163</v>
      </c>
      <c r="B1918" s="121">
        <v>24</v>
      </c>
      <c r="C1918" s="121">
        <v>26</v>
      </c>
      <c r="D1918" s="121">
        <v>7</v>
      </c>
      <c r="E1918" s="121">
        <v>11339</v>
      </c>
    </row>
    <row r="1919" spans="1:5" ht="15">
      <c r="A1919" s="120" t="s">
        <v>211</v>
      </c>
      <c r="B1919" s="121">
        <v>21</v>
      </c>
      <c r="C1919" s="121">
        <v>21</v>
      </c>
      <c r="D1919" s="121">
        <v>2</v>
      </c>
      <c r="E1919" s="121">
        <v>167100</v>
      </c>
    </row>
    <row r="1920" spans="1:5" ht="15">
      <c r="A1920" s="120" t="s">
        <v>211</v>
      </c>
      <c r="B1920" s="121">
        <v>21</v>
      </c>
      <c r="C1920" s="121">
        <v>21</v>
      </c>
      <c r="D1920" s="121">
        <v>3</v>
      </c>
      <c r="E1920" s="121">
        <v>65566</v>
      </c>
    </row>
    <row r="1921" spans="1:5" ht="15">
      <c r="A1921" s="120" t="s">
        <v>211</v>
      </c>
      <c r="B1921" s="121">
        <v>21</v>
      </c>
      <c r="C1921" s="121">
        <v>21</v>
      </c>
      <c r="D1921" s="121">
        <v>4</v>
      </c>
      <c r="E1921" s="121">
        <v>67320</v>
      </c>
    </row>
    <row r="1922" spans="1:5" ht="15">
      <c r="A1922" s="120" t="s">
        <v>211</v>
      </c>
      <c r="B1922" s="121">
        <v>21</v>
      </c>
      <c r="C1922" s="121">
        <v>21</v>
      </c>
      <c r="D1922" s="121">
        <v>7</v>
      </c>
      <c r="E1922" s="121">
        <v>3200</v>
      </c>
    </row>
    <row r="1923" spans="1:5" ht="15">
      <c r="A1923" s="120" t="s">
        <v>211</v>
      </c>
      <c r="B1923" s="121">
        <v>21</v>
      </c>
      <c r="C1923" s="121">
        <v>21</v>
      </c>
      <c r="D1923" s="121">
        <v>8</v>
      </c>
      <c r="E1923" s="121">
        <v>750</v>
      </c>
    </row>
    <row r="1924" spans="1:5" ht="15">
      <c r="A1924" s="120" t="s">
        <v>211</v>
      </c>
      <c r="B1924" s="121">
        <v>21</v>
      </c>
      <c r="C1924" s="121">
        <v>24</v>
      </c>
      <c r="D1924" s="121">
        <v>2</v>
      </c>
      <c r="E1924" s="121">
        <v>51209</v>
      </c>
    </row>
    <row r="1925" spans="1:5" ht="15">
      <c r="A1925" s="120" t="s">
        <v>211</v>
      </c>
      <c r="B1925" s="121">
        <v>21</v>
      </c>
      <c r="C1925" s="121">
        <v>24</v>
      </c>
      <c r="D1925" s="121">
        <v>4</v>
      </c>
      <c r="E1925" s="121">
        <v>17652</v>
      </c>
    </row>
    <row r="1926" spans="1:5" ht="15">
      <c r="A1926" s="120" t="s">
        <v>211</v>
      </c>
      <c r="B1926" s="121">
        <v>21</v>
      </c>
      <c r="C1926" s="121">
        <v>26</v>
      </c>
      <c r="D1926" s="121">
        <v>2</v>
      </c>
      <c r="E1926" s="121">
        <v>724778</v>
      </c>
    </row>
    <row r="1927" spans="1:5" ht="15">
      <c r="A1927" s="120" t="s">
        <v>211</v>
      </c>
      <c r="B1927" s="121">
        <v>21</v>
      </c>
      <c r="C1927" s="121">
        <v>26</v>
      </c>
      <c r="D1927" s="121">
        <v>4</v>
      </c>
      <c r="E1927" s="121">
        <v>207710</v>
      </c>
    </row>
    <row r="1928" spans="1:5" ht="15">
      <c r="A1928" s="120" t="s">
        <v>211</v>
      </c>
      <c r="B1928" s="121">
        <v>21</v>
      </c>
      <c r="C1928" s="121">
        <v>26</v>
      </c>
      <c r="D1928" s="121">
        <v>5</v>
      </c>
      <c r="E1928" s="121">
        <v>450</v>
      </c>
    </row>
    <row r="1929" spans="1:5" ht="15">
      <c r="A1929" s="120" t="s">
        <v>211</v>
      </c>
      <c r="B1929" s="121">
        <v>21</v>
      </c>
      <c r="C1929" s="121">
        <v>26</v>
      </c>
      <c r="D1929" s="121">
        <v>7</v>
      </c>
      <c r="E1929" s="121">
        <v>199004</v>
      </c>
    </row>
    <row r="1930" spans="1:5" ht="15">
      <c r="A1930" s="120" t="s">
        <v>211</v>
      </c>
      <c r="B1930" s="121">
        <v>21</v>
      </c>
      <c r="C1930" s="121">
        <v>27</v>
      </c>
      <c r="D1930" s="121">
        <v>2</v>
      </c>
      <c r="E1930" s="121">
        <v>894046</v>
      </c>
    </row>
    <row r="1931" spans="1:5" ht="15">
      <c r="A1931" s="120" t="s">
        <v>211</v>
      </c>
      <c r="B1931" s="121">
        <v>21</v>
      </c>
      <c r="C1931" s="121">
        <v>27</v>
      </c>
      <c r="D1931" s="121">
        <v>3</v>
      </c>
      <c r="E1931" s="121">
        <v>1003864</v>
      </c>
    </row>
    <row r="1932" spans="1:5" ht="15">
      <c r="A1932" s="120" t="s">
        <v>211</v>
      </c>
      <c r="B1932" s="121">
        <v>21</v>
      </c>
      <c r="C1932" s="121">
        <v>27</v>
      </c>
      <c r="D1932" s="121">
        <v>4</v>
      </c>
      <c r="E1932" s="121">
        <v>1004219</v>
      </c>
    </row>
    <row r="1933" spans="1:5" ht="15">
      <c r="A1933" s="120" t="s">
        <v>211</v>
      </c>
      <c r="B1933" s="121">
        <v>21</v>
      </c>
      <c r="C1933" s="121">
        <v>27</v>
      </c>
      <c r="D1933" s="121">
        <v>5</v>
      </c>
      <c r="E1933" s="121">
        <v>46900</v>
      </c>
    </row>
    <row r="1934" spans="1:5" ht="15">
      <c r="A1934" s="120" t="s">
        <v>211</v>
      </c>
      <c r="B1934" s="121">
        <v>21</v>
      </c>
      <c r="C1934" s="121">
        <v>27</v>
      </c>
      <c r="D1934" s="121">
        <v>7</v>
      </c>
      <c r="E1934" s="121">
        <v>530430</v>
      </c>
    </row>
    <row r="1935" spans="1:5" ht="15">
      <c r="A1935" s="120" t="s">
        <v>211</v>
      </c>
      <c r="B1935" s="121">
        <v>21</v>
      </c>
      <c r="C1935" s="121">
        <v>31</v>
      </c>
      <c r="D1935" s="121">
        <v>7</v>
      </c>
      <c r="E1935" s="121">
        <v>12500</v>
      </c>
    </row>
    <row r="1936" spans="1:5" ht="15">
      <c r="A1936" s="120" t="s">
        <v>211</v>
      </c>
      <c r="B1936" s="121">
        <v>21</v>
      </c>
      <c r="C1936" s="121">
        <v>31</v>
      </c>
      <c r="D1936" s="121">
        <v>8</v>
      </c>
      <c r="E1936" s="121">
        <v>500</v>
      </c>
    </row>
    <row r="1937" spans="1:5" ht="15">
      <c r="A1937" s="120" t="s">
        <v>211</v>
      </c>
      <c r="B1937" s="121">
        <v>21</v>
      </c>
      <c r="C1937" s="121">
        <v>33</v>
      </c>
      <c r="D1937" s="121">
        <v>5</v>
      </c>
      <c r="E1937" s="121">
        <v>1000</v>
      </c>
    </row>
    <row r="1938" spans="1:5" ht="15">
      <c r="A1938" s="120" t="s">
        <v>211</v>
      </c>
      <c r="B1938" s="121">
        <v>24</v>
      </c>
      <c r="C1938" s="121">
        <v>27</v>
      </c>
      <c r="D1938" s="121">
        <v>2</v>
      </c>
      <c r="E1938" s="121">
        <v>120449</v>
      </c>
    </row>
    <row r="1939" spans="1:5" ht="15">
      <c r="A1939" s="120" t="s">
        <v>211</v>
      </c>
      <c r="B1939" s="121">
        <v>24</v>
      </c>
      <c r="C1939" s="121">
        <v>27</v>
      </c>
      <c r="D1939" s="121">
        <v>3</v>
      </c>
      <c r="E1939" s="121">
        <v>59911</v>
      </c>
    </row>
    <row r="1940" spans="1:5" ht="15">
      <c r="A1940" s="120" t="s">
        <v>211</v>
      </c>
      <c r="B1940" s="121">
        <v>24</v>
      </c>
      <c r="C1940" s="121">
        <v>27</v>
      </c>
      <c r="D1940" s="121">
        <v>4</v>
      </c>
      <c r="E1940" s="121">
        <v>75418</v>
      </c>
    </row>
    <row r="1941" spans="1:5" ht="15">
      <c r="A1941" s="120" t="s">
        <v>297</v>
      </c>
      <c r="B1941" s="121">
        <v>21</v>
      </c>
      <c r="C1941" s="121">
        <v>21</v>
      </c>
      <c r="D1941" s="121">
        <v>3</v>
      </c>
      <c r="E1941" s="121">
        <v>26591</v>
      </c>
    </row>
    <row r="1942" spans="1:5" ht="15">
      <c r="A1942" s="120" t="s">
        <v>297</v>
      </c>
      <c r="B1942" s="121">
        <v>21</v>
      </c>
      <c r="C1942" s="121">
        <v>21</v>
      </c>
      <c r="D1942" s="121">
        <v>4</v>
      </c>
      <c r="E1942" s="121">
        <v>13078</v>
      </c>
    </row>
    <row r="1943" spans="1:5" ht="15">
      <c r="A1943" s="120" t="s">
        <v>297</v>
      </c>
      <c r="B1943" s="121">
        <v>21</v>
      </c>
      <c r="C1943" s="121">
        <v>25</v>
      </c>
      <c r="D1943" s="121">
        <v>3</v>
      </c>
      <c r="E1943" s="121">
        <v>2742</v>
      </c>
    </row>
    <row r="1944" spans="1:5" ht="15">
      <c r="A1944" s="120" t="s">
        <v>297</v>
      </c>
      <c r="B1944" s="121">
        <v>21</v>
      </c>
      <c r="C1944" s="121">
        <v>25</v>
      </c>
      <c r="D1944" s="121">
        <v>4</v>
      </c>
      <c r="E1944" s="121">
        <v>1323</v>
      </c>
    </row>
    <row r="1945" spans="1:5" ht="15">
      <c r="A1945" s="120" t="s">
        <v>297</v>
      </c>
      <c r="B1945" s="121">
        <v>21</v>
      </c>
      <c r="C1945" s="121">
        <v>26</v>
      </c>
      <c r="D1945" s="121">
        <v>7</v>
      </c>
      <c r="E1945" s="121">
        <v>280000</v>
      </c>
    </row>
    <row r="1946" spans="1:5" ht="15">
      <c r="A1946" s="120" t="s">
        <v>297</v>
      </c>
      <c r="B1946" s="121">
        <v>21</v>
      </c>
      <c r="C1946" s="121">
        <v>27</v>
      </c>
      <c r="D1946" s="121">
        <v>2</v>
      </c>
      <c r="E1946" s="121">
        <v>230998</v>
      </c>
    </row>
    <row r="1947" spans="1:5" ht="15">
      <c r="A1947" s="120" t="s">
        <v>297</v>
      </c>
      <c r="B1947" s="121">
        <v>21</v>
      </c>
      <c r="C1947" s="121">
        <v>27</v>
      </c>
      <c r="D1947" s="121">
        <v>3</v>
      </c>
      <c r="E1947" s="121">
        <v>196508</v>
      </c>
    </row>
    <row r="1948" spans="1:5" ht="15">
      <c r="A1948" s="120" t="s">
        <v>297</v>
      </c>
      <c r="B1948" s="121">
        <v>21</v>
      </c>
      <c r="C1948" s="121">
        <v>27</v>
      </c>
      <c r="D1948" s="121">
        <v>4</v>
      </c>
      <c r="E1948" s="121">
        <v>210530</v>
      </c>
    </row>
    <row r="1949" spans="1:5" ht="15">
      <c r="A1949" s="120" t="s">
        <v>297</v>
      </c>
      <c r="B1949" s="121">
        <v>21</v>
      </c>
      <c r="C1949" s="121">
        <v>27</v>
      </c>
      <c r="D1949" s="121">
        <v>5</v>
      </c>
      <c r="E1949" s="121">
        <v>40942</v>
      </c>
    </row>
    <row r="1950" spans="1:5" ht="15">
      <c r="A1950" s="120" t="s">
        <v>297</v>
      </c>
      <c r="B1950" s="121">
        <v>21</v>
      </c>
      <c r="C1950" s="121">
        <v>27</v>
      </c>
      <c r="D1950" s="121">
        <v>7</v>
      </c>
      <c r="E1950" s="121">
        <v>2500</v>
      </c>
    </row>
    <row r="1951" spans="1:5" ht="15">
      <c r="A1951" s="120" t="s">
        <v>297</v>
      </c>
      <c r="B1951" s="121">
        <v>21</v>
      </c>
      <c r="C1951" s="121">
        <v>32</v>
      </c>
      <c r="D1951" s="121">
        <v>5</v>
      </c>
      <c r="E1951" s="121">
        <v>1250</v>
      </c>
    </row>
    <row r="1952" spans="1:5" ht="15">
      <c r="A1952" s="120" t="s">
        <v>297</v>
      </c>
      <c r="B1952" s="121">
        <v>21</v>
      </c>
      <c r="C1952" s="121">
        <v>32</v>
      </c>
      <c r="D1952" s="121">
        <v>7</v>
      </c>
      <c r="E1952" s="121">
        <v>1300</v>
      </c>
    </row>
    <row r="1953" spans="1:5" ht="15">
      <c r="A1953" s="120" t="s">
        <v>297</v>
      </c>
      <c r="B1953" s="121">
        <v>21</v>
      </c>
      <c r="C1953" s="121">
        <v>33</v>
      </c>
      <c r="D1953" s="121">
        <v>5</v>
      </c>
      <c r="E1953" s="121">
        <v>25000</v>
      </c>
    </row>
    <row r="1954" spans="1:5" ht="15">
      <c r="A1954" s="120" t="s">
        <v>187</v>
      </c>
      <c r="B1954" s="121">
        <v>21</v>
      </c>
      <c r="C1954" s="121">
        <v>27</v>
      </c>
      <c r="D1954" s="121">
        <v>7</v>
      </c>
      <c r="E1954" s="121">
        <v>6503648</v>
      </c>
    </row>
    <row r="1955" spans="1:5" ht="15">
      <c r="A1955" s="120" t="s">
        <v>281</v>
      </c>
      <c r="B1955" s="121">
        <v>21</v>
      </c>
      <c r="C1955" s="121">
        <v>29</v>
      </c>
      <c r="D1955" s="121">
        <v>7</v>
      </c>
      <c r="E1955" s="121">
        <v>375494</v>
      </c>
    </row>
    <row r="1956" spans="1:5" ht="15">
      <c r="A1956" s="120" t="s">
        <v>259</v>
      </c>
      <c r="B1956" s="121">
        <v>21</v>
      </c>
      <c r="C1956" s="121">
        <v>29</v>
      </c>
      <c r="D1956" s="121">
        <v>7</v>
      </c>
      <c r="E1956" s="121">
        <v>750920</v>
      </c>
    </row>
    <row r="1957" spans="1:5" ht="15">
      <c r="A1957" s="120" t="s">
        <v>259</v>
      </c>
      <c r="B1957" s="121">
        <v>29</v>
      </c>
      <c r="C1957" s="121">
        <v>29</v>
      </c>
      <c r="D1957" s="121">
        <v>7</v>
      </c>
      <c r="E1957" s="121">
        <v>9000</v>
      </c>
    </row>
    <row r="1958" spans="1:5" ht="15">
      <c r="A1958" s="120" t="s">
        <v>229</v>
      </c>
      <c r="B1958" s="121">
        <v>21</v>
      </c>
      <c r="C1958" s="121">
        <v>21</v>
      </c>
      <c r="D1958" s="121">
        <v>2</v>
      </c>
      <c r="E1958" s="121">
        <v>1182422</v>
      </c>
    </row>
    <row r="1959" spans="1:5" ht="15">
      <c r="A1959" s="120" t="s">
        <v>229</v>
      </c>
      <c r="B1959" s="121">
        <v>21</v>
      </c>
      <c r="C1959" s="121">
        <v>21</v>
      </c>
      <c r="D1959" s="121">
        <v>3</v>
      </c>
      <c r="E1959" s="121">
        <v>306957</v>
      </c>
    </row>
    <row r="1960" spans="1:5" ht="15">
      <c r="A1960" s="120" t="s">
        <v>229</v>
      </c>
      <c r="B1960" s="121">
        <v>21</v>
      </c>
      <c r="C1960" s="121">
        <v>21</v>
      </c>
      <c r="D1960" s="121">
        <v>4</v>
      </c>
      <c r="E1960" s="121">
        <v>375924</v>
      </c>
    </row>
    <row r="1961" spans="1:5" ht="15">
      <c r="A1961" s="120" t="s">
        <v>229</v>
      </c>
      <c r="B1961" s="121">
        <v>21</v>
      </c>
      <c r="C1961" s="121">
        <v>21</v>
      </c>
      <c r="D1961" s="121">
        <v>5</v>
      </c>
      <c r="E1961" s="121">
        <v>21502</v>
      </c>
    </row>
    <row r="1962" spans="1:5" ht="15">
      <c r="A1962" s="120" t="s">
        <v>229</v>
      </c>
      <c r="B1962" s="121">
        <v>21</v>
      </c>
      <c r="C1962" s="121">
        <v>21</v>
      </c>
      <c r="D1962" s="121">
        <v>7</v>
      </c>
      <c r="E1962" s="121">
        <v>153004</v>
      </c>
    </row>
    <row r="1963" spans="1:5" ht="15">
      <c r="A1963" s="120" t="s">
        <v>229</v>
      </c>
      <c r="B1963" s="121">
        <v>21</v>
      </c>
      <c r="C1963" s="121">
        <v>21</v>
      </c>
      <c r="D1963" s="121">
        <v>8</v>
      </c>
      <c r="E1963" s="121">
        <v>20000</v>
      </c>
    </row>
    <row r="1964" spans="1:5" ht="15">
      <c r="A1964" s="120" t="s">
        <v>229</v>
      </c>
      <c r="B1964" s="121">
        <v>21</v>
      </c>
      <c r="C1964" s="121">
        <v>21</v>
      </c>
      <c r="D1964" s="121">
        <v>9</v>
      </c>
      <c r="E1964" s="121">
        <v>8500</v>
      </c>
    </row>
    <row r="1965" spans="1:5" ht="15">
      <c r="A1965" s="120" t="s">
        <v>229</v>
      </c>
      <c r="B1965" s="121">
        <v>21</v>
      </c>
      <c r="C1965" s="121">
        <v>23</v>
      </c>
      <c r="D1965" s="121">
        <v>2</v>
      </c>
      <c r="E1965" s="121">
        <v>214120</v>
      </c>
    </row>
    <row r="1966" spans="1:5" ht="15">
      <c r="A1966" s="120" t="s">
        <v>229</v>
      </c>
      <c r="B1966" s="121">
        <v>21</v>
      </c>
      <c r="C1966" s="121">
        <v>23</v>
      </c>
      <c r="D1966" s="121">
        <v>4</v>
      </c>
      <c r="E1966" s="121">
        <v>48272</v>
      </c>
    </row>
    <row r="1967" spans="1:5" ht="15">
      <c r="A1967" s="120" t="s">
        <v>229</v>
      </c>
      <c r="B1967" s="121">
        <v>21</v>
      </c>
      <c r="C1967" s="121">
        <v>26</v>
      </c>
      <c r="D1967" s="121">
        <v>2</v>
      </c>
      <c r="E1967" s="121">
        <v>5525269</v>
      </c>
    </row>
    <row r="1968" spans="1:5" ht="15">
      <c r="A1968" s="120" t="s">
        <v>229</v>
      </c>
      <c r="B1968" s="121">
        <v>21</v>
      </c>
      <c r="C1968" s="121">
        <v>26</v>
      </c>
      <c r="D1968" s="121">
        <v>3</v>
      </c>
      <c r="E1968" s="121">
        <v>428370</v>
      </c>
    </row>
    <row r="1969" spans="1:5" ht="15">
      <c r="A1969" s="120" t="s">
        <v>229</v>
      </c>
      <c r="B1969" s="121">
        <v>21</v>
      </c>
      <c r="C1969" s="121">
        <v>26</v>
      </c>
      <c r="D1969" s="121">
        <v>4</v>
      </c>
      <c r="E1969" s="121">
        <v>1775524</v>
      </c>
    </row>
    <row r="1970" spans="1:5" ht="15">
      <c r="A1970" s="120" t="s">
        <v>229</v>
      </c>
      <c r="B1970" s="121">
        <v>21</v>
      </c>
      <c r="C1970" s="121">
        <v>26</v>
      </c>
      <c r="D1970" s="121">
        <v>5</v>
      </c>
      <c r="E1970" s="121">
        <v>122162</v>
      </c>
    </row>
    <row r="1971" spans="1:5" ht="15">
      <c r="A1971" s="120" t="s">
        <v>229</v>
      </c>
      <c r="B1971" s="121">
        <v>21</v>
      </c>
      <c r="C1971" s="121">
        <v>26</v>
      </c>
      <c r="D1971" s="121">
        <v>7</v>
      </c>
      <c r="E1971" s="121">
        <v>1900202</v>
      </c>
    </row>
    <row r="1972" spans="1:5" ht="15">
      <c r="A1972" s="120" t="s">
        <v>229</v>
      </c>
      <c r="B1972" s="121">
        <v>21</v>
      </c>
      <c r="C1972" s="121">
        <v>26</v>
      </c>
      <c r="D1972" s="121">
        <v>8</v>
      </c>
      <c r="E1972" s="121">
        <v>10000</v>
      </c>
    </row>
    <row r="1973" spans="1:5" ht="15">
      <c r="A1973" s="120" t="s">
        <v>229</v>
      </c>
      <c r="B1973" s="121">
        <v>21</v>
      </c>
      <c r="C1973" s="121">
        <v>26</v>
      </c>
      <c r="D1973" s="121">
        <v>9</v>
      </c>
      <c r="E1973" s="121">
        <v>35838</v>
      </c>
    </row>
    <row r="1974" spans="1:5" ht="15">
      <c r="A1974" s="120" t="s">
        <v>229</v>
      </c>
      <c r="B1974" s="121">
        <v>21</v>
      </c>
      <c r="C1974" s="121">
        <v>27</v>
      </c>
      <c r="D1974" s="121">
        <v>2</v>
      </c>
      <c r="E1974" s="121">
        <v>12440430</v>
      </c>
    </row>
    <row r="1975" spans="1:5" ht="15">
      <c r="A1975" s="120" t="s">
        <v>229</v>
      </c>
      <c r="B1975" s="121">
        <v>21</v>
      </c>
      <c r="C1975" s="121">
        <v>27</v>
      </c>
      <c r="D1975" s="121">
        <v>3</v>
      </c>
      <c r="E1975" s="121">
        <v>10861254</v>
      </c>
    </row>
    <row r="1976" spans="1:5" ht="15">
      <c r="A1976" s="120" t="s">
        <v>229</v>
      </c>
      <c r="B1976" s="121">
        <v>21</v>
      </c>
      <c r="C1976" s="121">
        <v>27</v>
      </c>
      <c r="D1976" s="121">
        <v>4</v>
      </c>
      <c r="E1976" s="121">
        <v>9651863</v>
      </c>
    </row>
    <row r="1977" spans="1:5" ht="15">
      <c r="A1977" s="120" t="s">
        <v>229</v>
      </c>
      <c r="B1977" s="121">
        <v>21</v>
      </c>
      <c r="C1977" s="121">
        <v>27</v>
      </c>
      <c r="D1977" s="121">
        <v>5</v>
      </c>
      <c r="E1977" s="121">
        <v>49322</v>
      </c>
    </row>
    <row r="1978" spans="1:5" ht="15">
      <c r="A1978" s="120" t="s">
        <v>229</v>
      </c>
      <c r="B1978" s="121">
        <v>21</v>
      </c>
      <c r="C1978" s="121">
        <v>27</v>
      </c>
      <c r="D1978" s="121">
        <v>7</v>
      </c>
      <c r="E1978" s="121">
        <v>4758360</v>
      </c>
    </row>
    <row r="1979" spans="1:5" ht="15">
      <c r="A1979" s="120" t="s">
        <v>229</v>
      </c>
      <c r="B1979" s="121">
        <v>21</v>
      </c>
      <c r="C1979" s="121">
        <v>27</v>
      </c>
      <c r="D1979" s="121">
        <v>8</v>
      </c>
      <c r="E1979" s="121">
        <v>10000</v>
      </c>
    </row>
    <row r="1980" spans="1:5" ht="15">
      <c r="A1980" s="120" t="s">
        <v>229</v>
      </c>
      <c r="B1980" s="121">
        <v>21</v>
      </c>
      <c r="C1980" s="121">
        <v>27</v>
      </c>
      <c r="D1980" s="121">
        <v>9</v>
      </c>
      <c r="E1980" s="121">
        <v>12498</v>
      </c>
    </row>
    <row r="1981" spans="1:5" ht="15">
      <c r="A1981" s="120" t="s">
        <v>229</v>
      </c>
      <c r="B1981" s="121">
        <v>21</v>
      </c>
      <c r="C1981" s="121">
        <v>29</v>
      </c>
      <c r="D1981" s="121">
        <v>7</v>
      </c>
      <c r="E1981" s="121">
        <v>150000</v>
      </c>
    </row>
    <row r="1982" spans="1:5" ht="15">
      <c r="A1982" s="120" t="s">
        <v>229</v>
      </c>
      <c r="B1982" s="121">
        <v>21</v>
      </c>
      <c r="C1982" s="121">
        <v>33</v>
      </c>
      <c r="D1982" s="121">
        <v>5</v>
      </c>
      <c r="E1982" s="121">
        <v>202280</v>
      </c>
    </row>
    <row r="1983" spans="1:5" ht="15">
      <c r="A1983" s="120" t="s">
        <v>165</v>
      </c>
      <c r="B1983" s="121">
        <v>21</v>
      </c>
      <c r="C1983" s="121">
        <v>21</v>
      </c>
      <c r="D1983" s="121">
        <v>2</v>
      </c>
      <c r="E1983" s="121">
        <v>850505</v>
      </c>
    </row>
    <row r="1984" spans="1:5" ht="15">
      <c r="A1984" s="120" t="s">
        <v>165</v>
      </c>
      <c r="B1984" s="121">
        <v>21</v>
      </c>
      <c r="C1984" s="121">
        <v>21</v>
      </c>
      <c r="D1984" s="121">
        <v>3</v>
      </c>
      <c r="E1984" s="121">
        <v>434380</v>
      </c>
    </row>
    <row r="1985" spans="1:5" ht="15">
      <c r="A1985" s="120" t="s">
        <v>165</v>
      </c>
      <c r="B1985" s="121">
        <v>21</v>
      </c>
      <c r="C1985" s="121">
        <v>21</v>
      </c>
      <c r="D1985" s="121">
        <v>4</v>
      </c>
      <c r="E1985" s="121">
        <v>321968</v>
      </c>
    </row>
    <row r="1986" spans="1:5" ht="15">
      <c r="A1986" s="120" t="s">
        <v>165</v>
      </c>
      <c r="B1986" s="121">
        <v>21</v>
      </c>
      <c r="C1986" s="121">
        <v>21</v>
      </c>
      <c r="D1986" s="121">
        <v>5</v>
      </c>
      <c r="E1986" s="121">
        <v>4250</v>
      </c>
    </row>
    <row r="1987" spans="1:5" ht="15">
      <c r="A1987" s="120" t="s">
        <v>165</v>
      </c>
      <c r="B1987" s="121">
        <v>21</v>
      </c>
      <c r="C1987" s="121">
        <v>21</v>
      </c>
      <c r="D1987" s="121">
        <v>7</v>
      </c>
      <c r="E1987" s="121">
        <v>5400</v>
      </c>
    </row>
    <row r="1988" spans="1:5" ht="15">
      <c r="A1988" s="120" t="s">
        <v>165</v>
      </c>
      <c r="B1988" s="121">
        <v>21</v>
      </c>
      <c r="C1988" s="121">
        <v>21</v>
      </c>
      <c r="D1988" s="121">
        <v>8</v>
      </c>
      <c r="E1988" s="121">
        <v>1300</v>
      </c>
    </row>
    <row r="1989" spans="1:5" ht="15">
      <c r="A1989" s="120" t="s">
        <v>165</v>
      </c>
      <c r="B1989" s="121">
        <v>21</v>
      </c>
      <c r="C1989" s="121">
        <v>25</v>
      </c>
      <c r="D1989" s="121">
        <v>3</v>
      </c>
      <c r="E1989" s="121">
        <v>115770</v>
      </c>
    </row>
    <row r="1990" spans="1:5" ht="15">
      <c r="A1990" s="120" t="s">
        <v>165</v>
      </c>
      <c r="B1990" s="121">
        <v>21</v>
      </c>
      <c r="C1990" s="121">
        <v>25</v>
      </c>
      <c r="D1990" s="121">
        <v>4</v>
      </c>
      <c r="E1990" s="121">
        <v>47155</v>
      </c>
    </row>
    <row r="1991" spans="1:5" ht="15">
      <c r="A1991" s="120" t="s">
        <v>165</v>
      </c>
      <c r="B1991" s="121">
        <v>21</v>
      </c>
      <c r="C1991" s="121">
        <v>26</v>
      </c>
      <c r="D1991" s="121">
        <v>0</v>
      </c>
      <c r="E1991" s="121">
        <v>1000</v>
      </c>
    </row>
    <row r="1992" spans="1:5" ht="15">
      <c r="A1992" s="120" t="s">
        <v>165</v>
      </c>
      <c r="B1992" s="121">
        <v>21</v>
      </c>
      <c r="C1992" s="121">
        <v>26</v>
      </c>
      <c r="D1992" s="121">
        <v>2</v>
      </c>
      <c r="E1992" s="121">
        <v>10654414</v>
      </c>
    </row>
    <row r="1993" spans="1:5" ht="15">
      <c r="A1993" s="120" t="s">
        <v>165</v>
      </c>
      <c r="B1993" s="121">
        <v>21</v>
      </c>
      <c r="C1993" s="121">
        <v>26</v>
      </c>
      <c r="D1993" s="121">
        <v>3</v>
      </c>
      <c r="E1993" s="121">
        <v>718671</v>
      </c>
    </row>
    <row r="1994" spans="1:5" ht="15">
      <c r="A1994" s="120" t="s">
        <v>165</v>
      </c>
      <c r="B1994" s="121">
        <v>21</v>
      </c>
      <c r="C1994" s="121">
        <v>26</v>
      </c>
      <c r="D1994" s="121">
        <v>4</v>
      </c>
      <c r="E1994" s="121">
        <v>3272955</v>
      </c>
    </row>
    <row r="1995" spans="1:5" ht="15">
      <c r="A1995" s="120" t="s">
        <v>165</v>
      </c>
      <c r="B1995" s="121">
        <v>21</v>
      </c>
      <c r="C1995" s="121">
        <v>26</v>
      </c>
      <c r="D1995" s="121">
        <v>5</v>
      </c>
      <c r="E1995" s="121">
        <v>93170</v>
      </c>
    </row>
    <row r="1996" spans="1:5" ht="15">
      <c r="A1996" s="120" t="s">
        <v>165</v>
      </c>
      <c r="B1996" s="121">
        <v>21</v>
      </c>
      <c r="C1996" s="121">
        <v>26</v>
      </c>
      <c r="D1996" s="121">
        <v>7</v>
      </c>
      <c r="E1996" s="121">
        <v>1138880</v>
      </c>
    </row>
    <row r="1997" spans="1:5" ht="15">
      <c r="A1997" s="120" t="s">
        <v>165</v>
      </c>
      <c r="B1997" s="121">
        <v>21</v>
      </c>
      <c r="C1997" s="121">
        <v>26</v>
      </c>
      <c r="D1997" s="121">
        <v>8</v>
      </c>
      <c r="E1997" s="121">
        <v>5495</v>
      </c>
    </row>
    <row r="1998" spans="1:5" ht="15">
      <c r="A1998" s="120" t="s">
        <v>165</v>
      </c>
      <c r="B1998" s="121">
        <v>21</v>
      </c>
      <c r="C1998" s="121">
        <v>26</v>
      </c>
      <c r="D1998" s="121">
        <v>9</v>
      </c>
      <c r="E1998" s="121">
        <v>5000</v>
      </c>
    </row>
    <row r="1999" spans="1:5" ht="15">
      <c r="A1999" s="120" t="s">
        <v>165</v>
      </c>
      <c r="B1999" s="121">
        <v>21</v>
      </c>
      <c r="C1999" s="121">
        <v>27</v>
      </c>
      <c r="D1999" s="121">
        <v>0</v>
      </c>
      <c r="E1999" s="121">
        <v>127400</v>
      </c>
    </row>
    <row r="2000" spans="1:5" ht="15">
      <c r="A2000" s="120" t="s">
        <v>165</v>
      </c>
      <c r="B2000" s="121">
        <v>21</v>
      </c>
      <c r="C2000" s="121">
        <v>27</v>
      </c>
      <c r="D2000" s="121">
        <v>2</v>
      </c>
      <c r="E2000" s="121">
        <v>18303641</v>
      </c>
    </row>
    <row r="2001" spans="1:5" ht="15">
      <c r="A2001" s="120" t="s">
        <v>165</v>
      </c>
      <c r="B2001" s="121">
        <v>21</v>
      </c>
      <c r="C2001" s="121">
        <v>27</v>
      </c>
      <c r="D2001" s="121">
        <v>3</v>
      </c>
      <c r="E2001" s="121">
        <v>11736245</v>
      </c>
    </row>
    <row r="2002" spans="1:5" ht="15">
      <c r="A2002" s="120" t="s">
        <v>165</v>
      </c>
      <c r="B2002" s="121">
        <v>21</v>
      </c>
      <c r="C2002" s="121">
        <v>27</v>
      </c>
      <c r="D2002" s="121">
        <v>4</v>
      </c>
      <c r="E2002" s="121">
        <v>11790866</v>
      </c>
    </row>
    <row r="2003" spans="1:5" ht="15">
      <c r="A2003" s="120" t="s">
        <v>165</v>
      </c>
      <c r="B2003" s="121">
        <v>21</v>
      </c>
      <c r="C2003" s="121">
        <v>27</v>
      </c>
      <c r="D2003" s="121">
        <v>5</v>
      </c>
      <c r="E2003" s="121">
        <v>50120</v>
      </c>
    </row>
    <row r="2004" spans="1:5" ht="15">
      <c r="A2004" s="120" t="s">
        <v>165</v>
      </c>
      <c r="B2004" s="121">
        <v>21</v>
      </c>
      <c r="C2004" s="121">
        <v>27</v>
      </c>
      <c r="D2004" s="121">
        <v>7</v>
      </c>
      <c r="E2004" s="121">
        <v>6714060</v>
      </c>
    </row>
    <row r="2005" spans="1:5" ht="15">
      <c r="A2005" s="120" t="s">
        <v>165</v>
      </c>
      <c r="B2005" s="121">
        <v>21</v>
      </c>
      <c r="C2005" s="121">
        <v>27</v>
      </c>
      <c r="D2005" s="121">
        <v>8</v>
      </c>
      <c r="E2005" s="121">
        <v>13800</v>
      </c>
    </row>
    <row r="2006" spans="1:5" ht="15">
      <c r="A2006" s="120" t="s">
        <v>165</v>
      </c>
      <c r="B2006" s="121">
        <v>21</v>
      </c>
      <c r="C2006" s="121">
        <v>27</v>
      </c>
      <c r="D2006" s="121">
        <v>9</v>
      </c>
      <c r="E2006" s="121">
        <v>5000</v>
      </c>
    </row>
    <row r="2007" spans="1:5" ht="15">
      <c r="A2007" s="120" t="s">
        <v>165</v>
      </c>
      <c r="B2007" s="121">
        <v>21</v>
      </c>
      <c r="C2007" s="121">
        <v>29</v>
      </c>
      <c r="D2007" s="121">
        <v>7</v>
      </c>
      <c r="E2007" s="121">
        <v>1300000</v>
      </c>
    </row>
    <row r="2008" spans="1:5" ht="15">
      <c r="A2008" s="120" t="s">
        <v>165</v>
      </c>
      <c r="B2008" s="121">
        <v>21</v>
      </c>
      <c r="C2008" s="121">
        <v>31</v>
      </c>
      <c r="D2008" s="121">
        <v>2</v>
      </c>
      <c r="E2008" s="121">
        <v>47700</v>
      </c>
    </row>
    <row r="2009" spans="1:5" ht="15">
      <c r="A2009" s="120" t="s">
        <v>165</v>
      </c>
      <c r="B2009" s="121">
        <v>21</v>
      </c>
      <c r="C2009" s="121">
        <v>31</v>
      </c>
      <c r="D2009" s="121">
        <v>3</v>
      </c>
      <c r="E2009" s="121">
        <v>34300</v>
      </c>
    </row>
    <row r="2010" spans="1:5" ht="15">
      <c r="A2010" s="120" t="s">
        <v>165</v>
      </c>
      <c r="B2010" s="121">
        <v>21</v>
      </c>
      <c r="C2010" s="121">
        <v>31</v>
      </c>
      <c r="D2010" s="121">
        <v>4</v>
      </c>
      <c r="E2010" s="121">
        <v>16100</v>
      </c>
    </row>
    <row r="2011" spans="1:5" ht="15">
      <c r="A2011" s="120" t="s">
        <v>165</v>
      </c>
      <c r="B2011" s="121">
        <v>21</v>
      </c>
      <c r="C2011" s="121">
        <v>31</v>
      </c>
      <c r="D2011" s="121">
        <v>5</v>
      </c>
      <c r="E2011" s="121">
        <v>3350</v>
      </c>
    </row>
    <row r="2012" spans="1:5" ht="15">
      <c r="A2012" s="120" t="s">
        <v>165</v>
      </c>
      <c r="B2012" s="121">
        <v>21</v>
      </c>
      <c r="C2012" s="121">
        <v>31</v>
      </c>
      <c r="D2012" s="121">
        <v>7</v>
      </c>
      <c r="E2012" s="121">
        <v>11700</v>
      </c>
    </row>
    <row r="2013" spans="1:5" ht="15">
      <c r="A2013" s="120" t="s">
        <v>165</v>
      </c>
      <c r="B2013" s="121">
        <v>21</v>
      </c>
      <c r="C2013" s="121">
        <v>31</v>
      </c>
      <c r="D2013" s="121">
        <v>8</v>
      </c>
      <c r="E2013" s="121">
        <v>70</v>
      </c>
    </row>
    <row r="2014" spans="1:5" ht="15">
      <c r="A2014" s="120" t="s">
        <v>165</v>
      </c>
      <c r="B2014" s="121">
        <v>21</v>
      </c>
      <c r="C2014" s="121">
        <v>34</v>
      </c>
      <c r="D2014" s="121">
        <v>2</v>
      </c>
      <c r="E2014" s="121">
        <v>1231451</v>
      </c>
    </row>
    <row r="2015" spans="1:5" ht="15">
      <c r="A2015" s="120" t="s">
        <v>165</v>
      </c>
      <c r="B2015" s="121">
        <v>21</v>
      </c>
      <c r="C2015" s="121">
        <v>34</v>
      </c>
      <c r="D2015" s="121">
        <v>4</v>
      </c>
      <c r="E2015" s="121">
        <v>311185</v>
      </c>
    </row>
    <row r="2016" spans="1:5" ht="15">
      <c r="A2016" s="120" t="s">
        <v>229</v>
      </c>
      <c r="B2016" s="121">
        <v>24</v>
      </c>
      <c r="C2016" s="121">
        <v>26</v>
      </c>
      <c r="D2016" s="121">
        <v>2</v>
      </c>
      <c r="E2016" s="121">
        <v>4172700</v>
      </c>
    </row>
    <row r="2017" spans="1:5" ht="15">
      <c r="A2017" s="120" t="s">
        <v>229</v>
      </c>
      <c r="B2017" s="121">
        <v>24</v>
      </c>
      <c r="C2017" s="121">
        <v>26</v>
      </c>
      <c r="D2017" s="121">
        <v>4</v>
      </c>
      <c r="E2017" s="121">
        <v>1252328</v>
      </c>
    </row>
    <row r="2018" spans="1:5" ht="15">
      <c r="A2018" s="120" t="s">
        <v>229</v>
      </c>
      <c r="B2018" s="121">
        <v>24</v>
      </c>
      <c r="C2018" s="121">
        <v>27</v>
      </c>
      <c r="D2018" s="121">
        <v>2</v>
      </c>
      <c r="E2018" s="121">
        <v>1282333</v>
      </c>
    </row>
    <row r="2019" spans="1:5" ht="15">
      <c r="A2019" s="120" t="s">
        <v>229</v>
      </c>
      <c r="B2019" s="121">
        <v>24</v>
      </c>
      <c r="C2019" s="121">
        <v>27</v>
      </c>
      <c r="D2019" s="121">
        <v>4</v>
      </c>
      <c r="E2019" s="121">
        <v>368096</v>
      </c>
    </row>
    <row r="2020" spans="1:5" ht="15">
      <c r="A2020" s="120" t="s">
        <v>229</v>
      </c>
      <c r="B2020" s="121">
        <v>24</v>
      </c>
      <c r="C2020" s="121">
        <v>27</v>
      </c>
      <c r="D2020" s="121">
        <v>7</v>
      </c>
      <c r="E2020" s="121">
        <v>500004</v>
      </c>
    </row>
    <row r="2021" spans="1:5" ht="15">
      <c r="A2021" s="120" t="s">
        <v>229</v>
      </c>
      <c r="B2021" s="121">
        <v>24</v>
      </c>
      <c r="C2021" s="121">
        <v>29</v>
      </c>
      <c r="D2021" s="121">
        <v>7</v>
      </c>
      <c r="E2021" s="121">
        <v>2</v>
      </c>
    </row>
    <row r="2022" spans="1:5" ht="15">
      <c r="A2022" s="120" t="s">
        <v>229</v>
      </c>
      <c r="B2022" s="121">
        <v>24</v>
      </c>
      <c r="C2022" s="121">
        <v>31</v>
      </c>
      <c r="D2022" s="121">
        <v>7</v>
      </c>
      <c r="E2022" s="121">
        <v>2</v>
      </c>
    </row>
    <row r="2023" spans="1:5" ht="15">
      <c r="A2023" s="120" t="s">
        <v>165</v>
      </c>
      <c r="B2023" s="121">
        <v>24</v>
      </c>
      <c r="C2023" s="121">
        <v>21</v>
      </c>
      <c r="D2023" s="121">
        <v>3</v>
      </c>
      <c r="E2023" s="121">
        <v>138480</v>
      </c>
    </row>
    <row r="2024" spans="1:5" ht="15">
      <c r="A2024" s="120" t="s">
        <v>165</v>
      </c>
      <c r="B2024" s="121">
        <v>24</v>
      </c>
      <c r="C2024" s="121">
        <v>21</v>
      </c>
      <c r="D2024" s="121">
        <v>4</v>
      </c>
      <c r="E2024" s="121">
        <v>53727</v>
      </c>
    </row>
    <row r="2025" spans="1:5" ht="15">
      <c r="A2025" s="120" t="s">
        <v>165</v>
      </c>
      <c r="B2025" s="121">
        <v>24</v>
      </c>
      <c r="C2025" s="121">
        <v>24</v>
      </c>
      <c r="D2025" s="121">
        <v>3</v>
      </c>
      <c r="E2025" s="121">
        <v>48640</v>
      </c>
    </row>
    <row r="2026" spans="1:5" ht="15">
      <c r="A2026" s="120" t="s">
        <v>165</v>
      </c>
      <c r="B2026" s="121">
        <v>24</v>
      </c>
      <c r="C2026" s="121">
        <v>24</v>
      </c>
      <c r="D2026" s="121">
        <v>4</v>
      </c>
      <c r="E2026" s="121">
        <v>20347</v>
      </c>
    </row>
    <row r="2027" spans="1:5" ht="15">
      <c r="A2027" s="120" t="s">
        <v>165</v>
      </c>
      <c r="B2027" s="121">
        <v>24</v>
      </c>
      <c r="C2027" s="121">
        <v>26</v>
      </c>
      <c r="D2027" s="121">
        <v>2</v>
      </c>
      <c r="E2027" s="121">
        <v>3042671</v>
      </c>
    </row>
    <row r="2028" spans="1:5" ht="15">
      <c r="A2028" s="120" t="s">
        <v>165</v>
      </c>
      <c r="B2028" s="121">
        <v>24</v>
      </c>
      <c r="C2028" s="121">
        <v>26</v>
      </c>
      <c r="D2028" s="121">
        <v>4</v>
      </c>
      <c r="E2028" s="121">
        <v>844717</v>
      </c>
    </row>
    <row r="2029" spans="1:5" ht="15">
      <c r="A2029" s="120" t="s">
        <v>165</v>
      </c>
      <c r="B2029" s="121">
        <v>24</v>
      </c>
      <c r="C2029" s="121">
        <v>26</v>
      </c>
      <c r="D2029" s="121">
        <v>7</v>
      </c>
      <c r="E2029" s="121">
        <v>64000</v>
      </c>
    </row>
    <row r="2030" spans="1:5" ht="15">
      <c r="A2030" s="120" t="s">
        <v>165</v>
      </c>
      <c r="B2030" s="121">
        <v>24</v>
      </c>
      <c r="C2030" s="121">
        <v>27</v>
      </c>
      <c r="D2030" s="121">
        <v>2</v>
      </c>
      <c r="E2030" s="121">
        <v>170114</v>
      </c>
    </row>
    <row r="2031" spans="1:5" ht="15">
      <c r="A2031" s="120" t="s">
        <v>165</v>
      </c>
      <c r="B2031" s="121">
        <v>24</v>
      </c>
      <c r="C2031" s="121">
        <v>27</v>
      </c>
      <c r="D2031" s="121">
        <v>4</v>
      </c>
      <c r="E2031" s="121">
        <v>52415</v>
      </c>
    </row>
    <row r="2032" spans="1:5" ht="15">
      <c r="A2032" s="120" t="s">
        <v>165</v>
      </c>
      <c r="B2032" s="121">
        <v>24</v>
      </c>
      <c r="C2032" s="121">
        <v>27</v>
      </c>
      <c r="D2032" s="121">
        <v>7</v>
      </c>
      <c r="E2032" s="121">
        <v>375000</v>
      </c>
    </row>
    <row r="2033" spans="1:5" ht="15">
      <c r="A2033" s="120" t="s">
        <v>165</v>
      </c>
      <c r="B2033" s="121">
        <v>24</v>
      </c>
      <c r="C2033" s="121">
        <v>29</v>
      </c>
      <c r="D2033" s="121">
        <v>7</v>
      </c>
      <c r="E2033" s="121">
        <v>25000</v>
      </c>
    </row>
    <row r="2034" spans="1:5" ht="15">
      <c r="A2034" s="120" t="s">
        <v>165</v>
      </c>
      <c r="B2034" s="121">
        <v>24</v>
      </c>
      <c r="C2034" s="121">
        <v>31</v>
      </c>
      <c r="D2034" s="121">
        <v>2</v>
      </c>
      <c r="E2034" s="121">
        <v>20300</v>
      </c>
    </row>
    <row r="2035" spans="1:5" ht="15">
      <c r="A2035" s="120" t="s">
        <v>165</v>
      </c>
      <c r="B2035" s="121">
        <v>24</v>
      </c>
      <c r="C2035" s="121">
        <v>31</v>
      </c>
      <c r="D2035" s="121">
        <v>3</v>
      </c>
      <c r="E2035" s="121">
        <v>5900</v>
      </c>
    </row>
    <row r="2036" spans="1:5" ht="15">
      <c r="A2036" s="120" t="s">
        <v>165</v>
      </c>
      <c r="B2036" s="121">
        <v>24</v>
      </c>
      <c r="C2036" s="121">
        <v>31</v>
      </c>
      <c r="D2036" s="121">
        <v>4</v>
      </c>
      <c r="E2036" s="121">
        <v>6424</v>
      </c>
    </row>
    <row r="2037" spans="1:5" ht="15">
      <c r="A2037" s="120" t="s">
        <v>213</v>
      </c>
      <c r="B2037" s="121">
        <v>21</v>
      </c>
      <c r="C2037" s="121">
        <v>21</v>
      </c>
      <c r="D2037" s="121">
        <v>5</v>
      </c>
      <c r="E2037" s="121">
        <v>500</v>
      </c>
    </row>
    <row r="2038" spans="1:5" ht="15">
      <c r="A2038" s="120" t="s">
        <v>213</v>
      </c>
      <c r="B2038" s="121">
        <v>21</v>
      </c>
      <c r="C2038" s="121">
        <v>21</v>
      </c>
      <c r="D2038" s="121">
        <v>7</v>
      </c>
      <c r="E2038" s="121">
        <v>125000</v>
      </c>
    </row>
    <row r="2039" spans="1:5" ht="15">
      <c r="A2039" s="120" t="s">
        <v>213</v>
      </c>
      <c r="B2039" s="121">
        <v>21</v>
      </c>
      <c r="C2039" s="121">
        <v>23</v>
      </c>
      <c r="D2039" s="121">
        <v>3</v>
      </c>
      <c r="E2039" s="121">
        <v>5413</v>
      </c>
    </row>
    <row r="2040" spans="1:5" ht="15">
      <c r="A2040" s="120" t="s">
        <v>213</v>
      </c>
      <c r="B2040" s="121">
        <v>21</v>
      </c>
      <c r="C2040" s="121">
        <v>23</v>
      </c>
      <c r="D2040" s="121">
        <v>4</v>
      </c>
      <c r="E2040" s="121">
        <v>2594</v>
      </c>
    </row>
    <row r="2041" spans="1:5" ht="15">
      <c r="A2041" s="120" t="s">
        <v>213</v>
      </c>
      <c r="B2041" s="121">
        <v>21</v>
      </c>
      <c r="C2041" s="121">
        <v>26</v>
      </c>
      <c r="D2041" s="121">
        <v>5</v>
      </c>
      <c r="E2041" s="121">
        <v>500</v>
      </c>
    </row>
    <row r="2042" spans="1:5" ht="15">
      <c r="A2042" s="120" t="s">
        <v>213</v>
      </c>
      <c r="B2042" s="121">
        <v>21</v>
      </c>
      <c r="C2042" s="121">
        <v>27</v>
      </c>
      <c r="D2042" s="121">
        <v>2</v>
      </c>
      <c r="E2042" s="121">
        <v>212283</v>
      </c>
    </row>
    <row r="2043" spans="1:5" ht="15">
      <c r="A2043" s="120" t="s">
        <v>213</v>
      </c>
      <c r="B2043" s="121">
        <v>21</v>
      </c>
      <c r="C2043" s="121">
        <v>27</v>
      </c>
      <c r="D2043" s="121">
        <v>3</v>
      </c>
      <c r="E2043" s="121">
        <v>246482</v>
      </c>
    </row>
    <row r="2044" spans="1:5" ht="15">
      <c r="A2044" s="120" t="s">
        <v>213</v>
      </c>
      <c r="B2044" s="121">
        <v>21</v>
      </c>
      <c r="C2044" s="121">
        <v>27</v>
      </c>
      <c r="D2044" s="121">
        <v>4</v>
      </c>
      <c r="E2044" s="121">
        <v>233168</v>
      </c>
    </row>
    <row r="2045" spans="1:5" ht="15">
      <c r="A2045" s="120" t="s">
        <v>213</v>
      </c>
      <c r="B2045" s="121">
        <v>21</v>
      </c>
      <c r="C2045" s="121">
        <v>27</v>
      </c>
      <c r="D2045" s="121">
        <v>5</v>
      </c>
      <c r="E2045" s="121">
        <v>6750</v>
      </c>
    </row>
    <row r="2046" spans="1:5" ht="15">
      <c r="A2046" s="120" t="s">
        <v>213</v>
      </c>
      <c r="B2046" s="121">
        <v>21</v>
      </c>
      <c r="C2046" s="121">
        <v>27</v>
      </c>
      <c r="D2046" s="121">
        <v>7</v>
      </c>
      <c r="E2046" s="121">
        <v>125320</v>
      </c>
    </row>
    <row r="2047" spans="1:5" ht="15">
      <c r="A2047" s="120" t="s">
        <v>213</v>
      </c>
      <c r="B2047" s="121">
        <v>21</v>
      </c>
      <c r="C2047" s="121">
        <v>32</v>
      </c>
      <c r="D2047" s="121">
        <v>5</v>
      </c>
      <c r="E2047" s="121">
        <v>500</v>
      </c>
    </row>
    <row r="2048" spans="1:5" ht="15">
      <c r="A2048" s="120" t="s">
        <v>213</v>
      </c>
      <c r="B2048" s="121">
        <v>24</v>
      </c>
      <c r="C2048" s="121">
        <v>21</v>
      </c>
      <c r="D2048" s="121">
        <v>7</v>
      </c>
      <c r="E2048" s="121">
        <v>75559</v>
      </c>
    </row>
    <row r="2049" spans="1:5" ht="15">
      <c r="A2049" s="120" t="s">
        <v>213</v>
      </c>
      <c r="B2049" s="121">
        <v>24</v>
      </c>
      <c r="C2049" s="121">
        <v>27</v>
      </c>
      <c r="D2049" s="121">
        <v>3</v>
      </c>
      <c r="E2049" s="121">
        <v>3621</v>
      </c>
    </row>
    <row r="2050" spans="1:5" ht="15">
      <c r="A2050" s="120" t="s">
        <v>213</v>
      </c>
      <c r="B2050" s="121">
        <v>24</v>
      </c>
      <c r="C2050" s="121">
        <v>27</v>
      </c>
      <c r="D2050" s="121">
        <v>4</v>
      </c>
      <c r="E2050" s="121">
        <v>2270</v>
      </c>
    </row>
    <row r="2051" spans="1:5" ht="15">
      <c r="A2051" s="120" t="s">
        <v>189</v>
      </c>
      <c r="B2051" s="121">
        <v>21</v>
      </c>
      <c r="C2051" s="121">
        <v>21</v>
      </c>
      <c r="D2051" s="121">
        <v>2</v>
      </c>
      <c r="E2051" s="121">
        <v>104248</v>
      </c>
    </row>
    <row r="2052" spans="1:5" ht="15">
      <c r="A2052" s="120" t="s">
        <v>189</v>
      </c>
      <c r="B2052" s="121">
        <v>21</v>
      </c>
      <c r="C2052" s="121">
        <v>21</v>
      </c>
      <c r="D2052" s="121">
        <v>4</v>
      </c>
      <c r="E2052" s="121">
        <v>30763</v>
      </c>
    </row>
    <row r="2053" spans="1:5" ht="15">
      <c r="A2053" s="120" t="s">
        <v>189</v>
      </c>
      <c r="B2053" s="121">
        <v>21</v>
      </c>
      <c r="C2053" s="121">
        <v>24</v>
      </c>
      <c r="D2053" s="121">
        <v>3</v>
      </c>
      <c r="E2053" s="121">
        <v>3000</v>
      </c>
    </row>
    <row r="2054" spans="1:5" ht="15">
      <c r="A2054" s="120" t="s">
        <v>189</v>
      </c>
      <c r="B2054" s="121">
        <v>21</v>
      </c>
      <c r="C2054" s="121">
        <v>24</v>
      </c>
      <c r="D2054" s="121">
        <v>4</v>
      </c>
      <c r="E2054" s="121">
        <v>261</v>
      </c>
    </row>
    <row r="2055" spans="1:5" ht="15">
      <c r="A2055" s="120" t="s">
        <v>189</v>
      </c>
      <c r="B2055" s="121">
        <v>21</v>
      </c>
      <c r="C2055" s="121">
        <v>26</v>
      </c>
      <c r="D2055" s="121">
        <v>3</v>
      </c>
      <c r="E2055" s="121">
        <v>79644</v>
      </c>
    </row>
    <row r="2056" spans="1:5" ht="15">
      <c r="A2056" s="120" t="s">
        <v>189</v>
      </c>
      <c r="B2056" s="121">
        <v>21</v>
      </c>
      <c r="C2056" s="121">
        <v>26</v>
      </c>
      <c r="D2056" s="121">
        <v>4</v>
      </c>
      <c r="E2056" s="121">
        <v>44561</v>
      </c>
    </row>
    <row r="2057" spans="1:5" ht="15">
      <c r="A2057" s="120" t="s">
        <v>189</v>
      </c>
      <c r="B2057" s="121">
        <v>21</v>
      </c>
      <c r="C2057" s="121">
        <v>26</v>
      </c>
      <c r="D2057" s="121">
        <v>7</v>
      </c>
      <c r="E2057" s="121">
        <v>384568</v>
      </c>
    </row>
    <row r="2058" spans="1:5" ht="15">
      <c r="A2058" s="120" t="s">
        <v>189</v>
      </c>
      <c r="B2058" s="121">
        <v>21</v>
      </c>
      <c r="C2058" s="121">
        <v>27</v>
      </c>
      <c r="D2058" s="121">
        <v>2</v>
      </c>
      <c r="E2058" s="121">
        <v>157242</v>
      </c>
    </row>
    <row r="2059" spans="1:5" ht="15">
      <c r="A2059" s="120" t="s">
        <v>189</v>
      </c>
      <c r="B2059" s="121">
        <v>21</v>
      </c>
      <c r="C2059" s="121">
        <v>27</v>
      </c>
      <c r="D2059" s="121">
        <v>3</v>
      </c>
      <c r="E2059" s="121">
        <v>374171</v>
      </c>
    </row>
    <row r="2060" spans="1:5" ht="15">
      <c r="A2060" s="120" t="s">
        <v>189</v>
      </c>
      <c r="B2060" s="121">
        <v>21</v>
      </c>
      <c r="C2060" s="121">
        <v>27</v>
      </c>
      <c r="D2060" s="121">
        <v>4</v>
      </c>
      <c r="E2060" s="121">
        <v>283903</v>
      </c>
    </row>
    <row r="2061" spans="1:5" ht="15">
      <c r="A2061" s="120" t="s">
        <v>189</v>
      </c>
      <c r="B2061" s="121">
        <v>21</v>
      </c>
      <c r="C2061" s="121">
        <v>27</v>
      </c>
      <c r="D2061" s="121">
        <v>5</v>
      </c>
      <c r="E2061" s="121">
        <v>1750</v>
      </c>
    </row>
    <row r="2062" spans="1:5" ht="15">
      <c r="A2062" s="120" t="s">
        <v>189</v>
      </c>
      <c r="B2062" s="121">
        <v>21</v>
      </c>
      <c r="C2062" s="121">
        <v>27</v>
      </c>
      <c r="D2062" s="121">
        <v>7</v>
      </c>
      <c r="E2062" s="121">
        <v>5840</v>
      </c>
    </row>
    <row r="2063" spans="1:5" ht="15">
      <c r="A2063" s="120" t="s">
        <v>189</v>
      </c>
      <c r="B2063" s="121">
        <v>21</v>
      </c>
      <c r="C2063" s="121">
        <v>27</v>
      </c>
      <c r="D2063" s="121">
        <v>8</v>
      </c>
      <c r="E2063" s="121">
        <v>1000</v>
      </c>
    </row>
    <row r="2064" spans="1:5" ht="15">
      <c r="A2064" s="120" t="s">
        <v>189</v>
      </c>
      <c r="B2064" s="121">
        <v>21</v>
      </c>
      <c r="C2064" s="121">
        <v>31</v>
      </c>
      <c r="D2064" s="121">
        <v>2</v>
      </c>
      <c r="E2064" s="121">
        <v>1243</v>
      </c>
    </row>
    <row r="2065" spans="1:5" ht="15">
      <c r="A2065" s="120" t="s">
        <v>189</v>
      </c>
      <c r="B2065" s="121">
        <v>21</v>
      </c>
      <c r="C2065" s="121">
        <v>31</v>
      </c>
      <c r="D2065" s="121">
        <v>4</v>
      </c>
      <c r="E2065" s="121">
        <v>209</v>
      </c>
    </row>
    <row r="2066" spans="1:5" ht="15">
      <c r="A2066" s="120" t="s">
        <v>189</v>
      </c>
      <c r="B2066" s="121">
        <v>21</v>
      </c>
      <c r="C2066" s="121">
        <v>31</v>
      </c>
      <c r="D2066" s="121">
        <v>8</v>
      </c>
      <c r="E2066" s="121">
        <v>500</v>
      </c>
    </row>
    <row r="2067" spans="1:5" ht="15">
      <c r="A2067" s="120" t="s">
        <v>189</v>
      </c>
      <c r="B2067" s="121">
        <v>21</v>
      </c>
      <c r="C2067" s="121">
        <v>32</v>
      </c>
      <c r="D2067" s="121">
        <v>5</v>
      </c>
      <c r="E2067" s="121">
        <v>2000</v>
      </c>
    </row>
    <row r="2068" spans="1:5" ht="15">
      <c r="A2068" s="120" t="s">
        <v>189</v>
      </c>
      <c r="B2068" s="121">
        <v>21</v>
      </c>
      <c r="C2068" s="121">
        <v>34</v>
      </c>
      <c r="D2068" s="121">
        <v>2</v>
      </c>
      <c r="E2068" s="121">
        <v>1243</v>
      </c>
    </row>
    <row r="2069" spans="1:5" ht="15">
      <c r="A2069" s="120" t="s">
        <v>189</v>
      </c>
      <c r="B2069" s="121">
        <v>21</v>
      </c>
      <c r="C2069" s="121">
        <v>34</v>
      </c>
      <c r="D2069" s="121">
        <v>4</v>
      </c>
      <c r="E2069" s="121">
        <v>209</v>
      </c>
    </row>
    <row r="2070" spans="1:5" ht="15">
      <c r="A2070" s="120" t="s">
        <v>189</v>
      </c>
      <c r="B2070" s="121">
        <v>24</v>
      </c>
      <c r="C2070" s="121">
        <v>26</v>
      </c>
      <c r="D2070" s="121">
        <v>7</v>
      </c>
      <c r="E2070" s="121">
        <v>6309</v>
      </c>
    </row>
    <row r="2071" spans="1:5" ht="15">
      <c r="A2071" s="120" t="s">
        <v>189</v>
      </c>
      <c r="B2071" s="121">
        <v>24</v>
      </c>
      <c r="C2071" s="121">
        <v>27</v>
      </c>
      <c r="D2071" s="121">
        <v>2</v>
      </c>
      <c r="E2071" s="121">
        <v>130169</v>
      </c>
    </row>
    <row r="2072" spans="1:5" ht="15">
      <c r="A2072" s="120" t="s">
        <v>189</v>
      </c>
      <c r="B2072" s="121">
        <v>24</v>
      </c>
      <c r="C2072" s="121">
        <v>27</v>
      </c>
      <c r="D2072" s="121">
        <v>4</v>
      </c>
      <c r="E2072" s="121">
        <v>47496</v>
      </c>
    </row>
    <row r="2073" spans="1:5" ht="15">
      <c r="A2073" s="120" t="s">
        <v>189</v>
      </c>
      <c r="B2073" s="121">
        <v>29</v>
      </c>
      <c r="C2073" s="121">
        <v>26</v>
      </c>
      <c r="D2073" s="121">
        <v>7</v>
      </c>
      <c r="E2073" s="121">
        <v>4745</v>
      </c>
    </row>
    <row r="2074" spans="1:5" ht="15">
      <c r="A2074" s="120" t="s">
        <v>283</v>
      </c>
      <c r="B2074" s="121">
        <v>21</v>
      </c>
      <c r="C2074" s="121">
        <v>21</v>
      </c>
      <c r="D2074" s="121">
        <v>2</v>
      </c>
      <c r="E2074" s="121">
        <v>192276</v>
      </c>
    </row>
    <row r="2075" spans="1:5" ht="15">
      <c r="A2075" s="120" t="s">
        <v>283</v>
      </c>
      <c r="B2075" s="121">
        <v>21</v>
      </c>
      <c r="C2075" s="121">
        <v>21</v>
      </c>
      <c r="D2075" s="121">
        <v>3</v>
      </c>
      <c r="E2075" s="121">
        <v>117921</v>
      </c>
    </row>
    <row r="2076" spans="1:5" ht="15">
      <c r="A2076" s="120" t="s">
        <v>283</v>
      </c>
      <c r="B2076" s="121">
        <v>21</v>
      </c>
      <c r="C2076" s="121">
        <v>21</v>
      </c>
      <c r="D2076" s="121">
        <v>4</v>
      </c>
      <c r="E2076" s="121">
        <v>98327</v>
      </c>
    </row>
    <row r="2077" spans="1:5" ht="15">
      <c r="A2077" s="120" t="s">
        <v>283</v>
      </c>
      <c r="B2077" s="121">
        <v>21</v>
      </c>
      <c r="C2077" s="121">
        <v>21</v>
      </c>
      <c r="D2077" s="121">
        <v>5</v>
      </c>
      <c r="E2077" s="121">
        <v>1000</v>
      </c>
    </row>
    <row r="2078" spans="1:5" ht="15">
      <c r="A2078" s="120" t="s">
        <v>283</v>
      </c>
      <c r="B2078" s="121">
        <v>21</v>
      </c>
      <c r="C2078" s="121">
        <v>21</v>
      </c>
      <c r="D2078" s="121">
        <v>7</v>
      </c>
      <c r="E2078" s="121">
        <v>1500</v>
      </c>
    </row>
    <row r="2079" spans="1:5" ht="15">
      <c r="A2079" s="120" t="s">
        <v>283</v>
      </c>
      <c r="B2079" s="121">
        <v>21</v>
      </c>
      <c r="C2079" s="121">
        <v>21</v>
      </c>
      <c r="D2079" s="121">
        <v>8</v>
      </c>
      <c r="E2079" s="121">
        <v>1500</v>
      </c>
    </row>
    <row r="2080" spans="1:5" ht="15">
      <c r="A2080" s="120" t="s">
        <v>283</v>
      </c>
      <c r="B2080" s="121">
        <v>21</v>
      </c>
      <c r="C2080" s="121">
        <v>23</v>
      </c>
      <c r="D2080" s="121">
        <v>3</v>
      </c>
      <c r="E2080" s="121">
        <v>21966</v>
      </c>
    </row>
    <row r="2081" spans="1:5" ht="15">
      <c r="A2081" s="120" t="s">
        <v>283</v>
      </c>
      <c r="B2081" s="121">
        <v>21</v>
      </c>
      <c r="C2081" s="121">
        <v>23</v>
      </c>
      <c r="D2081" s="121">
        <v>4</v>
      </c>
      <c r="E2081" s="121">
        <v>20595</v>
      </c>
    </row>
    <row r="2082" spans="1:5" ht="15">
      <c r="A2082" s="120" t="s">
        <v>283</v>
      </c>
      <c r="B2082" s="121">
        <v>21</v>
      </c>
      <c r="C2082" s="121">
        <v>25</v>
      </c>
      <c r="D2082" s="121">
        <v>7</v>
      </c>
      <c r="E2082" s="121">
        <v>2500</v>
      </c>
    </row>
    <row r="2083" spans="1:5" ht="15">
      <c r="A2083" s="120" t="s">
        <v>283</v>
      </c>
      <c r="B2083" s="121">
        <v>21</v>
      </c>
      <c r="C2083" s="121">
        <v>26</v>
      </c>
      <c r="D2083" s="121">
        <v>2</v>
      </c>
      <c r="E2083" s="121">
        <v>1748444</v>
      </c>
    </row>
    <row r="2084" spans="1:5" ht="15">
      <c r="A2084" s="120" t="s">
        <v>283</v>
      </c>
      <c r="B2084" s="121">
        <v>21</v>
      </c>
      <c r="C2084" s="121">
        <v>26</v>
      </c>
      <c r="D2084" s="121">
        <v>3</v>
      </c>
      <c r="E2084" s="121">
        <v>66431</v>
      </c>
    </row>
    <row r="2085" spans="1:5" ht="15">
      <c r="A2085" s="120" t="s">
        <v>283</v>
      </c>
      <c r="B2085" s="121">
        <v>21</v>
      </c>
      <c r="C2085" s="121">
        <v>26</v>
      </c>
      <c r="D2085" s="121">
        <v>4</v>
      </c>
      <c r="E2085" s="121">
        <v>613880</v>
      </c>
    </row>
    <row r="2086" spans="1:5" ht="15">
      <c r="A2086" s="120" t="s">
        <v>283</v>
      </c>
      <c r="B2086" s="121">
        <v>21</v>
      </c>
      <c r="C2086" s="121">
        <v>26</v>
      </c>
      <c r="D2086" s="121">
        <v>5</v>
      </c>
      <c r="E2086" s="121">
        <v>14500</v>
      </c>
    </row>
    <row r="2087" spans="1:5" ht="15">
      <c r="A2087" s="120" t="s">
        <v>283</v>
      </c>
      <c r="B2087" s="121">
        <v>21</v>
      </c>
      <c r="C2087" s="121">
        <v>26</v>
      </c>
      <c r="D2087" s="121">
        <v>7</v>
      </c>
      <c r="E2087" s="121">
        <v>282500</v>
      </c>
    </row>
    <row r="2088" spans="1:5" ht="15">
      <c r="A2088" s="120" t="s">
        <v>283</v>
      </c>
      <c r="B2088" s="121">
        <v>21</v>
      </c>
      <c r="C2088" s="121">
        <v>27</v>
      </c>
      <c r="D2088" s="121">
        <v>2</v>
      </c>
      <c r="E2088" s="121">
        <v>2248611</v>
      </c>
    </row>
    <row r="2089" spans="1:5" ht="15">
      <c r="A2089" s="120" t="s">
        <v>283</v>
      </c>
      <c r="B2089" s="121">
        <v>21</v>
      </c>
      <c r="C2089" s="121">
        <v>27</v>
      </c>
      <c r="D2089" s="121">
        <v>3</v>
      </c>
      <c r="E2089" s="121">
        <v>1766889</v>
      </c>
    </row>
    <row r="2090" spans="1:5" ht="15">
      <c r="A2090" s="120" t="s">
        <v>283</v>
      </c>
      <c r="B2090" s="121">
        <v>21</v>
      </c>
      <c r="C2090" s="121">
        <v>27</v>
      </c>
      <c r="D2090" s="121">
        <v>4</v>
      </c>
      <c r="E2090" s="121">
        <v>1840442</v>
      </c>
    </row>
    <row r="2091" spans="1:5" ht="15">
      <c r="A2091" s="120" t="s">
        <v>283</v>
      </c>
      <c r="B2091" s="121">
        <v>21</v>
      </c>
      <c r="C2091" s="121">
        <v>27</v>
      </c>
      <c r="D2091" s="121">
        <v>5</v>
      </c>
      <c r="E2091" s="121">
        <v>29000</v>
      </c>
    </row>
    <row r="2092" spans="1:5" ht="15">
      <c r="A2092" s="120" t="s">
        <v>283</v>
      </c>
      <c r="B2092" s="121">
        <v>21</v>
      </c>
      <c r="C2092" s="121">
        <v>27</v>
      </c>
      <c r="D2092" s="121">
        <v>7</v>
      </c>
      <c r="E2092" s="121">
        <v>341041</v>
      </c>
    </row>
    <row r="2093" spans="1:5" ht="15">
      <c r="A2093" s="120" t="s">
        <v>283</v>
      </c>
      <c r="B2093" s="121">
        <v>21</v>
      </c>
      <c r="C2093" s="121">
        <v>27</v>
      </c>
      <c r="D2093" s="121">
        <v>8</v>
      </c>
      <c r="E2093" s="121">
        <v>2500</v>
      </c>
    </row>
    <row r="2094" spans="1:5" ht="15">
      <c r="A2094" s="120" t="s">
        <v>283</v>
      </c>
      <c r="B2094" s="121">
        <v>21</v>
      </c>
      <c r="C2094" s="121">
        <v>31</v>
      </c>
      <c r="D2094" s="121">
        <v>2</v>
      </c>
      <c r="E2094" s="121">
        <v>172043</v>
      </c>
    </row>
    <row r="2095" spans="1:5" ht="15">
      <c r="A2095" s="120" t="s">
        <v>283</v>
      </c>
      <c r="B2095" s="121">
        <v>21</v>
      </c>
      <c r="C2095" s="121">
        <v>31</v>
      </c>
      <c r="D2095" s="121">
        <v>4</v>
      </c>
      <c r="E2095" s="121">
        <v>27336</v>
      </c>
    </row>
    <row r="2096" spans="1:5" ht="15">
      <c r="A2096" s="120" t="s">
        <v>283</v>
      </c>
      <c r="B2096" s="121">
        <v>21</v>
      </c>
      <c r="C2096" s="121">
        <v>31</v>
      </c>
      <c r="D2096" s="121">
        <v>5</v>
      </c>
      <c r="E2096" s="121">
        <v>1500</v>
      </c>
    </row>
    <row r="2097" spans="1:5" ht="15">
      <c r="A2097" s="120" t="s">
        <v>283</v>
      </c>
      <c r="B2097" s="121">
        <v>21</v>
      </c>
      <c r="C2097" s="121">
        <v>31</v>
      </c>
      <c r="D2097" s="121">
        <v>7</v>
      </c>
      <c r="E2097" s="121">
        <v>3500</v>
      </c>
    </row>
    <row r="2098" spans="1:5" ht="15">
      <c r="A2098" s="120" t="s">
        <v>283</v>
      </c>
      <c r="B2098" s="121">
        <v>21</v>
      </c>
      <c r="C2098" s="121">
        <v>31</v>
      </c>
      <c r="D2098" s="121">
        <v>8</v>
      </c>
      <c r="E2098" s="121">
        <v>1000</v>
      </c>
    </row>
    <row r="2099" spans="1:5" ht="15">
      <c r="A2099" s="120" t="s">
        <v>283</v>
      </c>
      <c r="B2099" s="121">
        <v>21</v>
      </c>
      <c r="C2099" s="121">
        <v>32</v>
      </c>
      <c r="D2099" s="121">
        <v>5</v>
      </c>
      <c r="E2099" s="121">
        <v>8000</v>
      </c>
    </row>
    <row r="2100" spans="1:5" ht="15">
      <c r="A2100" s="120" t="s">
        <v>283</v>
      </c>
      <c r="B2100" s="121">
        <v>21</v>
      </c>
      <c r="C2100" s="121">
        <v>33</v>
      </c>
      <c r="D2100" s="121">
        <v>5</v>
      </c>
      <c r="E2100" s="121">
        <v>14750</v>
      </c>
    </row>
    <row r="2101" spans="1:5" ht="15">
      <c r="A2101" s="120" t="s">
        <v>283</v>
      </c>
      <c r="B2101" s="121">
        <v>24</v>
      </c>
      <c r="C2101" s="121">
        <v>27</v>
      </c>
      <c r="D2101" s="121">
        <v>2</v>
      </c>
      <c r="E2101" s="121">
        <v>285330</v>
      </c>
    </row>
    <row r="2102" spans="1:5" ht="15">
      <c r="A2102" s="120" t="s">
        <v>283</v>
      </c>
      <c r="B2102" s="121">
        <v>24</v>
      </c>
      <c r="C2102" s="121">
        <v>27</v>
      </c>
      <c r="D2102" s="121">
        <v>3</v>
      </c>
      <c r="E2102" s="121">
        <v>258502</v>
      </c>
    </row>
    <row r="2103" spans="1:5" ht="15">
      <c r="A2103" s="120" t="s">
        <v>283</v>
      </c>
      <c r="B2103" s="121">
        <v>24</v>
      </c>
      <c r="C2103" s="121">
        <v>27</v>
      </c>
      <c r="D2103" s="121">
        <v>4</v>
      </c>
      <c r="E2103" s="121">
        <v>247071</v>
      </c>
    </row>
    <row r="2104" spans="1:5" ht="15">
      <c r="A2104" s="120" t="s">
        <v>283</v>
      </c>
      <c r="B2104" s="121">
        <v>24</v>
      </c>
      <c r="C2104" s="121">
        <v>27</v>
      </c>
      <c r="D2104" s="121">
        <v>7</v>
      </c>
      <c r="E2104" s="121">
        <v>150000</v>
      </c>
    </row>
    <row r="2105" spans="1:5" ht="15">
      <c r="A2105" s="120" t="s">
        <v>283</v>
      </c>
      <c r="B2105" s="121">
        <v>24</v>
      </c>
      <c r="C2105" s="121">
        <v>31</v>
      </c>
      <c r="D2105" s="121">
        <v>2</v>
      </c>
      <c r="E2105" s="121">
        <v>7732</v>
      </c>
    </row>
    <row r="2106" spans="1:5" ht="15">
      <c r="A2106" s="120" t="s">
        <v>283</v>
      </c>
      <c r="B2106" s="121">
        <v>24</v>
      </c>
      <c r="C2106" s="121">
        <v>31</v>
      </c>
      <c r="D2106" s="121">
        <v>4</v>
      </c>
      <c r="E2106" s="121">
        <v>1239</v>
      </c>
    </row>
    <row r="2107" spans="1:5" ht="15">
      <c r="A2107" s="120" t="s">
        <v>297</v>
      </c>
      <c r="B2107" s="121">
        <v>24</v>
      </c>
      <c r="C2107" s="121">
        <v>26</v>
      </c>
      <c r="D2107" s="121">
        <v>7</v>
      </c>
      <c r="E2107" s="121">
        <v>68319</v>
      </c>
    </row>
    <row r="2108" spans="1:5" ht="15">
      <c r="A2108" s="120" t="s">
        <v>297</v>
      </c>
      <c r="B2108" s="121">
        <v>24</v>
      </c>
      <c r="C2108" s="121">
        <v>27</v>
      </c>
      <c r="D2108" s="121">
        <v>3</v>
      </c>
      <c r="E2108" s="121">
        <v>2362</v>
      </c>
    </row>
    <row r="2109" spans="1:5" ht="15">
      <c r="A2109" s="120" t="s">
        <v>297</v>
      </c>
      <c r="B2109" s="121">
        <v>24</v>
      </c>
      <c r="C2109" s="121">
        <v>27</v>
      </c>
      <c r="D2109" s="121">
        <v>4</v>
      </c>
      <c r="E2109" s="121">
        <v>1520</v>
      </c>
    </row>
    <row r="2110" spans="1:5" ht="15">
      <c r="A2110" s="120" t="s">
        <v>261</v>
      </c>
      <c r="B2110" s="121">
        <v>21</v>
      </c>
      <c r="C2110" s="121">
        <v>21</v>
      </c>
      <c r="D2110" s="121">
        <v>2</v>
      </c>
      <c r="E2110" s="121">
        <v>421540</v>
      </c>
    </row>
    <row r="2111" spans="1:5" ht="15">
      <c r="A2111" s="120" t="s">
        <v>261</v>
      </c>
      <c r="B2111" s="121">
        <v>21</v>
      </c>
      <c r="C2111" s="121">
        <v>21</v>
      </c>
      <c r="D2111" s="121">
        <v>3</v>
      </c>
      <c r="E2111" s="121">
        <v>264454</v>
      </c>
    </row>
    <row r="2112" spans="1:5" ht="15">
      <c r="A2112" s="120" t="s">
        <v>261</v>
      </c>
      <c r="B2112" s="121">
        <v>21</v>
      </c>
      <c r="C2112" s="121">
        <v>21</v>
      </c>
      <c r="D2112" s="121">
        <v>4</v>
      </c>
      <c r="E2112" s="121">
        <v>200790</v>
      </c>
    </row>
    <row r="2113" spans="1:5" ht="15">
      <c r="A2113" s="120" t="s">
        <v>261</v>
      </c>
      <c r="B2113" s="121">
        <v>21</v>
      </c>
      <c r="C2113" s="121">
        <v>21</v>
      </c>
      <c r="D2113" s="121">
        <v>5</v>
      </c>
      <c r="E2113" s="121">
        <v>1525</v>
      </c>
    </row>
    <row r="2114" spans="1:5" ht="15">
      <c r="A2114" s="120" t="s">
        <v>261</v>
      </c>
      <c r="B2114" s="121">
        <v>21</v>
      </c>
      <c r="C2114" s="121">
        <v>21</v>
      </c>
      <c r="D2114" s="121">
        <v>7</v>
      </c>
      <c r="E2114" s="121">
        <v>8800</v>
      </c>
    </row>
    <row r="2115" spans="1:5" ht="15">
      <c r="A2115" s="120" t="s">
        <v>261</v>
      </c>
      <c r="B2115" s="121">
        <v>21</v>
      </c>
      <c r="C2115" s="121">
        <v>21</v>
      </c>
      <c r="D2115" s="121">
        <v>8</v>
      </c>
      <c r="E2115" s="121">
        <v>36300</v>
      </c>
    </row>
    <row r="2116" spans="1:5" ht="15">
      <c r="A2116" s="120" t="s">
        <v>261</v>
      </c>
      <c r="B2116" s="121">
        <v>21</v>
      </c>
      <c r="C2116" s="121">
        <v>24</v>
      </c>
      <c r="D2116" s="121">
        <v>3</v>
      </c>
      <c r="E2116" s="121">
        <v>25349</v>
      </c>
    </row>
    <row r="2117" spans="1:5" ht="15">
      <c r="A2117" s="120" t="s">
        <v>261</v>
      </c>
      <c r="B2117" s="121">
        <v>21</v>
      </c>
      <c r="C2117" s="121">
        <v>24</v>
      </c>
      <c r="D2117" s="121">
        <v>4</v>
      </c>
      <c r="E2117" s="121">
        <v>11450</v>
      </c>
    </row>
    <row r="2118" spans="1:5" ht="15">
      <c r="A2118" s="120" t="s">
        <v>261</v>
      </c>
      <c r="B2118" s="121">
        <v>21</v>
      </c>
      <c r="C2118" s="121">
        <v>26</v>
      </c>
      <c r="D2118" s="121">
        <v>2</v>
      </c>
      <c r="E2118" s="121">
        <v>5530312</v>
      </c>
    </row>
    <row r="2119" spans="1:5" ht="15">
      <c r="A2119" s="120" t="s">
        <v>261</v>
      </c>
      <c r="B2119" s="121">
        <v>21</v>
      </c>
      <c r="C2119" s="121">
        <v>26</v>
      </c>
      <c r="D2119" s="121">
        <v>3</v>
      </c>
      <c r="E2119" s="121">
        <v>443161</v>
      </c>
    </row>
    <row r="2120" spans="1:5" ht="15">
      <c r="A2120" s="120" t="s">
        <v>261</v>
      </c>
      <c r="B2120" s="121">
        <v>21</v>
      </c>
      <c r="C2120" s="121">
        <v>26</v>
      </c>
      <c r="D2120" s="121">
        <v>4</v>
      </c>
      <c r="E2120" s="121">
        <v>1838575</v>
      </c>
    </row>
    <row r="2121" spans="1:5" ht="15">
      <c r="A2121" s="120" t="s">
        <v>261</v>
      </c>
      <c r="B2121" s="121">
        <v>21</v>
      </c>
      <c r="C2121" s="121">
        <v>26</v>
      </c>
      <c r="D2121" s="121">
        <v>5</v>
      </c>
      <c r="E2121" s="121">
        <v>9500</v>
      </c>
    </row>
    <row r="2122" spans="1:5" ht="15">
      <c r="A2122" s="120" t="s">
        <v>261</v>
      </c>
      <c r="B2122" s="121">
        <v>21</v>
      </c>
      <c r="C2122" s="121">
        <v>26</v>
      </c>
      <c r="D2122" s="121">
        <v>7</v>
      </c>
      <c r="E2122" s="121">
        <v>1774450</v>
      </c>
    </row>
    <row r="2123" spans="1:5" ht="15">
      <c r="A2123" s="120" t="s">
        <v>261</v>
      </c>
      <c r="B2123" s="121">
        <v>21</v>
      </c>
      <c r="C2123" s="121">
        <v>26</v>
      </c>
      <c r="D2123" s="121">
        <v>8</v>
      </c>
      <c r="E2123" s="121">
        <v>1700</v>
      </c>
    </row>
    <row r="2124" spans="1:5" ht="15">
      <c r="A2124" s="120" t="s">
        <v>261</v>
      </c>
      <c r="B2124" s="121">
        <v>21</v>
      </c>
      <c r="C2124" s="121">
        <v>27</v>
      </c>
      <c r="D2124" s="121">
        <v>2</v>
      </c>
      <c r="E2124" s="121">
        <v>9490873</v>
      </c>
    </row>
    <row r="2125" spans="1:5" ht="15">
      <c r="A2125" s="120" t="s">
        <v>261</v>
      </c>
      <c r="B2125" s="121">
        <v>21</v>
      </c>
      <c r="C2125" s="121">
        <v>27</v>
      </c>
      <c r="D2125" s="121">
        <v>3</v>
      </c>
      <c r="E2125" s="121">
        <v>5139128</v>
      </c>
    </row>
    <row r="2126" spans="1:5" ht="15">
      <c r="A2126" s="120" t="s">
        <v>261</v>
      </c>
      <c r="B2126" s="121">
        <v>21</v>
      </c>
      <c r="C2126" s="121">
        <v>27</v>
      </c>
      <c r="D2126" s="121">
        <v>4</v>
      </c>
      <c r="E2126" s="121">
        <v>5837940</v>
      </c>
    </row>
    <row r="2127" spans="1:5" ht="15">
      <c r="A2127" s="120" t="s">
        <v>261</v>
      </c>
      <c r="B2127" s="121">
        <v>21</v>
      </c>
      <c r="C2127" s="121">
        <v>27</v>
      </c>
      <c r="D2127" s="121">
        <v>5</v>
      </c>
      <c r="E2127" s="121">
        <v>54550</v>
      </c>
    </row>
    <row r="2128" spans="1:5" ht="15">
      <c r="A2128" s="120" t="s">
        <v>261</v>
      </c>
      <c r="B2128" s="121">
        <v>21</v>
      </c>
      <c r="C2128" s="121">
        <v>27</v>
      </c>
      <c r="D2128" s="121">
        <v>7</v>
      </c>
      <c r="E2128" s="121">
        <v>3512400</v>
      </c>
    </row>
    <row r="2129" spans="1:5" ht="15">
      <c r="A2129" s="120" t="s">
        <v>261</v>
      </c>
      <c r="B2129" s="121">
        <v>21</v>
      </c>
      <c r="C2129" s="121">
        <v>27</v>
      </c>
      <c r="D2129" s="121">
        <v>8</v>
      </c>
      <c r="E2129" s="121">
        <v>4650</v>
      </c>
    </row>
    <row r="2130" spans="1:5" ht="15">
      <c r="A2130" s="120" t="s">
        <v>261</v>
      </c>
      <c r="B2130" s="121">
        <v>21</v>
      </c>
      <c r="C2130" s="121">
        <v>27</v>
      </c>
      <c r="D2130" s="121">
        <v>9</v>
      </c>
      <c r="E2130" s="121">
        <v>6000</v>
      </c>
    </row>
    <row r="2131" spans="1:5" ht="15">
      <c r="A2131" s="120" t="s">
        <v>261</v>
      </c>
      <c r="B2131" s="121">
        <v>21</v>
      </c>
      <c r="C2131" s="121">
        <v>29</v>
      </c>
      <c r="D2131" s="121">
        <v>7</v>
      </c>
      <c r="E2131" s="121">
        <v>42300</v>
      </c>
    </row>
    <row r="2132" spans="1:5" ht="15">
      <c r="A2132" s="120" t="s">
        <v>261</v>
      </c>
      <c r="B2132" s="121">
        <v>21</v>
      </c>
      <c r="C2132" s="121">
        <v>31</v>
      </c>
      <c r="D2132" s="121">
        <v>2</v>
      </c>
      <c r="E2132" s="121">
        <v>138981</v>
      </c>
    </row>
    <row r="2133" spans="1:5" ht="15">
      <c r="A2133" s="120" t="s">
        <v>261</v>
      </c>
      <c r="B2133" s="121">
        <v>21</v>
      </c>
      <c r="C2133" s="121">
        <v>31</v>
      </c>
      <c r="D2133" s="121">
        <v>4</v>
      </c>
      <c r="E2133" s="121">
        <v>24012</v>
      </c>
    </row>
    <row r="2134" spans="1:5" ht="15">
      <c r="A2134" s="120" t="s">
        <v>261</v>
      </c>
      <c r="B2134" s="121">
        <v>21</v>
      </c>
      <c r="C2134" s="121">
        <v>31</v>
      </c>
      <c r="D2134" s="121">
        <v>7</v>
      </c>
      <c r="E2134" s="121">
        <v>24800</v>
      </c>
    </row>
    <row r="2135" spans="1:5" ht="15">
      <c r="A2135" s="120" t="s">
        <v>261</v>
      </c>
      <c r="B2135" s="121">
        <v>21</v>
      </c>
      <c r="C2135" s="121">
        <v>32</v>
      </c>
      <c r="D2135" s="121">
        <v>7</v>
      </c>
      <c r="E2135" s="121">
        <v>8200</v>
      </c>
    </row>
    <row r="2136" spans="1:5" ht="15">
      <c r="A2136" s="120" t="s">
        <v>261</v>
      </c>
      <c r="B2136" s="121">
        <v>21</v>
      </c>
      <c r="C2136" s="121">
        <v>32</v>
      </c>
      <c r="D2136" s="121">
        <v>9</v>
      </c>
      <c r="E2136" s="121">
        <v>8000</v>
      </c>
    </row>
    <row r="2137" spans="1:5" ht="15">
      <c r="A2137" s="120" t="s">
        <v>261</v>
      </c>
      <c r="B2137" s="121">
        <v>21</v>
      </c>
      <c r="C2137" s="121">
        <v>33</v>
      </c>
      <c r="D2137" s="121">
        <v>5</v>
      </c>
      <c r="E2137" s="121">
        <v>10000</v>
      </c>
    </row>
    <row r="2138" spans="1:5" ht="15">
      <c r="A2138" s="120" t="s">
        <v>261</v>
      </c>
      <c r="B2138" s="121">
        <v>21</v>
      </c>
      <c r="C2138" s="121">
        <v>33</v>
      </c>
      <c r="D2138" s="121">
        <v>7</v>
      </c>
      <c r="E2138" s="121">
        <v>27900</v>
      </c>
    </row>
    <row r="2139" spans="1:5" ht="15">
      <c r="A2139" s="120" t="s">
        <v>261</v>
      </c>
      <c r="B2139" s="121">
        <v>21</v>
      </c>
      <c r="C2139" s="121">
        <v>34</v>
      </c>
      <c r="D2139" s="121">
        <v>2</v>
      </c>
      <c r="E2139" s="121">
        <v>215871</v>
      </c>
    </row>
    <row r="2140" spans="1:5" ht="15">
      <c r="A2140" s="120" t="s">
        <v>261</v>
      </c>
      <c r="B2140" s="121">
        <v>21</v>
      </c>
      <c r="C2140" s="121">
        <v>34</v>
      </c>
      <c r="D2140" s="121">
        <v>4</v>
      </c>
      <c r="E2140" s="121">
        <v>37302</v>
      </c>
    </row>
    <row r="2141" spans="1:5" ht="15">
      <c r="A2141" s="120" t="s">
        <v>261</v>
      </c>
      <c r="B2141" s="121">
        <v>24</v>
      </c>
      <c r="C2141" s="121">
        <v>27</v>
      </c>
      <c r="D2141" s="121">
        <v>3</v>
      </c>
      <c r="E2141" s="121">
        <v>1171501</v>
      </c>
    </row>
    <row r="2142" spans="1:5" ht="15">
      <c r="A2142" s="120" t="s">
        <v>261</v>
      </c>
      <c r="B2142" s="121">
        <v>24</v>
      </c>
      <c r="C2142" s="121">
        <v>27</v>
      </c>
      <c r="D2142" s="121">
        <v>4</v>
      </c>
      <c r="E2142" s="121">
        <v>693183</v>
      </c>
    </row>
    <row r="2143" spans="1:5" ht="15">
      <c r="A2143" s="120" t="s">
        <v>261</v>
      </c>
      <c r="B2143" s="121">
        <v>24</v>
      </c>
      <c r="C2143" s="121">
        <v>27</v>
      </c>
      <c r="D2143" s="121">
        <v>5</v>
      </c>
      <c r="E2143" s="121">
        <v>30136</v>
      </c>
    </row>
    <row r="2144" spans="1:5" ht="15">
      <c r="A2144" s="120" t="s">
        <v>191</v>
      </c>
      <c r="B2144" s="121">
        <v>21</v>
      </c>
      <c r="C2144" s="121">
        <v>21</v>
      </c>
      <c r="D2144" s="121">
        <v>2</v>
      </c>
      <c r="E2144" s="121">
        <v>170194</v>
      </c>
    </row>
    <row r="2145" spans="1:5" ht="15">
      <c r="A2145" s="120" t="s">
        <v>191</v>
      </c>
      <c r="B2145" s="121">
        <v>21</v>
      </c>
      <c r="C2145" s="121">
        <v>21</v>
      </c>
      <c r="D2145" s="121">
        <v>3</v>
      </c>
      <c r="E2145" s="121">
        <v>97383</v>
      </c>
    </row>
    <row r="2146" spans="1:5" ht="15">
      <c r="A2146" s="120" t="s">
        <v>191</v>
      </c>
      <c r="B2146" s="121">
        <v>21</v>
      </c>
      <c r="C2146" s="121">
        <v>21</v>
      </c>
      <c r="D2146" s="121">
        <v>4</v>
      </c>
      <c r="E2146" s="121">
        <v>89001</v>
      </c>
    </row>
    <row r="2147" spans="1:5" ht="15">
      <c r="A2147" s="120" t="s">
        <v>191</v>
      </c>
      <c r="B2147" s="121">
        <v>21</v>
      </c>
      <c r="C2147" s="121">
        <v>21</v>
      </c>
      <c r="D2147" s="121">
        <v>5</v>
      </c>
      <c r="E2147" s="121">
        <v>103</v>
      </c>
    </row>
    <row r="2148" spans="1:5" ht="15">
      <c r="A2148" s="120" t="s">
        <v>191</v>
      </c>
      <c r="B2148" s="121">
        <v>21</v>
      </c>
      <c r="C2148" s="121">
        <v>21</v>
      </c>
      <c r="D2148" s="121">
        <v>7</v>
      </c>
      <c r="E2148" s="121">
        <v>2670</v>
      </c>
    </row>
    <row r="2149" spans="1:5" ht="15">
      <c r="A2149" s="120" t="s">
        <v>191</v>
      </c>
      <c r="B2149" s="121">
        <v>21</v>
      </c>
      <c r="C2149" s="121">
        <v>21</v>
      </c>
      <c r="D2149" s="121">
        <v>8</v>
      </c>
      <c r="E2149" s="121">
        <v>2000</v>
      </c>
    </row>
    <row r="2150" spans="1:5" ht="15">
      <c r="A2150" s="120" t="s">
        <v>191</v>
      </c>
      <c r="B2150" s="121">
        <v>21</v>
      </c>
      <c r="C2150" s="121">
        <v>26</v>
      </c>
      <c r="D2150" s="121">
        <v>2</v>
      </c>
      <c r="E2150" s="121">
        <v>322551</v>
      </c>
    </row>
    <row r="2151" spans="1:5" ht="15">
      <c r="A2151" s="120" t="s">
        <v>191</v>
      </c>
      <c r="B2151" s="121">
        <v>21</v>
      </c>
      <c r="C2151" s="121">
        <v>26</v>
      </c>
      <c r="D2151" s="121">
        <v>3</v>
      </c>
      <c r="E2151" s="121">
        <v>305502</v>
      </c>
    </row>
    <row r="2152" spans="1:5" ht="15">
      <c r="A2152" s="120" t="s">
        <v>191</v>
      </c>
      <c r="B2152" s="121">
        <v>21</v>
      </c>
      <c r="C2152" s="121">
        <v>26</v>
      </c>
      <c r="D2152" s="121">
        <v>4</v>
      </c>
      <c r="E2152" s="121">
        <v>278980</v>
      </c>
    </row>
    <row r="2153" spans="1:5" ht="15">
      <c r="A2153" s="120" t="s">
        <v>191</v>
      </c>
      <c r="B2153" s="121">
        <v>21</v>
      </c>
      <c r="C2153" s="121">
        <v>26</v>
      </c>
      <c r="D2153" s="121">
        <v>5</v>
      </c>
      <c r="E2153" s="121">
        <v>59418</v>
      </c>
    </row>
    <row r="2154" spans="1:5" ht="15">
      <c r="A2154" s="120" t="s">
        <v>191</v>
      </c>
      <c r="B2154" s="121">
        <v>21</v>
      </c>
      <c r="C2154" s="121">
        <v>26</v>
      </c>
      <c r="D2154" s="121">
        <v>7</v>
      </c>
      <c r="E2154" s="121">
        <v>1227772</v>
      </c>
    </row>
    <row r="2155" spans="1:5" ht="15">
      <c r="A2155" s="120" t="s">
        <v>191</v>
      </c>
      <c r="B2155" s="121">
        <v>21</v>
      </c>
      <c r="C2155" s="121">
        <v>26</v>
      </c>
      <c r="D2155" s="121">
        <v>8</v>
      </c>
      <c r="E2155" s="121">
        <v>1000</v>
      </c>
    </row>
    <row r="2156" spans="1:5" ht="15">
      <c r="A2156" s="120" t="s">
        <v>191</v>
      </c>
      <c r="B2156" s="121">
        <v>21</v>
      </c>
      <c r="C2156" s="121">
        <v>27</v>
      </c>
      <c r="D2156" s="121">
        <v>0</v>
      </c>
      <c r="E2156" s="121">
        <v>1500</v>
      </c>
    </row>
    <row r="2157" spans="1:5" ht="15">
      <c r="A2157" s="120" t="s">
        <v>191</v>
      </c>
      <c r="B2157" s="121">
        <v>21</v>
      </c>
      <c r="C2157" s="121">
        <v>27</v>
      </c>
      <c r="D2157" s="121">
        <v>2</v>
      </c>
      <c r="E2157" s="121">
        <v>1874952</v>
      </c>
    </row>
    <row r="2158" spans="1:5" ht="15">
      <c r="A2158" s="120" t="s">
        <v>191</v>
      </c>
      <c r="B2158" s="121">
        <v>21</v>
      </c>
      <c r="C2158" s="121">
        <v>27</v>
      </c>
      <c r="D2158" s="121">
        <v>3</v>
      </c>
      <c r="E2158" s="121">
        <v>1133024</v>
      </c>
    </row>
    <row r="2159" spans="1:5" ht="15">
      <c r="A2159" s="120" t="s">
        <v>191</v>
      </c>
      <c r="B2159" s="121">
        <v>21</v>
      </c>
      <c r="C2159" s="121">
        <v>27</v>
      </c>
      <c r="D2159" s="121">
        <v>4</v>
      </c>
      <c r="E2159" s="121">
        <v>1385072</v>
      </c>
    </row>
    <row r="2160" spans="1:5" ht="15">
      <c r="A2160" s="120" t="s">
        <v>191</v>
      </c>
      <c r="B2160" s="121">
        <v>21</v>
      </c>
      <c r="C2160" s="121">
        <v>27</v>
      </c>
      <c r="D2160" s="121">
        <v>5</v>
      </c>
      <c r="E2160" s="121">
        <v>87160</v>
      </c>
    </row>
    <row r="2161" spans="1:5" ht="15">
      <c r="A2161" s="120" t="s">
        <v>191</v>
      </c>
      <c r="B2161" s="121">
        <v>21</v>
      </c>
      <c r="C2161" s="121">
        <v>27</v>
      </c>
      <c r="D2161" s="121">
        <v>7</v>
      </c>
      <c r="E2161" s="121">
        <v>534873</v>
      </c>
    </row>
    <row r="2162" spans="1:5" ht="15">
      <c r="A2162" s="120" t="s">
        <v>191</v>
      </c>
      <c r="B2162" s="121">
        <v>21</v>
      </c>
      <c r="C2162" s="121">
        <v>31</v>
      </c>
      <c r="D2162" s="121">
        <v>2</v>
      </c>
      <c r="E2162" s="121">
        <v>48407</v>
      </c>
    </row>
    <row r="2163" spans="1:5" ht="15">
      <c r="A2163" s="120" t="s">
        <v>191</v>
      </c>
      <c r="B2163" s="121">
        <v>21</v>
      </c>
      <c r="C2163" s="121">
        <v>31</v>
      </c>
      <c r="D2163" s="121">
        <v>3</v>
      </c>
      <c r="E2163" s="121">
        <v>5000</v>
      </c>
    </row>
    <row r="2164" spans="1:5" ht="15">
      <c r="A2164" s="120" t="s">
        <v>191</v>
      </c>
      <c r="B2164" s="121">
        <v>21</v>
      </c>
      <c r="C2164" s="121">
        <v>31</v>
      </c>
      <c r="D2164" s="121">
        <v>4</v>
      </c>
      <c r="E2164" s="121">
        <v>8263</v>
      </c>
    </row>
    <row r="2165" spans="1:5" ht="15">
      <c r="A2165" s="120" t="s">
        <v>191</v>
      </c>
      <c r="B2165" s="121">
        <v>21</v>
      </c>
      <c r="C2165" s="121">
        <v>31</v>
      </c>
      <c r="D2165" s="121">
        <v>7</v>
      </c>
      <c r="E2165" s="121">
        <v>200</v>
      </c>
    </row>
    <row r="2166" spans="1:5" ht="15">
      <c r="A2166" s="120" t="s">
        <v>191</v>
      </c>
      <c r="B2166" s="121">
        <v>21</v>
      </c>
      <c r="C2166" s="121">
        <v>32</v>
      </c>
      <c r="D2166" s="121">
        <v>7</v>
      </c>
      <c r="E2166" s="121">
        <v>2000</v>
      </c>
    </row>
    <row r="2167" spans="1:5" ht="15">
      <c r="A2167" s="120" t="s">
        <v>191</v>
      </c>
      <c r="B2167" s="121">
        <v>21</v>
      </c>
      <c r="C2167" s="121">
        <v>34</v>
      </c>
      <c r="D2167" s="121">
        <v>2</v>
      </c>
      <c r="E2167" s="121">
        <v>55612</v>
      </c>
    </row>
    <row r="2168" spans="1:5" ht="15">
      <c r="A2168" s="120" t="s">
        <v>191</v>
      </c>
      <c r="B2168" s="121">
        <v>21</v>
      </c>
      <c r="C2168" s="121">
        <v>34</v>
      </c>
      <c r="D2168" s="121">
        <v>4</v>
      </c>
      <c r="E2168" s="121">
        <v>9042</v>
      </c>
    </row>
    <row r="2169" spans="1:5" ht="15">
      <c r="A2169" s="120" t="s">
        <v>191</v>
      </c>
      <c r="B2169" s="121">
        <v>24</v>
      </c>
      <c r="C2169" s="121">
        <v>27</v>
      </c>
      <c r="D2169" s="121">
        <v>3</v>
      </c>
      <c r="E2169" s="121">
        <v>465104</v>
      </c>
    </row>
    <row r="2170" spans="1:5" ht="15">
      <c r="A2170" s="120" t="s">
        <v>191</v>
      </c>
      <c r="B2170" s="121">
        <v>24</v>
      </c>
      <c r="C2170" s="121">
        <v>27</v>
      </c>
      <c r="D2170" s="121">
        <v>4</v>
      </c>
      <c r="E2170" s="121">
        <v>302888</v>
      </c>
    </row>
    <row r="2171" spans="1:5" ht="15">
      <c r="A2171" s="120" t="s">
        <v>191</v>
      </c>
      <c r="B2171" s="121">
        <v>24</v>
      </c>
      <c r="C2171" s="121">
        <v>27</v>
      </c>
      <c r="D2171" s="121">
        <v>5</v>
      </c>
      <c r="E2171" s="121">
        <v>3672</v>
      </c>
    </row>
    <row r="2172" spans="1:5" ht="15">
      <c r="A2172" s="120" t="s">
        <v>191</v>
      </c>
      <c r="B2172" s="121">
        <v>24</v>
      </c>
      <c r="C2172" s="121">
        <v>31</v>
      </c>
      <c r="D2172" s="121">
        <v>7</v>
      </c>
      <c r="E2172" s="121">
        <v>3745</v>
      </c>
    </row>
    <row r="2173" spans="1:5" ht="15">
      <c r="A2173" s="120" t="s">
        <v>167</v>
      </c>
      <c r="B2173" s="121">
        <v>21</v>
      </c>
      <c r="C2173" s="121">
        <v>21</v>
      </c>
      <c r="D2173" s="121">
        <v>2</v>
      </c>
      <c r="E2173" s="121">
        <v>1202621</v>
      </c>
    </row>
    <row r="2174" spans="1:5" ht="15">
      <c r="A2174" s="120" t="s">
        <v>167</v>
      </c>
      <c r="B2174" s="121">
        <v>21</v>
      </c>
      <c r="C2174" s="121">
        <v>21</v>
      </c>
      <c r="D2174" s="121">
        <v>3</v>
      </c>
      <c r="E2174" s="121">
        <v>273750</v>
      </c>
    </row>
    <row r="2175" spans="1:5" ht="15">
      <c r="A2175" s="120" t="s">
        <v>167</v>
      </c>
      <c r="B2175" s="121">
        <v>21</v>
      </c>
      <c r="C2175" s="121">
        <v>21</v>
      </c>
      <c r="D2175" s="121">
        <v>4</v>
      </c>
      <c r="E2175" s="121">
        <v>409537</v>
      </c>
    </row>
    <row r="2176" spans="1:5" ht="15">
      <c r="A2176" s="120" t="s">
        <v>167</v>
      </c>
      <c r="B2176" s="121">
        <v>21</v>
      </c>
      <c r="C2176" s="121">
        <v>21</v>
      </c>
      <c r="D2176" s="121">
        <v>5</v>
      </c>
      <c r="E2176" s="121">
        <v>5200</v>
      </c>
    </row>
    <row r="2177" spans="1:5" ht="15">
      <c r="A2177" s="120" t="s">
        <v>167</v>
      </c>
      <c r="B2177" s="121">
        <v>21</v>
      </c>
      <c r="C2177" s="121">
        <v>21</v>
      </c>
      <c r="D2177" s="121">
        <v>7</v>
      </c>
      <c r="E2177" s="121">
        <v>50000</v>
      </c>
    </row>
    <row r="2178" spans="1:5" ht="15">
      <c r="A2178" s="120" t="s">
        <v>167</v>
      </c>
      <c r="B2178" s="121">
        <v>21</v>
      </c>
      <c r="C2178" s="121">
        <v>21</v>
      </c>
      <c r="D2178" s="121">
        <v>8</v>
      </c>
      <c r="E2178" s="121">
        <v>5000</v>
      </c>
    </row>
    <row r="2179" spans="1:5" ht="15">
      <c r="A2179" s="120" t="s">
        <v>167</v>
      </c>
      <c r="B2179" s="121">
        <v>21</v>
      </c>
      <c r="C2179" s="121">
        <v>23</v>
      </c>
      <c r="D2179" s="121">
        <v>3</v>
      </c>
      <c r="E2179" s="121">
        <v>436985</v>
      </c>
    </row>
    <row r="2180" spans="1:5" ht="15">
      <c r="A2180" s="120" t="s">
        <v>167</v>
      </c>
      <c r="B2180" s="121">
        <v>21</v>
      </c>
      <c r="C2180" s="121">
        <v>23</v>
      </c>
      <c r="D2180" s="121">
        <v>4</v>
      </c>
      <c r="E2180" s="121">
        <v>242067</v>
      </c>
    </row>
    <row r="2181" spans="1:5" ht="15">
      <c r="A2181" s="120" t="s">
        <v>167</v>
      </c>
      <c r="B2181" s="121">
        <v>21</v>
      </c>
      <c r="C2181" s="121">
        <v>23</v>
      </c>
      <c r="D2181" s="121">
        <v>8</v>
      </c>
      <c r="E2181" s="121">
        <v>1000</v>
      </c>
    </row>
    <row r="2182" spans="1:5" ht="15">
      <c r="A2182" s="120" t="s">
        <v>167</v>
      </c>
      <c r="B2182" s="121">
        <v>21</v>
      </c>
      <c r="C2182" s="121">
        <v>25</v>
      </c>
      <c r="D2182" s="121">
        <v>3</v>
      </c>
      <c r="E2182" s="121">
        <v>101354</v>
      </c>
    </row>
    <row r="2183" spans="1:5" ht="15">
      <c r="A2183" s="120" t="s">
        <v>167</v>
      </c>
      <c r="B2183" s="121">
        <v>21</v>
      </c>
      <c r="C2183" s="121">
        <v>25</v>
      </c>
      <c r="D2183" s="121">
        <v>4</v>
      </c>
      <c r="E2183" s="121">
        <v>69359</v>
      </c>
    </row>
    <row r="2184" spans="1:5" ht="15">
      <c r="A2184" s="120" t="s">
        <v>167</v>
      </c>
      <c r="B2184" s="121">
        <v>21</v>
      </c>
      <c r="C2184" s="121">
        <v>26</v>
      </c>
      <c r="D2184" s="121">
        <v>2</v>
      </c>
      <c r="E2184" s="121">
        <v>10876116</v>
      </c>
    </row>
    <row r="2185" spans="1:5" ht="15">
      <c r="A2185" s="120" t="s">
        <v>167</v>
      </c>
      <c r="B2185" s="121">
        <v>21</v>
      </c>
      <c r="C2185" s="121">
        <v>26</v>
      </c>
      <c r="D2185" s="121">
        <v>3</v>
      </c>
      <c r="E2185" s="121">
        <v>393369</v>
      </c>
    </row>
    <row r="2186" spans="1:5" ht="15">
      <c r="A2186" s="120" t="s">
        <v>167</v>
      </c>
      <c r="B2186" s="121">
        <v>21</v>
      </c>
      <c r="C2186" s="121">
        <v>26</v>
      </c>
      <c r="D2186" s="121">
        <v>4</v>
      </c>
      <c r="E2186" s="121">
        <v>3493227</v>
      </c>
    </row>
    <row r="2187" spans="1:5" ht="15">
      <c r="A2187" s="120" t="s">
        <v>167</v>
      </c>
      <c r="B2187" s="121">
        <v>21</v>
      </c>
      <c r="C2187" s="121">
        <v>26</v>
      </c>
      <c r="D2187" s="121">
        <v>5</v>
      </c>
      <c r="E2187" s="121">
        <v>83500</v>
      </c>
    </row>
    <row r="2188" spans="1:5" ht="15">
      <c r="A2188" s="120" t="s">
        <v>167</v>
      </c>
      <c r="B2188" s="121">
        <v>21</v>
      </c>
      <c r="C2188" s="121">
        <v>26</v>
      </c>
      <c r="D2188" s="121">
        <v>7</v>
      </c>
      <c r="E2188" s="121">
        <v>250000</v>
      </c>
    </row>
    <row r="2189" spans="1:5" ht="15">
      <c r="A2189" s="120" t="s">
        <v>167</v>
      </c>
      <c r="B2189" s="121">
        <v>21</v>
      </c>
      <c r="C2189" s="121">
        <v>26</v>
      </c>
      <c r="D2189" s="121">
        <v>8</v>
      </c>
      <c r="E2189" s="121">
        <v>5000</v>
      </c>
    </row>
    <row r="2190" spans="1:5" ht="15">
      <c r="A2190" s="120" t="s">
        <v>167</v>
      </c>
      <c r="B2190" s="121">
        <v>21</v>
      </c>
      <c r="C2190" s="121">
        <v>27</v>
      </c>
      <c r="D2190" s="121">
        <v>2</v>
      </c>
      <c r="E2190" s="121">
        <v>22882964</v>
      </c>
    </row>
    <row r="2191" spans="1:5" ht="15">
      <c r="A2191" s="120" t="s">
        <v>167</v>
      </c>
      <c r="B2191" s="121">
        <v>21</v>
      </c>
      <c r="C2191" s="121">
        <v>27</v>
      </c>
      <c r="D2191" s="121">
        <v>3</v>
      </c>
      <c r="E2191" s="121">
        <v>14518352</v>
      </c>
    </row>
    <row r="2192" spans="1:5" ht="15">
      <c r="A2192" s="120" t="s">
        <v>167</v>
      </c>
      <c r="B2192" s="121">
        <v>21</v>
      </c>
      <c r="C2192" s="121">
        <v>27</v>
      </c>
      <c r="D2192" s="121">
        <v>4</v>
      </c>
      <c r="E2192" s="121">
        <v>16591446</v>
      </c>
    </row>
    <row r="2193" spans="1:5" ht="15">
      <c r="A2193" s="120" t="s">
        <v>167</v>
      </c>
      <c r="B2193" s="121">
        <v>21</v>
      </c>
      <c r="C2193" s="121">
        <v>27</v>
      </c>
      <c r="D2193" s="121">
        <v>5</v>
      </c>
      <c r="E2193" s="121">
        <v>33149</v>
      </c>
    </row>
    <row r="2194" spans="1:5" ht="15">
      <c r="A2194" s="120" t="s">
        <v>167</v>
      </c>
      <c r="B2194" s="121">
        <v>21</v>
      </c>
      <c r="C2194" s="121">
        <v>27</v>
      </c>
      <c r="D2194" s="121">
        <v>7</v>
      </c>
      <c r="E2194" s="121">
        <v>1229830</v>
      </c>
    </row>
    <row r="2195" spans="1:5" ht="15">
      <c r="A2195" s="120" t="s">
        <v>167</v>
      </c>
      <c r="B2195" s="121">
        <v>21</v>
      </c>
      <c r="C2195" s="121">
        <v>27</v>
      </c>
      <c r="D2195" s="121">
        <v>8</v>
      </c>
      <c r="E2195" s="121">
        <v>5750</v>
      </c>
    </row>
    <row r="2196" spans="1:5" ht="15">
      <c r="A2196" s="120" t="s">
        <v>167</v>
      </c>
      <c r="B2196" s="121">
        <v>21</v>
      </c>
      <c r="C2196" s="121">
        <v>31</v>
      </c>
      <c r="D2196" s="121">
        <v>2</v>
      </c>
      <c r="E2196" s="121">
        <v>820834</v>
      </c>
    </row>
    <row r="2197" spans="1:5" ht="15">
      <c r="A2197" s="120" t="s">
        <v>167</v>
      </c>
      <c r="B2197" s="121">
        <v>21</v>
      </c>
      <c r="C2197" s="121">
        <v>31</v>
      </c>
      <c r="D2197" s="121">
        <v>4</v>
      </c>
      <c r="E2197" s="121">
        <v>182125</v>
      </c>
    </row>
    <row r="2198" spans="1:5" ht="15">
      <c r="A2198" s="120" t="s">
        <v>167</v>
      </c>
      <c r="B2198" s="121">
        <v>21</v>
      </c>
      <c r="C2198" s="121">
        <v>31</v>
      </c>
      <c r="D2198" s="121">
        <v>5</v>
      </c>
      <c r="E2198" s="121">
        <v>1500</v>
      </c>
    </row>
    <row r="2199" spans="1:5" ht="15">
      <c r="A2199" s="120" t="s">
        <v>167</v>
      </c>
      <c r="B2199" s="121">
        <v>21</v>
      </c>
      <c r="C2199" s="121">
        <v>31</v>
      </c>
      <c r="D2199" s="121">
        <v>8</v>
      </c>
      <c r="E2199" s="121">
        <v>1200</v>
      </c>
    </row>
    <row r="2200" spans="1:5" ht="15">
      <c r="A2200" s="120" t="s">
        <v>167</v>
      </c>
      <c r="B2200" s="121">
        <v>21</v>
      </c>
      <c r="C2200" s="121">
        <v>32</v>
      </c>
      <c r="D2200" s="121">
        <v>5</v>
      </c>
      <c r="E2200" s="121">
        <v>300000</v>
      </c>
    </row>
    <row r="2201" spans="1:5" ht="15">
      <c r="A2201" s="120" t="s">
        <v>167</v>
      </c>
      <c r="B2201" s="121">
        <v>21</v>
      </c>
      <c r="C2201" s="121">
        <v>34</v>
      </c>
      <c r="D2201" s="121">
        <v>2</v>
      </c>
      <c r="E2201" s="121">
        <v>570629</v>
      </c>
    </row>
    <row r="2202" spans="1:5" ht="15">
      <c r="A2202" s="120" t="s">
        <v>167</v>
      </c>
      <c r="B2202" s="121">
        <v>21</v>
      </c>
      <c r="C2202" s="121">
        <v>34</v>
      </c>
      <c r="D2202" s="121">
        <v>4</v>
      </c>
      <c r="E2202" s="121">
        <v>105286</v>
      </c>
    </row>
    <row r="2203" spans="1:5" ht="15">
      <c r="A2203" s="120" t="s">
        <v>167</v>
      </c>
      <c r="B2203" s="121">
        <v>24</v>
      </c>
      <c r="C2203" s="121">
        <v>27</v>
      </c>
      <c r="D2203" s="121">
        <v>3</v>
      </c>
      <c r="E2203" s="121">
        <v>3169970</v>
      </c>
    </row>
    <row r="2204" spans="1:5" ht="15">
      <c r="A2204" s="120" t="s">
        <v>167</v>
      </c>
      <c r="B2204" s="121">
        <v>24</v>
      </c>
      <c r="C2204" s="121">
        <v>27</v>
      </c>
      <c r="D2204" s="121">
        <v>4</v>
      </c>
      <c r="E2204" s="121">
        <v>2191631</v>
      </c>
    </row>
    <row r="2205" spans="1:5" ht="15">
      <c r="A2205" s="120" t="s">
        <v>215</v>
      </c>
      <c r="B2205" s="121">
        <v>21</v>
      </c>
      <c r="C2205" s="121">
        <v>21</v>
      </c>
      <c r="D2205" s="121">
        <v>2</v>
      </c>
      <c r="E2205" s="121">
        <v>85799</v>
      </c>
    </row>
    <row r="2206" spans="1:5" ht="15">
      <c r="A2206" s="120" t="s">
        <v>215</v>
      </c>
      <c r="B2206" s="121">
        <v>21</v>
      </c>
      <c r="C2206" s="121">
        <v>21</v>
      </c>
      <c r="D2206" s="121">
        <v>3</v>
      </c>
      <c r="E2206" s="121">
        <v>60923</v>
      </c>
    </row>
    <row r="2207" spans="1:5" ht="15">
      <c r="A2207" s="120" t="s">
        <v>215</v>
      </c>
      <c r="B2207" s="121">
        <v>21</v>
      </c>
      <c r="C2207" s="121">
        <v>21</v>
      </c>
      <c r="D2207" s="121">
        <v>4</v>
      </c>
      <c r="E2207" s="121">
        <v>45927</v>
      </c>
    </row>
    <row r="2208" spans="1:5" ht="15">
      <c r="A2208" s="120" t="s">
        <v>215</v>
      </c>
      <c r="B2208" s="121">
        <v>21</v>
      </c>
      <c r="C2208" s="121">
        <v>21</v>
      </c>
      <c r="D2208" s="121">
        <v>5</v>
      </c>
      <c r="E2208" s="121">
        <v>4500</v>
      </c>
    </row>
    <row r="2209" spans="1:5" ht="15">
      <c r="A2209" s="120" t="s">
        <v>215</v>
      </c>
      <c r="B2209" s="121">
        <v>21</v>
      </c>
      <c r="C2209" s="121">
        <v>21</v>
      </c>
      <c r="D2209" s="121">
        <v>7</v>
      </c>
      <c r="E2209" s="121">
        <v>9550</v>
      </c>
    </row>
    <row r="2210" spans="1:5" ht="15">
      <c r="A2210" s="120" t="s">
        <v>215</v>
      </c>
      <c r="B2210" s="121">
        <v>21</v>
      </c>
      <c r="C2210" s="121">
        <v>21</v>
      </c>
      <c r="D2210" s="121">
        <v>8</v>
      </c>
      <c r="E2210" s="121">
        <v>250</v>
      </c>
    </row>
    <row r="2211" spans="1:5" ht="15">
      <c r="A2211" s="120" t="s">
        <v>215</v>
      </c>
      <c r="B2211" s="121">
        <v>21</v>
      </c>
      <c r="C2211" s="121">
        <v>26</v>
      </c>
      <c r="D2211" s="121">
        <v>2</v>
      </c>
      <c r="E2211" s="121">
        <v>506555</v>
      </c>
    </row>
    <row r="2212" spans="1:5" ht="15">
      <c r="A2212" s="120" t="s">
        <v>215</v>
      </c>
      <c r="B2212" s="121">
        <v>21</v>
      </c>
      <c r="C2212" s="121">
        <v>26</v>
      </c>
      <c r="D2212" s="121">
        <v>3</v>
      </c>
      <c r="E2212" s="121">
        <v>33389</v>
      </c>
    </row>
    <row r="2213" spans="1:5" ht="15">
      <c r="A2213" s="120" t="s">
        <v>215</v>
      </c>
      <c r="B2213" s="121">
        <v>21</v>
      </c>
      <c r="C2213" s="121">
        <v>26</v>
      </c>
      <c r="D2213" s="121">
        <v>4</v>
      </c>
      <c r="E2213" s="121">
        <v>145065</v>
      </c>
    </row>
    <row r="2214" spans="1:5" ht="15">
      <c r="A2214" s="120" t="s">
        <v>215</v>
      </c>
      <c r="B2214" s="121">
        <v>21</v>
      </c>
      <c r="C2214" s="121">
        <v>26</v>
      </c>
      <c r="D2214" s="121">
        <v>5</v>
      </c>
      <c r="E2214" s="121">
        <v>12000</v>
      </c>
    </row>
    <row r="2215" spans="1:5" ht="15">
      <c r="A2215" s="120" t="s">
        <v>215</v>
      </c>
      <c r="B2215" s="121">
        <v>21</v>
      </c>
      <c r="C2215" s="121">
        <v>26</v>
      </c>
      <c r="D2215" s="121">
        <v>7</v>
      </c>
      <c r="E2215" s="121">
        <v>525000</v>
      </c>
    </row>
    <row r="2216" spans="1:5" ht="15">
      <c r="A2216" s="120" t="s">
        <v>215</v>
      </c>
      <c r="B2216" s="121">
        <v>21</v>
      </c>
      <c r="C2216" s="121">
        <v>27</v>
      </c>
      <c r="D2216" s="121">
        <v>2</v>
      </c>
      <c r="E2216" s="121">
        <v>1129690</v>
      </c>
    </row>
    <row r="2217" spans="1:5" ht="15">
      <c r="A2217" s="120" t="s">
        <v>215</v>
      </c>
      <c r="B2217" s="121">
        <v>21</v>
      </c>
      <c r="C2217" s="121">
        <v>27</v>
      </c>
      <c r="D2217" s="121">
        <v>3</v>
      </c>
      <c r="E2217" s="121">
        <v>902582</v>
      </c>
    </row>
    <row r="2218" spans="1:5" ht="15">
      <c r="A2218" s="120" t="s">
        <v>215</v>
      </c>
      <c r="B2218" s="121">
        <v>21</v>
      </c>
      <c r="C2218" s="121">
        <v>27</v>
      </c>
      <c r="D2218" s="121">
        <v>4</v>
      </c>
      <c r="E2218" s="121">
        <v>947180</v>
      </c>
    </row>
    <row r="2219" spans="1:5" ht="15">
      <c r="A2219" s="120" t="s">
        <v>215</v>
      </c>
      <c r="B2219" s="121">
        <v>21</v>
      </c>
      <c r="C2219" s="121">
        <v>27</v>
      </c>
      <c r="D2219" s="121">
        <v>5</v>
      </c>
      <c r="E2219" s="121">
        <v>16000</v>
      </c>
    </row>
    <row r="2220" spans="1:5" ht="15">
      <c r="A2220" s="120" t="s">
        <v>215</v>
      </c>
      <c r="B2220" s="121">
        <v>21</v>
      </c>
      <c r="C2220" s="121">
        <v>31</v>
      </c>
      <c r="D2220" s="121">
        <v>2</v>
      </c>
      <c r="E2220" s="121">
        <v>8426</v>
      </c>
    </row>
    <row r="2221" spans="1:5" ht="15">
      <c r="A2221" s="120" t="s">
        <v>215</v>
      </c>
      <c r="B2221" s="121">
        <v>21</v>
      </c>
      <c r="C2221" s="121">
        <v>31</v>
      </c>
      <c r="D2221" s="121">
        <v>4</v>
      </c>
      <c r="E2221" s="121">
        <v>2584</v>
      </c>
    </row>
    <row r="2222" spans="1:5" ht="15">
      <c r="A2222" s="120" t="s">
        <v>215</v>
      </c>
      <c r="B2222" s="121">
        <v>21</v>
      </c>
      <c r="C2222" s="121">
        <v>31</v>
      </c>
      <c r="D2222" s="121">
        <v>7</v>
      </c>
      <c r="E2222" s="121">
        <v>10000</v>
      </c>
    </row>
    <row r="2223" spans="1:5" ht="15">
      <c r="A2223" s="120" t="s">
        <v>215</v>
      </c>
      <c r="B2223" s="121">
        <v>21</v>
      </c>
      <c r="C2223" s="121">
        <v>32</v>
      </c>
      <c r="D2223" s="121">
        <v>5</v>
      </c>
      <c r="E2223" s="121">
        <v>4000</v>
      </c>
    </row>
    <row r="2224" spans="1:5" ht="15">
      <c r="A2224" s="120" t="s">
        <v>215</v>
      </c>
      <c r="B2224" s="121">
        <v>21</v>
      </c>
      <c r="C2224" s="121">
        <v>33</v>
      </c>
      <c r="D2224" s="121">
        <v>5</v>
      </c>
      <c r="E2224" s="121">
        <v>2000</v>
      </c>
    </row>
    <row r="2225" spans="1:5" ht="15">
      <c r="A2225" s="120" t="s">
        <v>215</v>
      </c>
      <c r="B2225" s="121">
        <v>21</v>
      </c>
      <c r="C2225" s="121">
        <v>33</v>
      </c>
      <c r="D2225" s="121">
        <v>7</v>
      </c>
      <c r="E2225" s="121">
        <v>2000</v>
      </c>
    </row>
    <row r="2226" spans="1:5" ht="15">
      <c r="A2226" s="120" t="s">
        <v>215</v>
      </c>
      <c r="B2226" s="121">
        <v>21</v>
      </c>
      <c r="C2226" s="121">
        <v>34</v>
      </c>
      <c r="D2226" s="121">
        <v>2</v>
      </c>
      <c r="E2226" s="121">
        <v>19926</v>
      </c>
    </row>
    <row r="2227" spans="1:5" ht="15">
      <c r="A2227" s="120" t="s">
        <v>215</v>
      </c>
      <c r="B2227" s="121">
        <v>21</v>
      </c>
      <c r="C2227" s="121">
        <v>34</v>
      </c>
      <c r="D2227" s="121">
        <v>4</v>
      </c>
      <c r="E2227" s="121">
        <v>6265</v>
      </c>
    </row>
    <row r="2228" spans="1:5" ht="15">
      <c r="A2228" s="120" t="s">
        <v>215</v>
      </c>
      <c r="B2228" s="121">
        <v>24</v>
      </c>
      <c r="C2228" s="121">
        <v>27</v>
      </c>
      <c r="D2228" s="121">
        <v>2</v>
      </c>
      <c r="E2228" s="121">
        <v>330151</v>
      </c>
    </row>
    <row r="2229" spans="1:5" ht="15">
      <c r="A2229" s="120" t="s">
        <v>215</v>
      </c>
      <c r="B2229" s="121">
        <v>24</v>
      </c>
      <c r="C2229" s="121">
        <v>27</v>
      </c>
      <c r="D2229" s="121">
        <v>3</v>
      </c>
      <c r="E2229" s="121">
        <v>13024</v>
      </c>
    </row>
    <row r="2230" spans="1:5" ht="15">
      <c r="A2230" s="120" t="s">
        <v>215</v>
      </c>
      <c r="B2230" s="121">
        <v>24</v>
      </c>
      <c r="C2230" s="121">
        <v>27</v>
      </c>
      <c r="D2230" s="121">
        <v>4</v>
      </c>
      <c r="E2230" s="121">
        <v>107091</v>
      </c>
    </row>
    <row r="2231" spans="1:5" ht="15">
      <c r="A2231" s="120" t="s">
        <v>231</v>
      </c>
      <c r="B2231" s="121">
        <v>21</v>
      </c>
      <c r="C2231" s="121">
        <v>27</v>
      </c>
      <c r="D2231" s="121">
        <v>3</v>
      </c>
      <c r="E2231" s="121">
        <v>27811</v>
      </c>
    </row>
    <row r="2232" spans="1:5" ht="15">
      <c r="A2232" s="120" t="s">
        <v>231</v>
      </c>
      <c r="B2232" s="121">
        <v>21</v>
      </c>
      <c r="C2232" s="121">
        <v>27</v>
      </c>
      <c r="D2232" s="121">
        <v>5</v>
      </c>
      <c r="E2232" s="121">
        <v>333</v>
      </c>
    </row>
    <row r="2233" spans="1:5" ht="15">
      <c r="A2233" s="120" t="s">
        <v>231</v>
      </c>
      <c r="B2233" s="121">
        <v>21</v>
      </c>
      <c r="C2233" s="121">
        <v>27</v>
      </c>
      <c r="D2233" s="121">
        <v>7</v>
      </c>
      <c r="E2233" s="121">
        <v>277</v>
      </c>
    </row>
    <row r="2234" spans="1:5" ht="15">
      <c r="A2234" s="120" t="s">
        <v>231</v>
      </c>
      <c r="B2234" s="121">
        <v>21</v>
      </c>
      <c r="C2234" s="121">
        <v>27</v>
      </c>
      <c r="D2234" s="121">
        <v>8</v>
      </c>
      <c r="E2234" s="121">
        <v>555</v>
      </c>
    </row>
    <row r="2235" spans="1:5" ht="15">
      <c r="A2235" s="120" t="s">
        <v>231</v>
      </c>
      <c r="B2235" s="121">
        <v>21</v>
      </c>
      <c r="C2235" s="121">
        <v>29</v>
      </c>
      <c r="D2235" s="121">
        <v>7</v>
      </c>
      <c r="E2235" s="121">
        <v>108722</v>
      </c>
    </row>
    <row r="2236" spans="1:5" ht="15">
      <c r="A2236" s="120" t="s">
        <v>285</v>
      </c>
      <c r="B2236" s="121">
        <v>21</v>
      </c>
      <c r="C2236" s="121">
        <v>29</v>
      </c>
      <c r="D2236" s="121">
        <v>7</v>
      </c>
      <c r="E2236" s="121">
        <v>1023595</v>
      </c>
    </row>
    <row r="2237" spans="1:5" ht="15">
      <c r="A2237" s="120" t="s">
        <v>263</v>
      </c>
      <c r="B2237" s="121">
        <v>21</v>
      </c>
      <c r="C2237" s="121">
        <v>21</v>
      </c>
      <c r="D2237" s="121">
        <v>2</v>
      </c>
      <c r="E2237" s="121">
        <v>1337667</v>
      </c>
    </row>
    <row r="2238" spans="1:5" ht="15">
      <c r="A2238" s="120" t="s">
        <v>263</v>
      </c>
      <c r="B2238" s="121">
        <v>21</v>
      </c>
      <c r="C2238" s="121">
        <v>21</v>
      </c>
      <c r="D2238" s="121">
        <v>3</v>
      </c>
      <c r="E2238" s="121">
        <v>1042117</v>
      </c>
    </row>
    <row r="2239" spans="1:5" ht="15">
      <c r="A2239" s="120" t="s">
        <v>263</v>
      </c>
      <c r="B2239" s="121">
        <v>21</v>
      </c>
      <c r="C2239" s="121">
        <v>21</v>
      </c>
      <c r="D2239" s="121">
        <v>4</v>
      </c>
      <c r="E2239" s="121">
        <v>661414</v>
      </c>
    </row>
    <row r="2240" spans="1:5" ht="15">
      <c r="A2240" s="120" t="s">
        <v>263</v>
      </c>
      <c r="B2240" s="121">
        <v>21</v>
      </c>
      <c r="C2240" s="121">
        <v>21</v>
      </c>
      <c r="D2240" s="121">
        <v>5</v>
      </c>
      <c r="E2240" s="121">
        <v>9500</v>
      </c>
    </row>
    <row r="2241" spans="1:5" ht="15">
      <c r="A2241" s="120" t="s">
        <v>263</v>
      </c>
      <c r="B2241" s="121">
        <v>21</v>
      </c>
      <c r="C2241" s="121">
        <v>21</v>
      </c>
      <c r="D2241" s="121">
        <v>7</v>
      </c>
      <c r="E2241" s="121">
        <v>9928</v>
      </c>
    </row>
    <row r="2242" spans="1:5" ht="15">
      <c r="A2242" s="120" t="s">
        <v>263</v>
      </c>
      <c r="B2242" s="121">
        <v>21</v>
      </c>
      <c r="C2242" s="121">
        <v>21</v>
      </c>
      <c r="D2242" s="121">
        <v>8</v>
      </c>
      <c r="E2242" s="121">
        <v>3200</v>
      </c>
    </row>
    <row r="2243" spans="1:5" ht="15">
      <c r="A2243" s="120" t="s">
        <v>263</v>
      </c>
      <c r="B2243" s="121">
        <v>21</v>
      </c>
      <c r="C2243" s="121">
        <v>23</v>
      </c>
      <c r="D2243" s="121">
        <v>3</v>
      </c>
      <c r="E2243" s="121">
        <v>49806</v>
      </c>
    </row>
    <row r="2244" spans="1:5" ht="15">
      <c r="A2244" s="120" t="s">
        <v>263</v>
      </c>
      <c r="B2244" s="121">
        <v>21</v>
      </c>
      <c r="C2244" s="121">
        <v>23</v>
      </c>
      <c r="D2244" s="121">
        <v>4</v>
      </c>
      <c r="E2244" s="121">
        <v>23248</v>
      </c>
    </row>
    <row r="2245" spans="1:5" ht="15">
      <c r="A2245" s="120" t="s">
        <v>263</v>
      </c>
      <c r="B2245" s="121">
        <v>21</v>
      </c>
      <c r="C2245" s="121">
        <v>24</v>
      </c>
      <c r="D2245" s="121">
        <v>5</v>
      </c>
      <c r="E2245" s="121">
        <v>91475</v>
      </c>
    </row>
    <row r="2246" spans="1:5" ht="15">
      <c r="A2246" s="120" t="s">
        <v>263</v>
      </c>
      <c r="B2246" s="121">
        <v>21</v>
      </c>
      <c r="C2246" s="121">
        <v>26</v>
      </c>
      <c r="D2246" s="121">
        <v>2</v>
      </c>
      <c r="E2246" s="121">
        <v>9613820</v>
      </c>
    </row>
    <row r="2247" spans="1:5" ht="15">
      <c r="A2247" s="120" t="s">
        <v>263</v>
      </c>
      <c r="B2247" s="121">
        <v>21</v>
      </c>
      <c r="C2247" s="121">
        <v>26</v>
      </c>
      <c r="D2247" s="121">
        <v>3</v>
      </c>
      <c r="E2247" s="121">
        <v>618210</v>
      </c>
    </row>
    <row r="2248" spans="1:5" ht="15">
      <c r="A2248" s="120" t="s">
        <v>263</v>
      </c>
      <c r="B2248" s="121">
        <v>21</v>
      </c>
      <c r="C2248" s="121">
        <v>26</v>
      </c>
      <c r="D2248" s="121">
        <v>4</v>
      </c>
      <c r="E2248" s="121">
        <v>3118638</v>
      </c>
    </row>
    <row r="2249" spans="1:5" ht="15">
      <c r="A2249" s="120" t="s">
        <v>263</v>
      </c>
      <c r="B2249" s="121">
        <v>21</v>
      </c>
      <c r="C2249" s="121">
        <v>26</v>
      </c>
      <c r="D2249" s="121">
        <v>5</v>
      </c>
      <c r="E2249" s="121">
        <v>32230</v>
      </c>
    </row>
    <row r="2250" spans="1:5" ht="15">
      <c r="A2250" s="120" t="s">
        <v>263</v>
      </c>
      <c r="B2250" s="121">
        <v>21</v>
      </c>
      <c r="C2250" s="121">
        <v>26</v>
      </c>
      <c r="D2250" s="121">
        <v>7</v>
      </c>
      <c r="E2250" s="121">
        <v>175000</v>
      </c>
    </row>
    <row r="2251" spans="1:5" ht="15">
      <c r="A2251" s="120" t="s">
        <v>263</v>
      </c>
      <c r="B2251" s="121">
        <v>21</v>
      </c>
      <c r="C2251" s="121">
        <v>26</v>
      </c>
      <c r="D2251" s="121">
        <v>8</v>
      </c>
      <c r="E2251" s="121">
        <v>9800</v>
      </c>
    </row>
    <row r="2252" spans="1:5" ht="15">
      <c r="A2252" s="120" t="s">
        <v>263</v>
      </c>
      <c r="B2252" s="121">
        <v>21</v>
      </c>
      <c r="C2252" s="121">
        <v>27</v>
      </c>
      <c r="D2252" s="121">
        <v>0</v>
      </c>
      <c r="E2252" s="121">
        <v>226932</v>
      </c>
    </row>
    <row r="2253" spans="1:5" ht="15">
      <c r="A2253" s="120" t="s">
        <v>263</v>
      </c>
      <c r="B2253" s="121">
        <v>21</v>
      </c>
      <c r="C2253" s="121">
        <v>27</v>
      </c>
      <c r="D2253" s="121">
        <v>2</v>
      </c>
      <c r="E2253" s="121">
        <v>16973003</v>
      </c>
    </row>
    <row r="2254" spans="1:5" ht="15">
      <c r="A2254" s="120" t="s">
        <v>263</v>
      </c>
      <c r="B2254" s="121">
        <v>21</v>
      </c>
      <c r="C2254" s="121">
        <v>27</v>
      </c>
      <c r="D2254" s="121">
        <v>3</v>
      </c>
      <c r="E2254" s="121">
        <v>16837678</v>
      </c>
    </row>
    <row r="2255" spans="1:5" ht="15">
      <c r="A2255" s="120" t="s">
        <v>263</v>
      </c>
      <c r="B2255" s="121">
        <v>21</v>
      </c>
      <c r="C2255" s="121">
        <v>27</v>
      </c>
      <c r="D2255" s="121">
        <v>4</v>
      </c>
      <c r="E2255" s="121">
        <v>15169066</v>
      </c>
    </row>
    <row r="2256" spans="1:5" ht="15">
      <c r="A2256" s="120" t="s">
        <v>263</v>
      </c>
      <c r="B2256" s="121">
        <v>21</v>
      </c>
      <c r="C2256" s="121">
        <v>27</v>
      </c>
      <c r="D2256" s="121">
        <v>5</v>
      </c>
      <c r="E2256" s="121">
        <v>59051</v>
      </c>
    </row>
    <row r="2257" spans="1:5" ht="15">
      <c r="A2257" s="120" t="s">
        <v>263</v>
      </c>
      <c r="B2257" s="121">
        <v>21</v>
      </c>
      <c r="C2257" s="121">
        <v>27</v>
      </c>
      <c r="D2257" s="121">
        <v>7</v>
      </c>
      <c r="E2257" s="121">
        <v>14068691</v>
      </c>
    </row>
    <row r="2258" spans="1:5" ht="15">
      <c r="A2258" s="120" t="s">
        <v>263</v>
      </c>
      <c r="B2258" s="121">
        <v>21</v>
      </c>
      <c r="C2258" s="121">
        <v>27</v>
      </c>
      <c r="D2258" s="121">
        <v>8</v>
      </c>
      <c r="E2258" s="121">
        <v>16079</v>
      </c>
    </row>
    <row r="2259" spans="1:5" ht="15">
      <c r="A2259" s="120" t="s">
        <v>263</v>
      </c>
      <c r="B2259" s="121">
        <v>21</v>
      </c>
      <c r="C2259" s="121">
        <v>29</v>
      </c>
      <c r="D2259" s="121">
        <v>7</v>
      </c>
      <c r="E2259" s="121">
        <v>55109</v>
      </c>
    </row>
    <row r="2260" spans="1:5" ht="15">
      <c r="A2260" s="120" t="s">
        <v>263</v>
      </c>
      <c r="B2260" s="121">
        <v>21</v>
      </c>
      <c r="C2260" s="121">
        <v>31</v>
      </c>
      <c r="D2260" s="121">
        <v>0</v>
      </c>
      <c r="E2260" s="121">
        <v>4400</v>
      </c>
    </row>
    <row r="2261" spans="1:5" ht="15">
      <c r="A2261" s="120" t="s">
        <v>263</v>
      </c>
      <c r="B2261" s="121">
        <v>21</v>
      </c>
      <c r="C2261" s="121">
        <v>31</v>
      </c>
      <c r="D2261" s="121">
        <v>2</v>
      </c>
      <c r="E2261" s="121">
        <v>1656524</v>
      </c>
    </row>
    <row r="2262" spans="1:5" ht="15">
      <c r="A2262" s="120" t="s">
        <v>263</v>
      </c>
      <c r="B2262" s="121">
        <v>21</v>
      </c>
      <c r="C2262" s="121">
        <v>31</v>
      </c>
      <c r="D2262" s="121">
        <v>3</v>
      </c>
      <c r="E2262" s="121">
        <v>74984</v>
      </c>
    </row>
    <row r="2263" spans="1:5" ht="15">
      <c r="A2263" s="120" t="s">
        <v>263</v>
      </c>
      <c r="B2263" s="121">
        <v>21</v>
      </c>
      <c r="C2263" s="121">
        <v>31</v>
      </c>
      <c r="D2263" s="121">
        <v>4</v>
      </c>
      <c r="E2263" s="121">
        <v>426029</v>
      </c>
    </row>
    <row r="2264" spans="1:5" ht="15">
      <c r="A2264" s="120" t="s">
        <v>263</v>
      </c>
      <c r="B2264" s="121">
        <v>21</v>
      </c>
      <c r="C2264" s="121">
        <v>31</v>
      </c>
      <c r="D2264" s="121">
        <v>7</v>
      </c>
      <c r="E2264" s="121">
        <v>500</v>
      </c>
    </row>
    <row r="2265" spans="1:5" ht="15">
      <c r="A2265" s="120" t="s">
        <v>263</v>
      </c>
      <c r="B2265" s="121">
        <v>21</v>
      </c>
      <c r="C2265" s="121">
        <v>33</v>
      </c>
      <c r="D2265" s="121">
        <v>5</v>
      </c>
      <c r="E2265" s="121">
        <v>85263</v>
      </c>
    </row>
    <row r="2266" spans="1:5" ht="15">
      <c r="A2266" s="120" t="s">
        <v>263</v>
      </c>
      <c r="B2266" s="121">
        <v>24</v>
      </c>
      <c r="C2266" s="121">
        <v>21</v>
      </c>
      <c r="D2266" s="121">
        <v>3</v>
      </c>
      <c r="E2266" s="121">
        <v>87268</v>
      </c>
    </row>
    <row r="2267" spans="1:5" ht="15">
      <c r="A2267" s="120" t="s">
        <v>263</v>
      </c>
      <c r="B2267" s="121">
        <v>24</v>
      </c>
      <c r="C2267" s="121">
        <v>21</v>
      </c>
      <c r="D2267" s="121">
        <v>4</v>
      </c>
      <c r="E2267" s="121">
        <v>29897</v>
      </c>
    </row>
    <row r="2268" spans="1:5" ht="15">
      <c r="A2268" s="120" t="s">
        <v>263</v>
      </c>
      <c r="B2268" s="121">
        <v>24</v>
      </c>
      <c r="C2268" s="121">
        <v>26</v>
      </c>
      <c r="D2268" s="121">
        <v>3</v>
      </c>
      <c r="E2268" s="121">
        <v>371369</v>
      </c>
    </row>
    <row r="2269" spans="1:5" ht="15">
      <c r="A2269" s="120" t="s">
        <v>263</v>
      </c>
      <c r="B2269" s="121">
        <v>24</v>
      </c>
      <c r="C2269" s="121">
        <v>26</v>
      </c>
      <c r="D2269" s="121">
        <v>4</v>
      </c>
      <c r="E2269" s="121">
        <v>155692</v>
      </c>
    </row>
    <row r="2270" spans="1:5" ht="15">
      <c r="A2270" s="120" t="s">
        <v>263</v>
      </c>
      <c r="B2270" s="121">
        <v>24</v>
      </c>
      <c r="C2270" s="121">
        <v>27</v>
      </c>
      <c r="D2270" s="121">
        <v>2</v>
      </c>
      <c r="E2270" s="121">
        <v>3775444</v>
      </c>
    </row>
    <row r="2271" spans="1:5" ht="15">
      <c r="A2271" s="120" t="s">
        <v>263</v>
      </c>
      <c r="B2271" s="121">
        <v>24</v>
      </c>
      <c r="C2271" s="121">
        <v>27</v>
      </c>
      <c r="D2271" s="121">
        <v>3</v>
      </c>
      <c r="E2271" s="121">
        <v>3284</v>
      </c>
    </row>
    <row r="2272" spans="1:5" ht="15">
      <c r="A2272" s="120" t="s">
        <v>263</v>
      </c>
      <c r="B2272" s="121">
        <v>24</v>
      </c>
      <c r="C2272" s="121">
        <v>27</v>
      </c>
      <c r="D2272" s="121">
        <v>4</v>
      </c>
      <c r="E2272" s="121">
        <v>1170954</v>
      </c>
    </row>
    <row r="2273" spans="1:5" ht="15">
      <c r="A2273" s="120" t="s">
        <v>263</v>
      </c>
      <c r="B2273" s="121">
        <v>24</v>
      </c>
      <c r="C2273" s="121">
        <v>27</v>
      </c>
      <c r="D2273" s="121">
        <v>5</v>
      </c>
      <c r="E2273" s="121">
        <v>14545</v>
      </c>
    </row>
    <row r="2274" spans="1:5" ht="15">
      <c r="A2274" s="120" t="s">
        <v>263</v>
      </c>
      <c r="B2274" s="121">
        <v>24</v>
      </c>
      <c r="C2274" s="121">
        <v>27</v>
      </c>
      <c r="D2274" s="121">
        <v>7</v>
      </c>
      <c r="E2274" s="121">
        <v>1838042</v>
      </c>
    </row>
    <row r="2275" spans="1:5" ht="15">
      <c r="A2275" s="120" t="s">
        <v>829</v>
      </c>
      <c r="B2275" s="121">
        <v>21</v>
      </c>
      <c r="C2275" s="121">
        <v>26</v>
      </c>
      <c r="D2275" s="121">
        <v>7</v>
      </c>
      <c r="E2275" s="121">
        <v>382500</v>
      </c>
    </row>
    <row r="2276" spans="1:5" ht="15">
      <c r="A2276" s="120" t="s">
        <v>829</v>
      </c>
      <c r="B2276" s="121">
        <v>21</v>
      </c>
      <c r="C2276" s="121">
        <v>27</v>
      </c>
      <c r="D2276" s="121">
        <v>2</v>
      </c>
      <c r="E2276" s="121">
        <v>169284</v>
      </c>
    </row>
    <row r="2277" spans="1:5" ht="15">
      <c r="A2277" s="120" t="s">
        <v>829</v>
      </c>
      <c r="B2277" s="121">
        <v>21</v>
      </c>
      <c r="C2277" s="121">
        <v>27</v>
      </c>
      <c r="D2277" s="121">
        <v>3</v>
      </c>
      <c r="E2277" s="121">
        <v>100133</v>
      </c>
    </row>
    <row r="2278" spans="1:5" ht="15">
      <c r="A2278" s="120" t="s">
        <v>829</v>
      </c>
      <c r="B2278" s="121">
        <v>21</v>
      </c>
      <c r="C2278" s="121">
        <v>27</v>
      </c>
      <c r="D2278" s="121">
        <v>4</v>
      </c>
      <c r="E2278" s="121">
        <v>80825</v>
      </c>
    </row>
    <row r="2279" spans="1:5" ht="15">
      <c r="A2279" s="120" t="s">
        <v>193</v>
      </c>
      <c r="B2279" s="121">
        <v>21</v>
      </c>
      <c r="C2279" s="121">
        <v>21</v>
      </c>
      <c r="D2279" s="121">
        <v>2</v>
      </c>
      <c r="E2279" s="121">
        <v>242648</v>
      </c>
    </row>
    <row r="2280" spans="1:5" ht="15">
      <c r="A2280" s="120" t="s">
        <v>193</v>
      </c>
      <c r="B2280" s="121">
        <v>21</v>
      </c>
      <c r="C2280" s="121">
        <v>21</v>
      </c>
      <c r="D2280" s="121">
        <v>3</v>
      </c>
      <c r="E2280" s="121">
        <v>33359</v>
      </c>
    </row>
    <row r="2281" spans="1:5" ht="15">
      <c r="A2281" s="120" t="s">
        <v>193</v>
      </c>
      <c r="B2281" s="121">
        <v>21</v>
      </c>
      <c r="C2281" s="121">
        <v>21</v>
      </c>
      <c r="D2281" s="121">
        <v>4</v>
      </c>
      <c r="E2281" s="121">
        <v>79971</v>
      </c>
    </row>
    <row r="2282" spans="1:5" ht="15">
      <c r="A2282" s="120" t="s">
        <v>193</v>
      </c>
      <c r="B2282" s="121">
        <v>21</v>
      </c>
      <c r="C2282" s="121">
        <v>21</v>
      </c>
      <c r="D2282" s="121">
        <v>5</v>
      </c>
      <c r="E2282" s="121">
        <v>2500</v>
      </c>
    </row>
    <row r="2283" spans="1:5" ht="15">
      <c r="A2283" s="120" t="s">
        <v>193</v>
      </c>
      <c r="B2283" s="121">
        <v>21</v>
      </c>
      <c r="C2283" s="121">
        <v>24</v>
      </c>
      <c r="D2283" s="121">
        <v>3</v>
      </c>
      <c r="E2283" s="121">
        <v>29332</v>
      </c>
    </row>
    <row r="2284" spans="1:5" ht="15">
      <c r="A2284" s="120" t="s">
        <v>193</v>
      </c>
      <c r="B2284" s="121">
        <v>21</v>
      </c>
      <c r="C2284" s="121">
        <v>24</v>
      </c>
      <c r="D2284" s="121">
        <v>4</v>
      </c>
      <c r="E2284" s="121">
        <v>17430</v>
      </c>
    </row>
    <row r="2285" spans="1:5" ht="15">
      <c r="A2285" s="120" t="s">
        <v>193</v>
      </c>
      <c r="B2285" s="121">
        <v>21</v>
      </c>
      <c r="C2285" s="121">
        <v>26</v>
      </c>
      <c r="D2285" s="121">
        <v>2</v>
      </c>
      <c r="E2285" s="121">
        <v>197482</v>
      </c>
    </row>
    <row r="2286" spans="1:5" ht="15">
      <c r="A2286" s="120" t="s">
        <v>193</v>
      </c>
      <c r="B2286" s="121">
        <v>21</v>
      </c>
      <c r="C2286" s="121">
        <v>26</v>
      </c>
      <c r="D2286" s="121">
        <v>3</v>
      </c>
      <c r="E2286" s="121">
        <v>112680</v>
      </c>
    </row>
    <row r="2287" spans="1:5" ht="15">
      <c r="A2287" s="120" t="s">
        <v>193</v>
      </c>
      <c r="B2287" s="121">
        <v>21</v>
      </c>
      <c r="C2287" s="121">
        <v>26</v>
      </c>
      <c r="D2287" s="121">
        <v>4</v>
      </c>
      <c r="E2287" s="121">
        <v>72412</v>
      </c>
    </row>
    <row r="2288" spans="1:5" ht="15">
      <c r="A2288" s="120" t="s">
        <v>193</v>
      </c>
      <c r="B2288" s="121">
        <v>21</v>
      </c>
      <c r="C2288" s="121">
        <v>26</v>
      </c>
      <c r="D2288" s="121">
        <v>7</v>
      </c>
      <c r="E2288" s="121">
        <v>257388</v>
      </c>
    </row>
    <row r="2289" spans="1:5" ht="15">
      <c r="A2289" s="120" t="s">
        <v>193</v>
      </c>
      <c r="B2289" s="121">
        <v>21</v>
      </c>
      <c r="C2289" s="121">
        <v>27</v>
      </c>
      <c r="D2289" s="121">
        <v>2</v>
      </c>
      <c r="E2289" s="121">
        <v>741439</v>
      </c>
    </row>
    <row r="2290" spans="1:5" ht="15">
      <c r="A2290" s="120" t="s">
        <v>193</v>
      </c>
      <c r="B2290" s="121">
        <v>21</v>
      </c>
      <c r="C2290" s="121">
        <v>27</v>
      </c>
      <c r="D2290" s="121">
        <v>3</v>
      </c>
      <c r="E2290" s="121">
        <v>247322</v>
      </c>
    </row>
    <row r="2291" spans="1:5" ht="15">
      <c r="A2291" s="120" t="s">
        <v>193</v>
      </c>
      <c r="B2291" s="121">
        <v>21</v>
      </c>
      <c r="C2291" s="121">
        <v>27</v>
      </c>
      <c r="D2291" s="121">
        <v>4</v>
      </c>
      <c r="E2291" s="121">
        <v>424868</v>
      </c>
    </row>
    <row r="2292" spans="1:5" ht="15">
      <c r="A2292" s="120" t="s">
        <v>193</v>
      </c>
      <c r="B2292" s="121">
        <v>21</v>
      </c>
      <c r="C2292" s="121">
        <v>27</v>
      </c>
      <c r="D2292" s="121">
        <v>5</v>
      </c>
      <c r="E2292" s="121">
        <v>79648</v>
      </c>
    </row>
    <row r="2293" spans="1:5" ht="15">
      <c r="A2293" s="120" t="s">
        <v>193</v>
      </c>
      <c r="B2293" s="121">
        <v>21</v>
      </c>
      <c r="C2293" s="121">
        <v>27</v>
      </c>
      <c r="D2293" s="121">
        <v>7</v>
      </c>
      <c r="E2293" s="121">
        <v>83831</v>
      </c>
    </row>
    <row r="2294" spans="1:5" ht="15">
      <c r="A2294" s="120" t="s">
        <v>193</v>
      </c>
      <c r="B2294" s="121">
        <v>21</v>
      </c>
      <c r="C2294" s="121">
        <v>27</v>
      </c>
      <c r="D2294" s="121">
        <v>9</v>
      </c>
      <c r="E2294" s="121">
        <v>149239</v>
      </c>
    </row>
    <row r="2295" spans="1:5" ht="15">
      <c r="A2295" s="120" t="s">
        <v>193</v>
      </c>
      <c r="B2295" s="121">
        <v>21</v>
      </c>
      <c r="C2295" s="121">
        <v>34</v>
      </c>
      <c r="D2295" s="121">
        <v>2</v>
      </c>
      <c r="E2295" s="121">
        <v>62</v>
      </c>
    </row>
    <row r="2296" spans="1:5" ht="15">
      <c r="A2296" s="120" t="s">
        <v>169</v>
      </c>
      <c r="B2296" s="121">
        <v>21</v>
      </c>
      <c r="C2296" s="121">
        <v>21</v>
      </c>
      <c r="D2296" s="121">
        <v>2</v>
      </c>
      <c r="E2296" s="121">
        <v>14729</v>
      </c>
    </row>
    <row r="2297" spans="1:5" ht="15">
      <c r="A2297" s="120" t="s">
        <v>169</v>
      </c>
      <c r="B2297" s="121">
        <v>21</v>
      </c>
      <c r="C2297" s="121">
        <v>21</v>
      </c>
      <c r="D2297" s="121">
        <v>4</v>
      </c>
      <c r="E2297" s="121">
        <v>5821</v>
      </c>
    </row>
    <row r="2298" spans="1:5" ht="15">
      <c r="A2298" s="120" t="s">
        <v>169</v>
      </c>
      <c r="B2298" s="121">
        <v>21</v>
      </c>
      <c r="C2298" s="121">
        <v>26</v>
      </c>
      <c r="D2298" s="121">
        <v>7</v>
      </c>
      <c r="E2298" s="121">
        <v>24199</v>
      </c>
    </row>
    <row r="2299" spans="1:5" ht="15">
      <c r="A2299" s="120" t="s">
        <v>169</v>
      </c>
      <c r="B2299" s="121">
        <v>21</v>
      </c>
      <c r="C2299" s="121">
        <v>27</v>
      </c>
      <c r="D2299" s="121">
        <v>2</v>
      </c>
      <c r="E2299" s="121">
        <v>9916</v>
      </c>
    </row>
    <row r="2300" spans="1:5" ht="15">
      <c r="A2300" s="120" t="s">
        <v>169</v>
      </c>
      <c r="B2300" s="121">
        <v>21</v>
      </c>
      <c r="C2300" s="121">
        <v>27</v>
      </c>
      <c r="D2300" s="121">
        <v>3</v>
      </c>
      <c r="E2300" s="121">
        <v>19934</v>
      </c>
    </row>
    <row r="2301" spans="1:5" ht="15">
      <c r="A2301" s="120" t="s">
        <v>169</v>
      </c>
      <c r="B2301" s="121">
        <v>21</v>
      </c>
      <c r="C2301" s="121">
        <v>27</v>
      </c>
      <c r="D2301" s="121">
        <v>4</v>
      </c>
      <c r="E2301" s="121">
        <v>17711</v>
      </c>
    </row>
    <row r="2302" spans="1:5" ht="15">
      <c r="A2302" s="120" t="s">
        <v>193</v>
      </c>
      <c r="B2302" s="121">
        <v>24</v>
      </c>
      <c r="C2302" s="121">
        <v>27</v>
      </c>
      <c r="D2302" s="121">
        <v>3</v>
      </c>
      <c r="E2302" s="121">
        <v>182072</v>
      </c>
    </row>
    <row r="2303" spans="1:5" ht="15">
      <c r="A2303" s="120" t="s">
        <v>193</v>
      </c>
      <c r="B2303" s="121">
        <v>24</v>
      </c>
      <c r="C2303" s="121">
        <v>27</v>
      </c>
      <c r="D2303" s="121">
        <v>4</v>
      </c>
      <c r="E2303" s="121">
        <v>131234</v>
      </c>
    </row>
    <row r="2304" spans="1:5" ht="15">
      <c r="A2304" s="120" t="s">
        <v>193</v>
      </c>
      <c r="B2304" s="121">
        <v>24</v>
      </c>
      <c r="C2304" s="121">
        <v>27</v>
      </c>
      <c r="D2304" s="121">
        <v>5</v>
      </c>
      <c r="E2304" s="121">
        <v>4148</v>
      </c>
    </row>
    <row r="2305" spans="1:5" ht="15">
      <c r="A2305" s="120" t="s">
        <v>193</v>
      </c>
      <c r="B2305" s="121">
        <v>24</v>
      </c>
      <c r="C2305" s="121">
        <v>31</v>
      </c>
      <c r="D2305" s="121">
        <v>7</v>
      </c>
      <c r="E2305" s="121">
        <v>4733</v>
      </c>
    </row>
    <row r="2306" spans="1:5" ht="15">
      <c r="A2306" s="120" t="s">
        <v>829</v>
      </c>
      <c r="B2306" s="121">
        <v>24</v>
      </c>
      <c r="C2306" s="121">
        <v>26</v>
      </c>
      <c r="D2306" s="121">
        <v>7</v>
      </c>
      <c r="E2306" s="121">
        <v>32962</v>
      </c>
    </row>
    <row r="2307" spans="1:5" ht="15">
      <c r="A2307" s="120" t="s">
        <v>829</v>
      </c>
      <c r="B2307" s="121">
        <v>24</v>
      </c>
      <c r="C2307" s="121">
        <v>27</v>
      </c>
      <c r="D2307" s="121">
        <v>5</v>
      </c>
      <c r="E2307" s="121">
        <v>6469</v>
      </c>
    </row>
    <row r="2308" spans="1:5" ht="15">
      <c r="A2308" s="120" t="s">
        <v>169</v>
      </c>
      <c r="B2308" s="121">
        <v>24</v>
      </c>
      <c r="C2308" s="121">
        <v>26</v>
      </c>
      <c r="D2308" s="121">
        <v>7</v>
      </c>
      <c r="E2308" s="121">
        <v>9438</v>
      </c>
    </row>
    <row r="2309" spans="1:5" ht="15">
      <c r="A2309" s="120" t="s">
        <v>193</v>
      </c>
      <c r="B2309" s="121">
        <v>29</v>
      </c>
      <c r="C2309" s="121">
        <v>27</v>
      </c>
      <c r="D2309" s="121">
        <v>5</v>
      </c>
      <c r="E2309" s="121">
        <v>18000</v>
      </c>
    </row>
    <row r="2310" spans="1:5" ht="15">
      <c r="A2310" s="120" t="s">
        <v>233</v>
      </c>
      <c r="B2310" s="121">
        <v>21</v>
      </c>
      <c r="C2310" s="121">
        <v>29</v>
      </c>
      <c r="D2310" s="121">
        <v>7</v>
      </c>
      <c r="E2310" s="121">
        <v>2720472</v>
      </c>
    </row>
    <row r="2311" spans="1:5" ht="15">
      <c r="A2311" s="120" t="s">
        <v>287</v>
      </c>
      <c r="B2311" s="121">
        <v>21</v>
      </c>
      <c r="C2311" s="121">
        <v>27</v>
      </c>
      <c r="D2311" s="121">
        <v>5</v>
      </c>
      <c r="E2311" s="121">
        <v>3500</v>
      </c>
    </row>
    <row r="2312" spans="1:5" ht="15">
      <c r="A2312" s="120" t="s">
        <v>287</v>
      </c>
      <c r="B2312" s="121">
        <v>21</v>
      </c>
      <c r="C2312" s="121">
        <v>27</v>
      </c>
      <c r="D2312" s="121">
        <v>7</v>
      </c>
      <c r="E2312" s="121">
        <v>163278</v>
      </c>
    </row>
    <row r="2313" spans="1:5" ht="15">
      <c r="A2313" s="120" t="s">
        <v>265</v>
      </c>
      <c r="B2313" s="121">
        <v>21</v>
      </c>
      <c r="C2313" s="121">
        <v>21</v>
      </c>
      <c r="D2313" s="121">
        <v>2</v>
      </c>
      <c r="E2313" s="121">
        <v>171483</v>
      </c>
    </row>
    <row r="2314" spans="1:5" ht="15">
      <c r="A2314" s="120" t="s">
        <v>265</v>
      </c>
      <c r="B2314" s="121">
        <v>21</v>
      </c>
      <c r="C2314" s="121">
        <v>21</v>
      </c>
      <c r="D2314" s="121">
        <v>3</v>
      </c>
      <c r="E2314" s="121">
        <v>87250</v>
      </c>
    </row>
    <row r="2315" spans="1:5" ht="15">
      <c r="A2315" s="120" t="s">
        <v>265</v>
      </c>
      <c r="B2315" s="121">
        <v>21</v>
      </c>
      <c r="C2315" s="121">
        <v>21</v>
      </c>
      <c r="D2315" s="121">
        <v>4</v>
      </c>
      <c r="E2315" s="121">
        <v>67351</v>
      </c>
    </row>
    <row r="2316" spans="1:5" ht="15">
      <c r="A2316" s="120" t="s">
        <v>265</v>
      </c>
      <c r="B2316" s="121">
        <v>21</v>
      </c>
      <c r="C2316" s="121">
        <v>21</v>
      </c>
      <c r="D2316" s="121">
        <v>7</v>
      </c>
      <c r="E2316" s="121">
        <v>4000</v>
      </c>
    </row>
    <row r="2317" spans="1:5" ht="15">
      <c r="A2317" s="120" t="s">
        <v>265</v>
      </c>
      <c r="B2317" s="121">
        <v>21</v>
      </c>
      <c r="C2317" s="121">
        <v>21</v>
      </c>
      <c r="D2317" s="121">
        <v>8</v>
      </c>
      <c r="E2317" s="121">
        <v>200</v>
      </c>
    </row>
    <row r="2318" spans="1:5" ht="15">
      <c r="A2318" s="120" t="s">
        <v>265</v>
      </c>
      <c r="B2318" s="121">
        <v>21</v>
      </c>
      <c r="C2318" s="121">
        <v>25</v>
      </c>
      <c r="D2318" s="121">
        <v>3</v>
      </c>
      <c r="E2318" s="121">
        <v>14700</v>
      </c>
    </row>
    <row r="2319" spans="1:5" ht="15">
      <c r="A2319" s="120" t="s">
        <v>265</v>
      </c>
      <c r="B2319" s="121">
        <v>21</v>
      </c>
      <c r="C2319" s="121">
        <v>25</v>
      </c>
      <c r="D2319" s="121">
        <v>4</v>
      </c>
      <c r="E2319" s="121">
        <v>7559</v>
      </c>
    </row>
    <row r="2320" spans="1:5" ht="15">
      <c r="A2320" s="120" t="s">
        <v>265</v>
      </c>
      <c r="B2320" s="121">
        <v>21</v>
      </c>
      <c r="C2320" s="121">
        <v>26</v>
      </c>
      <c r="D2320" s="121">
        <v>2</v>
      </c>
      <c r="E2320" s="121">
        <v>445592</v>
      </c>
    </row>
    <row r="2321" spans="1:5" ht="15">
      <c r="A2321" s="120" t="s">
        <v>265</v>
      </c>
      <c r="B2321" s="121">
        <v>21</v>
      </c>
      <c r="C2321" s="121">
        <v>26</v>
      </c>
      <c r="D2321" s="121">
        <v>3</v>
      </c>
      <c r="E2321" s="121">
        <v>56077</v>
      </c>
    </row>
    <row r="2322" spans="1:5" ht="15">
      <c r="A2322" s="120" t="s">
        <v>265</v>
      </c>
      <c r="B2322" s="121">
        <v>21</v>
      </c>
      <c r="C2322" s="121">
        <v>26</v>
      </c>
      <c r="D2322" s="121">
        <v>4</v>
      </c>
      <c r="E2322" s="121">
        <v>171530</v>
      </c>
    </row>
    <row r="2323" spans="1:5" ht="15">
      <c r="A2323" s="120" t="s">
        <v>265</v>
      </c>
      <c r="B2323" s="121">
        <v>21</v>
      </c>
      <c r="C2323" s="121">
        <v>26</v>
      </c>
      <c r="D2323" s="121">
        <v>5</v>
      </c>
      <c r="E2323" s="121">
        <v>6000</v>
      </c>
    </row>
    <row r="2324" spans="1:5" ht="15">
      <c r="A2324" s="120" t="s">
        <v>265</v>
      </c>
      <c r="B2324" s="121">
        <v>21</v>
      </c>
      <c r="C2324" s="121">
        <v>27</v>
      </c>
      <c r="D2324" s="121">
        <v>2</v>
      </c>
      <c r="E2324" s="121">
        <v>1785617</v>
      </c>
    </row>
    <row r="2325" spans="1:5" ht="15">
      <c r="A2325" s="120" t="s">
        <v>265</v>
      </c>
      <c r="B2325" s="121">
        <v>21</v>
      </c>
      <c r="C2325" s="121">
        <v>27</v>
      </c>
      <c r="D2325" s="121">
        <v>3</v>
      </c>
      <c r="E2325" s="121">
        <v>2193105</v>
      </c>
    </row>
    <row r="2326" spans="1:5" ht="15">
      <c r="A2326" s="120" t="s">
        <v>265</v>
      </c>
      <c r="B2326" s="121">
        <v>21</v>
      </c>
      <c r="C2326" s="121">
        <v>27</v>
      </c>
      <c r="D2326" s="121">
        <v>4</v>
      </c>
      <c r="E2326" s="121">
        <v>1807075</v>
      </c>
    </row>
    <row r="2327" spans="1:5" ht="15">
      <c r="A2327" s="120" t="s">
        <v>265</v>
      </c>
      <c r="B2327" s="121">
        <v>21</v>
      </c>
      <c r="C2327" s="121">
        <v>27</v>
      </c>
      <c r="D2327" s="121">
        <v>5</v>
      </c>
      <c r="E2327" s="121">
        <v>18000</v>
      </c>
    </row>
    <row r="2328" spans="1:5" ht="15">
      <c r="A2328" s="120" t="s">
        <v>265</v>
      </c>
      <c r="B2328" s="121">
        <v>21</v>
      </c>
      <c r="C2328" s="121">
        <v>27</v>
      </c>
      <c r="D2328" s="121">
        <v>7</v>
      </c>
      <c r="E2328" s="121">
        <v>1658000</v>
      </c>
    </row>
    <row r="2329" spans="1:5" ht="15">
      <c r="A2329" s="120" t="s">
        <v>265</v>
      </c>
      <c r="B2329" s="121">
        <v>21</v>
      </c>
      <c r="C2329" s="121">
        <v>31</v>
      </c>
      <c r="D2329" s="121">
        <v>2</v>
      </c>
      <c r="E2329" s="121">
        <v>132576</v>
      </c>
    </row>
    <row r="2330" spans="1:5" ht="15">
      <c r="A2330" s="120" t="s">
        <v>265</v>
      </c>
      <c r="B2330" s="121">
        <v>21</v>
      </c>
      <c r="C2330" s="121">
        <v>31</v>
      </c>
      <c r="D2330" s="121">
        <v>4</v>
      </c>
      <c r="E2330" s="121">
        <v>20009</v>
      </c>
    </row>
    <row r="2331" spans="1:5" ht="15">
      <c r="A2331" s="120" t="s">
        <v>265</v>
      </c>
      <c r="B2331" s="121">
        <v>21</v>
      </c>
      <c r="C2331" s="121">
        <v>33</v>
      </c>
      <c r="D2331" s="121">
        <v>5</v>
      </c>
      <c r="E2331" s="121">
        <v>1000</v>
      </c>
    </row>
    <row r="2332" spans="1:5" ht="15">
      <c r="A2332" s="120" t="s">
        <v>265</v>
      </c>
      <c r="B2332" s="121">
        <v>21</v>
      </c>
      <c r="C2332" s="121">
        <v>34</v>
      </c>
      <c r="D2332" s="121">
        <v>2</v>
      </c>
      <c r="E2332" s="121">
        <v>39315</v>
      </c>
    </row>
    <row r="2333" spans="1:5" ht="15">
      <c r="A2333" s="120" t="s">
        <v>265</v>
      </c>
      <c r="B2333" s="121">
        <v>21</v>
      </c>
      <c r="C2333" s="121">
        <v>34</v>
      </c>
      <c r="D2333" s="121">
        <v>4</v>
      </c>
      <c r="E2333" s="121">
        <v>6102</v>
      </c>
    </row>
    <row r="2334" spans="1:5" ht="15">
      <c r="A2334" s="120" t="s">
        <v>265</v>
      </c>
      <c r="B2334" s="121">
        <v>24</v>
      </c>
      <c r="C2334" s="121">
        <v>26</v>
      </c>
      <c r="D2334" s="121">
        <v>2</v>
      </c>
      <c r="E2334" s="121">
        <v>526912</v>
      </c>
    </row>
    <row r="2335" spans="1:5" ht="15">
      <c r="A2335" s="120" t="s">
        <v>265</v>
      </c>
      <c r="B2335" s="121">
        <v>24</v>
      </c>
      <c r="C2335" s="121">
        <v>26</v>
      </c>
      <c r="D2335" s="121">
        <v>4</v>
      </c>
      <c r="E2335" s="121">
        <v>163472</v>
      </c>
    </row>
    <row r="2336" spans="1:5" ht="15">
      <c r="A2336" s="120" t="s">
        <v>265</v>
      </c>
      <c r="B2336" s="121">
        <v>24</v>
      </c>
      <c r="C2336" s="121">
        <v>27</v>
      </c>
      <c r="D2336" s="121">
        <v>2</v>
      </c>
      <c r="E2336" s="121">
        <v>10159</v>
      </c>
    </row>
    <row r="2337" spans="1:5" ht="15">
      <c r="A2337" s="120" t="s">
        <v>265</v>
      </c>
      <c r="B2337" s="121">
        <v>24</v>
      </c>
      <c r="C2337" s="121">
        <v>27</v>
      </c>
      <c r="D2337" s="121">
        <v>3</v>
      </c>
      <c r="E2337" s="121">
        <v>5384</v>
      </c>
    </row>
    <row r="2338" spans="1:5" ht="15">
      <c r="A2338" s="120" t="s">
        <v>265</v>
      </c>
      <c r="B2338" s="121">
        <v>24</v>
      </c>
      <c r="C2338" s="121">
        <v>27</v>
      </c>
      <c r="D2338" s="121">
        <v>4</v>
      </c>
      <c r="E2338" s="121">
        <v>3016</v>
      </c>
    </row>
    <row r="2339" spans="1:5" ht="15">
      <c r="A2339" s="120" t="s">
        <v>265</v>
      </c>
      <c r="B2339" s="121">
        <v>24</v>
      </c>
      <c r="C2339" s="121">
        <v>31</v>
      </c>
      <c r="D2339" s="121">
        <v>2</v>
      </c>
      <c r="E2339" s="121">
        <v>32858</v>
      </c>
    </row>
    <row r="2340" spans="1:5" ht="15">
      <c r="A2340" s="120" t="s">
        <v>265</v>
      </c>
      <c r="B2340" s="121">
        <v>24</v>
      </c>
      <c r="C2340" s="121">
        <v>31</v>
      </c>
      <c r="D2340" s="121">
        <v>4</v>
      </c>
      <c r="E2340" s="121">
        <v>5178</v>
      </c>
    </row>
    <row r="2341" spans="1:5" ht="15">
      <c r="A2341" s="120" t="s">
        <v>195</v>
      </c>
      <c r="B2341" s="121">
        <v>21</v>
      </c>
      <c r="C2341" s="121">
        <v>21</v>
      </c>
      <c r="D2341" s="121">
        <v>2</v>
      </c>
      <c r="E2341" s="121">
        <v>385610</v>
      </c>
    </row>
    <row r="2342" spans="1:5" ht="15">
      <c r="A2342" s="120" t="s">
        <v>195</v>
      </c>
      <c r="B2342" s="121">
        <v>21</v>
      </c>
      <c r="C2342" s="121">
        <v>21</v>
      </c>
      <c r="D2342" s="121">
        <v>3</v>
      </c>
      <c r="E2342" s="121">
        <v>80143</v>
      </c>
    </row>
    <row r="2343" spans="1:5" ht="15">
      <c r="A2343" s="120" t="s">
        <v>195</v>
      </c>
      <c r="B2343" s="121">
        <v>21</v>
      </c>
      <c r="C2343" s="121">
        <v>21</v>
      </c>
      <c r="D2343" s="121">
        <v>4</v>
      </c>
      <c r="E2343" s="121">
        <v>119737</v>
      </c>
    </row>
    <row r="2344" spans="1:5" ht="15">
      <c r="A2344" s="120" t="s">
        <v>195</v>
      </c>
      <c r="B2344" s="121">
        <v>21</v>
      </c>
      <c r="C2344" s="121">
        <v>21</v>
      </c>
      <c r="D2344" s="121">
        <v>7</v>
      </c>
      <c r="E2344" s="121">
        <v>925</v>
      </c>
    </row>
    <row r="2345" spans="1:5" ht="15">
      <c r="A2345" s="120" t="s">
        <v>195</v>
      </c>
      <c r="B2345" s="121">
        <v>21</v>
      </c>
      <c r="C2345" s="121">
        <v>24</v>
      </c>
      <c r="D2345" s="121">
        <v>7</v>
      </c>
      <c r="E2345" s="121">
        <v>5000</v>
      </c>
    </row>
    <row r="2346" spans="1:5" ht="15">
      <c r="A2346" s="120" t="s">
        <v>195</v>
      </c>
      <c r="B2346" s="121">
        <v>21</v>
      </c>
      <c r="C2346" s="121">
        <v>24</v>
      </c>
      <c r="D2346" s="121">
        <v>8</v>
      </c>
      <c r="E2346" s="121">
        <v>7000</v>
      </c>
    </row>
    <row r="2347" spans="1:5" ht="15">
      <c r="A2347" s="120" t="s">
        <v>195</v>
      </c>
      <c r="B2347" s="121">
        <v>21</v>
      </c>
      <c r="C2347" s="121">
        <v>25</v>
      </c>
      <c r="D2347" s="121">
        <v>3</v>
      </c>
      <c r="E2347" s="121">
        <v>41472</v>
      </c>
    </row>
    <row r="2348" spans="1:5" ht="15">
      <c r="A2348" s="120" t="s">
        <v>195</v>
      </c>
      <c r="B2348" s="121">
        <v>21</v>
      </c>
      <c r="C2348" s="121">
        <v>25</v>
      </c>
      <c r="D2348" s="121">
        <v>4</v>
      </c>
      <c r="E2348" s="121">
        <v>25116</v>
      </c>
    </row>
    <row r="2349" spans="1:5" ht="15">
      <c r="A2349" s="120" t="s">
        <v>195</v>
      </c>
      <c r="B2349" s="121">
        <v>21</v>
      </c>
      <c r="C2349" s="121">
        <v>26</v>
      </c>
      <c r="D2349" s="121">
        <v>2</v>
      </c>
      <c r="E2349" s="121">
        <v>336660</v>
      </c>
    </row>
    <row r="2350" spans="1:5" ht="15">
      <c r="A2350" s="120" t="s">
        <v>195</v>
      </c>
      <c r="B2350" s="121">
        <v>21</v>
      </c>
      <c r="C2350" s="121">
        <v>26</v>
      </c>
      <c r="D2350" s="121">
        <v>3</v>
      </c>
      <c r="E2350" s="121">
        <v>226295</v>
      </c>
    </row>
    <row r="2351" spans="1:5" ht="15">
      <c r="A2351" s="120" t="s">
        <v>195</v>
      </c>
      <c r="B2351" s="121">
        <v>21</v>
      </c>
      <c r="C2351" s="121">
        <v>26</v>
      </c>
      <c r="D2351" s="121">
        <v>4</v>
      </c>
      <c r="E2351" s="121">
        <v>220926</v>
      </c>
    </row>
    <row r="2352" spans="1:5" ht="15">
      <c r="A2352" s="120" t="s">
        <v>195</v>
      </c>
      <c r="B2352" s="121">
        <v>21</v>
      </c>
      <c r="C2352" s="121">
        <v>26</v>
      </c>
      <c r="D2352" s="121">
        <v>5</v>
      </c>
      <c r="E2352" s="121">
        <v>2000</v>
      </c>
    </row>
    <row r="2353" spans="1:5" ht="15">
      <c r="A2353" s="120" t="s">
        <v>195</v>
      </c>
      <c r="B2353" s="121">
        <v>21</v>
      </c>
      <c r="C2353" s="121">
        <v>26</v>
      </c>
      <c r="D2353" s="121">
        <v>7</v>
      </c>
      <c r="E2353" s="121">
        <v>128000</v>
      </c>
    </row>
    <row r="2354" spans="1:5" ht="15">
      <c r="A2354" s="120" t="s">
        <v>195</v>
      </c>
      <c r="B2354" s="121">
        <v>21</v>
      </c>
      <c r="C2354" s="121">
        <v>27</v>
      </c>
      <c r="D2354" s="121">
        <v>2</v>
      </c>
      <c r="E2354" s="121">
        <v>2447747</v>
      </c>
    </row>
    <row r="2355" spans="1:5" ht="15">
      <c r="A2355" s="120" t="s">
        <v>195</v>
      </c>
      <c r="B2355" s="121">
        <v>21</v>
      </c>
      <c r="C2355" s="121">
        <v>27</v>
      </c>
      <c r="D2355" s="121">
        <v>3</v>
      </c>
      <c r="E2355" s="121">
        <v>1402220</v>
      </c>
    </row>
    <row r="2356" spans="1:5" ht="15">
      <c r="A2356" s="120" t="s">
        <v>195</v>
      </c>
      <c r="B2356" s="121">
        <v>21</v>
      </c>
      <c r="C2356" s="121">
        <v>27</v>
      </c>
      <c r="D2356" s="121">
        <v>4</v>
      </c>
      <c r="E2356" s="121">
        <v>1594225</v>
      </c>
    </row>
    <row r="2357" spans="1:5" ht="15">
      <c r="A2357" s="120" t="s">
        <v>195</v>
      </c>
      <c r="B2357" s="121">
        <v>21</v>
      </c>
      <c r="C2357" s="121">
        <v>27</v>
      </c>
      <c r="D2357" s="121">
        <v>5</v>
      </c>
      <c r="E2357" s="121">
        <v>26500</v>
      </c>
    </row>
    <row r="2358" spans="1:5" ht="15">
      <c r="A2358" s="120" t="s">
        <v>195</v>
      </c>
      <c r="B2358" s="121">
        <v>21</v>
      </c>
      <c r="C2358" s="121">
        <v>27</v>
      </c>
      <c r="D2358" s="121">
        <v>7</v>
      </c>
      <c r="E2358" s="121">
        <v>837000</v>
      </c>
    </row>
    <row r="2359" spans="1:5" ht="15">
      <c r="A2359" s="120" t="s">
        <v>195</v>
      </c>
      <c r="B2359" s="121">
        <v>21</v>
      </c>
      <c r="C2359" s="121">
        <v>29</v>
      </c>
      <c r="D2359" s="121">
        <v>7</v>
      </c>
      <c r="E2359" s="121">
        <v>1142000</v>
      </c>
    </row>
    <row r="2360" spans="1:5" ht="15">
      <c r="A2360" s="120" t="s">
        <v>195</v>
      </c>
      <c r="B2360" s="121">
        <v>21</v>
      </c>
      <c r="C2360" s="121">
        <v>31</v>
      </c>
      <c r="D2360" s="121">
        <v>7</v>
      </c>
      <c r="E2360" s="121">
        <v>3000</v>
      </c>
    </row>
    <row r="2361" spans="1:5" ht="15">
      <c r="A2361" s="120" t="s">
        <v>217</v>
      </c>
      <c r="B2361" s="121">
        <v>21</v>
      </c>
      <c r="C2361" s="121">
        <v>26</v>
      </c>
      <c r="D2361" s="121">
        <v>7</v>
      </c>
      <c r="E2361" s="121">
        <v>169859</v>
      </c>
    </row>
    <row r="2362" spans="1:5" ht="15">
      <c r="A2362" s="120" t="s">
        <v>217</v>
      </c>
      <c r="B2362" s="121">
        <v>21</v>
      </c>
      <c r="C2362" s="121">
        <v>27</v>
      </c>
      <c r="D2362" s="121">
        <v>2</v>
      </c>
      <c r="E2362" s="121">
        <v>268108</v>
      </c>
    </row>
    <row r="2363" spans="1:5" ht="15">
      <c r="A2363" s="120" t="s">
        <v>217</v>
      </c>
      <c r="B2363" s="121">
        <v>21</v>
      </c>
      <c r="C2363" s="121">
        <v>27</v>
      </c>
      <c r="D2363" s="121">
        <v>3</v>
      </c>
      <c r="E2363" s="121">
        <v>184338</v>
      </c>
    </row>
    <row r="2364" spans="1:5" ht="15">
      <c r="A2364" s="120" t="s">
        <v>217</v>
      </c>
      <c r="B2364" s="121">
        <v>21</v>
      </c>
      <c r="C2364" s="121">
        <v>27</v>
      </c>
      <c r="D2364" s="121">
        <v>4</v>
      </c>
      <c r="E2364" s="121">
        <v>191814</v>
      </c>
    </row>
    <row r="2365" spans="1:5" ht="15">
      <c r="A2365" s="120" t="s">
        <v>195</v>
      </c>
      <c r="B2365" s="121">
        <v>24</v>
      </c>
      <c r="C2365" s="121">
        <v>26</v>
      </c>
      <c r="D2365" s="121">
        <v>2</v>
      </c>
      <c r="E2365" s="121">
        <v>352198</v>
      </c>
    </row>
    <row r="2366" spans="1:5" ht="15">
      <c r="A2366" s="120" t="s">
        <v>195</v>
      </c>
      <c r="B2366" s="121">
        <v>24</v>
      </c>
      <c r="C2366" s="121">
        <v>26</v>
      </c>
      <c r="D2366" s="121">
        <v>4</v>
      </c>
      <c r="E2366" s="121">
        <v>103727</v>
      </c>
    </row>
    <row r="2367" spans="1:5" ht="15">
      <c r="A2367" s="120" t="s">
        <v>195</v>
      </c>
      <c r="B2367" s="121">
        <v>24</v>
      </c>
      <c r="C2367" s="121">
        <v>27</v>
      </c>
      <c r="D2367" s="121">
        <v>7</v>
      </c>
      <c r="E2367" s="121">
        <v>45000</v>
      </c>
    </row>
    <row r="2368" spans="1:5" ht="15">
      <c r="A2368" s="120" t="s">
        <v>217</v>
      </c>
      <c r="B2368" s="121">
        <v>24</v>
      </c>
      <c r="C2368" s="121">
        <v>26</v>
      </c>
      <c r="D2368" s="121">
        <v>7</v>
      </c>
      <c r="E2368" s="121">
        <v>60529</v>
      </c>
    </row>
    <row r="2369" spans="1:5" ht="15">
      <c r="A2369" s="120" t="s">
        <v>171</v>
      </c>
      <c r="B2369" s="121">
        <v>21</v>
      </c>
      <c r="C2369" s="121">
        <v>21</v>
      </c>
      <c r="D2369" s="121">
        <v>0</v>
      </c>
      <c r="E2369" s="121">
        <v>50</v>
      </c>
    </row>
    <row r="2370" spans="1:5" ht="15">
      <c r="A2370" s="120" t="s">
        <v>171</v>
      </c>
      <c r="B2370" s="121">
        <v>21</v>
      </c>
      <c r="C2370" s="121">
        <v>21</v>
      </c>
      <c r="D2370" s="121">
        <v>2</v>
      </c>
      <c r="E2370" s="121">
        <v>1902226</v>
      </c>
    </row>
    <row r="2371" spans="1:5" ht="15">
      <c r="A2371" s="120" t="s">
        <v>171</v>
      </c>
      <c r="B2371" s="121">
        <v>21</v>
      </c>
      <c r="C2371" s="121">
        <v>21</v>
      </c>
      <c r="D2371" s="121">
        <v>3</v>
      </c>
      <c r="E2371" s="121">
        <v>397387</v>
      </c>
    </row>
    <row r="2372" spans="1:5" ht="15">
      <c r="A2372" s="120" t="s">
        <v>171</v>
      </c>
      <c r="B2372" s="121">
        <v>21</v>
      </c>
      <c r="C2372" s="121">
        <v>21</v>
      </c>
      <c r="D2372" s="121">
        <v>4</v>
      </c>
      <c r="E2372" s="121">
        <v>666473</v>
      </c>
    </row>
    <row r="2373" spans="1:5" ht="15">
      <c r="A2373" s="120" t="s">
        <v>171</v>
      </c>
      <c r="B2373" s="121">
        <v>21</v>
      </c>
      <c r="C2373" s="121">
        <v>21</v>
      </c>
      <c r="D2373" s="121">
        <v>5</v>
      </c>
      <c r="E2373" s="121">
        <v>2500</v>
      </c>
    </row>
    <row r="2374" spans="1:5" ht="15">
      <c r="A2374" s="120" t="s">
        <v>171</v>
      </c>
      <c r="B2374" s="121">
        <v>21</v>
      </c>
      <c r="C2374" s="121">
        <v>21</v>
      </c>
      <c r="D2374" s="121">
        <v>7</v>
      </c>
      <c r="E2374" s="121">
        <v>4950</v>
      </c>
    </row>
    <row r="2375" spans="1:5" ht="15">
      <c r="A2375" s="120" t="s">
        <v>171</v>
      </c>
      <c r="B2375" s="121">
        <v>21</v>
      </c>
      <c r="C2375" s="121">
        <v>21</v>
      </c>
      <c r="D2375" s="121">
        <v>8</v>
      </c>
      <c r="E2375" s="121">
        <v>2000</v>
      </c>
    </row>
    <row r="2376" spans="1:5" ht="15">
      <c r="A2376" s="120" t="s">
        <v>171</v>
      </c>
      <c r="B2376" s="121">
        <v>21</v>
      </c>
      <c r="C2376" s="121">
        <v>26</v>
      </c>
      <c r="D2376" s="121">
        <v>0</v>
      </c>
      <c r="E2376" s="121">
        <v>1464</v>
      </c>
    </row>
    <row r="2377" spans="1:5" ht="15">
      <c r="A2377" s="120" t="s">
        <v>171</v>
      </c>
      <c r="B2377" s="121">
        <v>21</v>
      </c>
      <c r="C2377" s="121">
        <v>26</v>
      </c>
      <c r="D2377" s="121">
        <v>2</v>
      </c>
      <c r="E2377" s="121">
        <v>11137559</v>
      </c>
    </row>
    <row r="2378" spans="1:5" ht="15">
      <c r="A2378" s="120" t="s">
        <v>171</v>
      </c>
      <c r="B2378" s="121">
        <v>21</v>
      </c>
      <c r="C2378" s="121">
        <v>26</v>
      </c>
      <c r="D2378" s="121">
        <v>3</v>
      </c>
      <c r="E2378" s="121">
        <v>1052742</v>
      </c>
    </row>
    <row r="2379" spans="1:5" ht="15">
      <c r="A2379" s="120" t="s">
        <v>171</v>
      </c>
      <c r="B2379" s="121">
        <v>21</v>
      </c>
      <c r="C2379" s="121">
        <v>26</v>
      </c>
      <c r="D2379" s="121">
        <v>4</v>
      </c>
      <c r="E2379" s="121">
        <v>3944849</v>
      </c>
    </row>
    <row r="2380" spans="1:5" ht="15">
      <c r="A2380" s="120" t="s">
        <v>171</v>
      </c>
      <c r="B2380" s="121">
        <v>21</v>
      </c>
      <c r="C2380" s="121">
        <v>26</v>
      </c>
      <c r="D2380" s="121">
        <v>5</v>
      </c>
      <c r="E2380" s="121">
        <v>133750</v>
      </c>
    </row>
    <row r="2381" spans="1:5" ht="15">
      <c r="A2381" s="120" t="s">
        <v>171</v>
      </c>
      <c r="B2381" s="121">
        <v>21</v>
      </c>
      <c r="C2381" s="121">
        <v>26</v>
      </c>
      <c r="D2381" s="121">
        <v>7</v>
      </c>
      <c r="E2381" s="121">
        <v>63225</v>
      </c>
    </row>
    <row r="2382" spans="1:5" ht="15">
      <c r="A2382" s="120" t="s">
        <v>171</v>
      </c>
      <c r="B2382" s="121">
        <v>21</v>
      </c>
      <c r="C2382" s="121">
        <v>26</v>
      </c>
      <c r="D2382" s="121">
        <v>8</v>
      </c>
      <c r="E2382" s="121">
        <v>11750</v>
      </c>
    </row>
    <row r="2383" spans="1:5" ht="15">
      <c r="A2383" s="120" t="s">
        <v>171</v>
      </c>
      <c r="B2383" s="121">
        <v>21</v>
      </c>
      <c r="C2383" s="121">
        <v>27</v>
      </c>
      <c r="D2383" s="121">
        <v>0</v>
      </c>
      <c r="E2383" s="121">
        <v>15313</v>
      </c>
    </row>
    <row r="2384" spans="1:5" ht="15">
      <c r="A2384" s="120" t="s">
        <v>171</v>
      </c>
      <c r="B2384" s="121">
        <v>21</v>
      </c>
      <c r="C2384" s="121">
        <v>27</v>
      </c>
      <c r="D2384" s="121">
        <v>2</v>
      </c>
      <c r="E2384" s="121">
        <v>12957205</v>
      </c>
    </row>
    <row r="2385" spans="1:5" ht="15">
      <c r="A2385" s="120" t="s">
        <v>171</v>
      </c>
      <c r="B2385" s="121">
        <v>21</v>
      </c>
      <c r="C2385" s="121">
        <v>27</v>
      </c>
      <c r="D2385" s="121">
        <v>3</v>
      </c>
      <c r="E2385" s="121">
        <v>12715108</v>
      </c>
    </row>
    <row r="2386" spans="1:5" ht="15">
      <c r="A2386" s="120" t="s">
        <v>171</v>
      </c>
      <c r="B2386" s="121">
        <v>21</v>
      </c>
      <c r="C2386" s="121">
        <v>27</v>
      </c>
      <c r="D2386" s="121">
        <v>4</v>
      </c>
      <c r="E2386" s="121">
        <v>11939881</v>
      </c>
    </row>
    <row r="2387" spans="1:5" ht="15">
      <c r="A2387" s="120" t="s">
        <v>171</v>
      </c>
      <c r="B2387" s="121">
        <v>21</v>
      </c>
      <c r="C2387" s="121">
        <v>27</v>
      </c>
      <c r="D2387" s="121">
        <v>5</v>
      </c>
      <c r="E2387" s="121">
        <v>86220</v>
      </c>
    </row>
    <row r="2388" spans="1:5" ht="15">
      <c r="A2388" s="120" t="s">
        <v>171</v>
      </c>
      <c r="B2388" s="121">
        <v>21</v>
      </c>
      <c r="C2388" s="121">
        <v>27</v>
      </c>
      <c r="D2388" s="121">
        <v>7</v>
      </c>
      <c r="E2388" s="121">
        <v>6774162</v>
      </c>
    </row>
    <row r="2389" spans="1:5" ht="15">
      <c r="A2389" s="120" t="s">
        <v>171</v>
      </c>
      <c r="B2389" s="121">
        <v>21</v>
      </c>
      <c r="C2389" s="121">
        <v>27</v>
      </c>
      <c r="D2389" s="121">
        <v>8</v>
      </c>
      <c r="E2389" s="121">
        <v>13600</v>
      </c>
    </row>
    <row r="2390" spans="1:5" ht="15">
      <c r="A2390" s="120" t="s">
        <v>171</v>
      </c>
      <c r="B2390" s="121">
        <v>21</v>
      </c>
      <c r="C2390" s="121">
        <v>29</v>
      </c>
      <c r="D2390" s="121">
        <v>7</v>
      </c>
      <c r="E2390" s="121">
        <v>60000</v>
      </c>
    </row>
    <row r="2391" spans="1:5" ht="15">
      <c r="A2391" s="120" t="s">
        <v>171</v>
      </c>
      <c r="B2391" s="121">
        <v>21</v>
      </c>
      <c r="C2391" s="121">
        <v>31</v>
      </c>
      <c r="D2391" s="121">
        <v>2</v>
      </c>
      <c r="E2391" s="121">
        <v>282292</v>
      </c>
    </row>
    <row r="2392" spans="1:5" ht="15">
      <c r="A2392" s="120" t="s">
        <v>171</v>
      </c>
      <c r="B2392" s="121">
        <v>21</v>
      </c>
      <c r="C2392" s="121">
        <v>31</v>
      </c>
      <c r="D2392" s="121">
        <v>3</v>
      </c>
      <c r="E2392" s="121">
        <v>59036</v>
      </c>
    </row>
    <row r="2393" spans="1:5" ht="15">
      <c r="A2393" s="120" t="s">
        <v>171</v>
      </c>
      <c r="B2393" s="121">
        <v>21</v>
      </c>
      <c r="C2393" s="121">
        <v>31</v>
      </c>
      <c r="D2393" s="121">
        <v>4</v>
      </c>
      <c r="E2393" s="121">
        <v>72032</v>
      </c>
    </row>
    <row r="2394" spans="1:5" ht="15">
      <c r="A2394" s="120" t="s">
        <v>171</v>
      </c>
      <c r="B2394" s="121">
        <v>21</v>
      </c>
      <c r="C2394" s="121">
        <v>31</v>
      </c>
      <c r="D2394" s="121">
        <v>5</v>
      </c>
      <c r="E2394" s="121">
        <v>8000</v>
      </c>
    </row>
    <row r="2395" spans="1:5" ht="15">
      <c r="A2395" s="120" t="s">
        <v>171</v>
      </c>
      <c r="B2395" s="121">
        <v>21</v>
      </c>
      <c r="C2395" s="121">
        <v>31</v>
      </c>
      <c r="D2395" s="121">
        <v>7</v>
      </c>
      <c r="E2395" s="121">
        <v>32050</v>
      </c>
    </row>
    <row r="2396" spans="1:5" ht="15">
      <c r="A2396" s="120" t="s">
        <v>171</v>
      </c>
      <c r="B2396" s="121">
        <v>21</v>
      </c>
      <c r="C2396" s="121">
        <v>31</v>
      </c>
      <c r="D2396" s="121">
        <v>8</v>
      </c>
      <c r="E2396" s="121">
        <v>4100</v>
      </c>
    </row>
    <row r="2397" spans="1:5" ht="15">
      <c r="A2397" s="120" t="s">
        <v>171</v>
      </c>
      <c r="B2397" s="121">
        <v>21</v>
      </c>
      <c r="C2397" s="121">
        <v>32</v>
      </c>
      <c r="D2397" s="121">
        <v>5</v>
      </c>
      <c r="E2397" s="121">
        <v>11900</v>
      </c>
    </row>
    <row r="2398" spans="1:5" ht="15">
      <c r="A2398" s="120" t="s">
        <v>171</v>
      </c>
      <c r="B2398" s="121">
        <v>21</v>
      </c>
      <c r="C2398" s="121">
        <v>33</v>
      </c>
      <c r="D2398" s="121">
        <v>5</v>
      </c>
      <c r="E2398" s="121">
        <v>35000</v>
      </c>
    </row>
    <row r="2399" spans="1:5" ht="15">
      <c r="A2399" s="120" t="s">
        <v>171</v>
      </c>
      <c r="B2399" s="121">
        <v>21</v>
      </c>
      <c r="C2399" s="121">
        <v>33</v>
      </c>
      <c r="D2399" s="121">
        <v>7</v>
      </c>
      <c r="E2399" s="121">
        <v>45500</v>
      </c>
    </row>
    <row r="2400" spans="1:5" ht="15">
      <c r="A2400" s="120" t="s">
        <v>171</v>
      </c>
      <c r="B2400" s="121">
        <v>21</v>
      </c>
      <c r="C2400" s="121">
        <v>34</v>
      </c>
      <c r="D2400" s="121">
        <v>2</v>
      </c>
      <c r="E2400" s="121">
        <v>681000</v>
      </c>
    </row>
    <row r="2401" spans="1:5" ht="15">
      <c r="A2401" s="120" t="s">
        <v>171</v>
      </c>
      <c r="B2401" s="121">
        <v>21</v>
      </c>
      <c r="C2401" s="121">
        <v>34</v>
      </c>
      <c r="D2401" s="121">
        <v>4</v>
      </c>
      <c r="E2401" s="121">
        <v>112380</v>
      </c>
    </row>
    <row r="2402" spans="1:5" ht="15">
      <c r="A2402" s="120" t="s">
        <v>171</v>
      </c>
      <c r="B2402" s="121">
        <v>24</v>
      </c>
      <c r="C2402" s="121">
        <v>21</v>
      </c>
      <c r="D2402" s="121">
        <v>2</v>
      </c>
      <c r="E2402" s="121">
        <v>58029</v>
      </c>
    </row>
    <row r="2403" spans="1:5" ht="15">
      <c r="A2403" s="120" t="s">
        <v>171</v>
      </c>
      <c r="B2403" s="121">
        <v>24</v>
      </c>
      <c r="C2403" s="121">
        <v>21</v>
      </c>
      <c r="D2403" s="121">
        <v>4</v>
      </c>
      <c r="E2403" s="121">
        <v>17348</v>
      </c>
    </row>
    <row r="2404" spans="1:5" ht="15">
      <c r="A2404" s="120" t="s">
        <v>171</v>
      </c>
      <c r="B2404" s="121">
        <v>24</v>
      </c>
      <c r="C2404" s="121">
        <v>27</v>
      </c>
      <c r="D2404" s="121">
        <v>2</v>
      </c>
      <c r="E2404" s="121">
        <v>3704590</v>
      </c>
    </row>
    <row r="2405" spans="1:5" ht="15">
      <c r="A2405" s="120" t="s">
        <v>171</v>
      </c>
      <c r="B2405" s="121">
        <v>24</v>
      </c>
      <c r="C2405" s="121">
        <v>27</v>
      </c>
      <c r="D2405" s="121">
        <v>3</v>
      </c>
      <c r="E2405" s="121">
        <v>2000</v>
      </c>
    </row>
    <row r="2406" spans="1:5" ht="15">
      <c r="A2406" s="120" t="s">
        <v>171</v>
      </c>
      <c r="B2406" s="121">
        <v>24</v>
      </c>
      <c r="C2406" s="121">
        <v>27</v>
      </c>
      <c r="D2406" s="121">
        <v>4</v>
      </c>
      <c r="E2406" s="121">
        <v>1198876</v>
      </c>
    </row>
    <row r="2407" spans="1:5" ht="15">
      <c r="A2407" s="120" t="s">
        <v>171</v>
      </c>
      <c r="B2407" s="121">
        <v>24</v>
      </c>
      <c r="C2407" s="121">
        <v>31</v>
      </c>
      <c r="D2407" s="121">
        <v>2</v>
      </c>
      <c r="E2407" s="121">
        <v>112039</v>
      </c>
    </row>
    <row r="2408" spans="1:5" ht="15">
      <c r="A2408" s="120" t="s">
        <v>171</v>
      </c>
      <c r="B2408" s="121">
        <v>24</v>
      </c>
      <c r="C2408" s="121">
        <v>31</v>
      </c>
      <c r="D2408" s="121">
        <v>4</v>
      </c>
      <c r="E2408" s="121">
        <v>18517</v>
      </c>
    </row>
    <row r="2409" spans="1:5" ht="15">
      <c r="A2409" s="120" t="s">
        <v>289</v>
      </c>
      <c r="B2409" s="121">
        <v>21</v>
      </c>
      <c r="C2409" s="121">
        <v>27</v>
      </c>
      <c r="D2409" s="121">
        <v>7</v>
      </c>
      <c r="E2409" s="121">
        <v>1122141</v>
      </c>
    </row>
    <row r="2410" spans="1:5" ht="15">
      <c r="A2410" s="120" t="s">
        <v>235</v>
      </c>
      <c r="B2410" s="121">
        <v>21</v>
      </c>
      <c r="C2410" s="121">
        <v>27</v>
      </c>
      <c r="D2410" s="121">
        <v>2</v>
      </c>
      <c r="E2410" s="121">
        <v>42724</v>
      </c>
    </row>
    <row r="2411" spans="1:5" ht="15">
      <c r="A2411" s="120" t="s">
        <v>235</v>
      </c>
      <c r="B2411" s="121">
        <v>21</v>
      </c>
      <c r="C2411" s="121">
        <v>27</v>
      </c>
      <c r="D2411" s="121">
        <v>3</v>
      </c>
      <c r="E2411" s="121">
        <v>22420</v>
      </c>
    </row>
    <row r="2412" spans="1:5" ht="15">
      <c r="A2412" s="120" t="s">
        <v>235</v>
      </c>
      <c r="B2412" s="121">
        <v>21</v>
      </c>
      <c r="C2412" s="121">
        <v>27</v>
      </c>
      <c r="D2412" s="121">
        <v>4</v>
      </c>
      <c r="E2412" s="121">
        <v>26935</v>
      </c>
    </row>
    <row r="2413" spans="1:5" ht="15">
      <c r="A2413" s="120" t="s">
        <v>235</v>
      </c>
      <c r="B2413" s="121">
        <v>21</v>
      </c>
      <c r="C2413" s="121">
        <v>27</v>
      </c>
      <c r="D2413" s="121">
        <v>5</v>
      </c>
      <c r="E2413" s="121">
        <v>1000</v>
      </c>
    </row>
    <row r="2414" spans="1:5" ht="15">
      <c r="A2414" s="120" t="s">
        <v>235</v>
      </c>
      <c r="B2414" s="121">
        <v>24</v>
      </c>
      <c r="C2414" s="121">
        <v>27</v>
      </c>
      <c r="D2414" s="121">
        <v>7</v>
      </c>
      <c r="E2414" s="121">
        <v>10000</v>
      </c>
    </row>
    <row r="2415" spans="1:5" ht="15">
      <c r="A2415" s="120" t="s">
        <v>235</v>
      </c>
      <c r="B2415" s="121">
        <v>29</v>
      </c>
      <c r="C2415" s="121">
        <v>26</v>
      </c>
      <c r="D2415" s="121">
        <v>7</v>
      </c>
      <c r="E2415" s="121">
        <v>5000</v>
      </c>
    </row>
    <row r="2416" spans="1:5" ht="15">
      <c r="A2416" s="120" t="s">
        <v>235</v>
      </c>
      <c r="B2416" s="121">
        <v>29</v>
      </c>
      <c r="C2416" s="121">
        <v>29</v>
      </c>
      <c r="D2416" s="121">
        <v>7</v>
      </c>
      <c r="E2416" s="121">
        <v>1377</v>
      </c>
    </row>
    <row r="2417" spans="1:5" ht="15">
      <c r="A2417" s="120" t="s">
        <v>267</v>
      </c>
      <c r="B2417" s="121">
        <v>21</v>
      </c>
      <c r="C2417" s="121">
        <v>26</v>
      </c>
      <c r="D2417" s="121">
        <v>7</v>
      </c>
      <c r="E2417" s="121">
        <v>14000</v>
      </c>
    </row>
    <row r="2418" spans="1:5" ht="15">
      <c r="A2418" s="120" t="s">
        <v>267</v>
      </c>
      <c r="B2418" s="121">
        <v>21</v>
      </c>
      <c r="C2418" s="121">
        <v>26</v>
      </c>
      <c r="D2418" s="121">
        <v>8</v>
      </c>
      <c r="E2418" s="121">
        <v>500</v>
      </c>
    </row>
    <row r="2419" spans="1:5" ht="15">
      <c r="A2419" s="120" t="s">
        <v>267</v>
      </c>
      <c r="B2419" s="121">
        <v>21</v>
      </c>
      <c r="C2419" s="121">
        <v>27</v>
      </c>
      <c r="D2419" s="121">
        <v>2</v>
      </c>
      <c r="E2419" s="121">
        <v>64552</v>
      </c>
    </row>
    <row r="2420" spans="1:5" ht="15">
      <c r="A2420" s="120" t="s">
        <v>267</v>
      </c>
      <c r="B2420" s="121">
        <v>21</v>
      </c>
      <c r="C2420" s="121">
        <v>27</v>
      </c>
      <c r="D2420" s="121">
        <v>3</v>
      </c>
      <c r="E2420" s="121">
        <v>10530</v>
      </c>
    </row>
    <row r="2421" spans="1:5" ht="15">
      <c r="A2421" s="120" t="s">
        <v>267</v>
      </c>
      <c r="B2421" s="121">
        <v>21</v>
      </c>
      <c r="C2421" s="121">
        <v>27</v>
      </c>
      <c r="D2421" s="121">
        <v>4</v>
      </c>
      <c r="E2421" s="121">
        <v>24282</v>
      </c>
    </row>
    <row r="2422" spans="1:5" ht="15">
      <c r="A2422" s="120" t="s">
        <v>267</v>
      </c>
      <c r="B2422" s="121">
        <v>21</v>
      </c>
      <c r="C2422" s="121">
        <v>27</v>
      </c>
      <c r="D2422" s="121">
        <v>5</v>
      </c>
      <c r="E2422" s="121">
        <v>800</v>
      </c>
    </row>
    <row r="2423" spans="1:5" ht="15">
      <c r="A2423" s="120" t="s">
        <v>267</v>
      </c>
      <c r="B2423" s="121">
        <v>21</v>
      </c>
      <c r="C2423" s="121">
        <v>27</v>
      </c>
      <c r="D2423" s="121">
        <v>7</v>
      </c>
      <c r="E2423" s="121">
        <v>335</v>
      </c>
    </row>
    <row r="2424" spans="1:5" ht="15">
      <c r="A2424" s="120" t="s">
        <v>197</v>
      </c>
      <c r="B2424" s="121">
        <v>21</v>
      </c>
      <c r="C2424" s="121">
        <v>27</v>
      </c>
      <c r="D2424" s="121">
        <v>2</v>
      </c>
      <c r="E2424" s="121">
        <v>170239</v>
      </c>
    </row>
    <row r="2425" spans="1:5" ht="15">
      <c r="A2425" s="120" t="s">
        <v>197</v>
      </c>
      <c r="B2425" s="121">
        <v>21</v>
      </c>
      <c r="C2425" s="121">
        <v>27</v>
      </c>
      <c r="D2425" s="121">
        <v>3</v>
      </c>
      <c r="E2425" s="121">
        <v>142748</v>
      </c>
    </row>
    <row r="2426" spans="1:5" ht="15">
      <c r="A2426" s="120" t="s">
        <v>197</v>
      </c>
      <c r="B2426" s="121">
        <v>21</v>
      </c>
      <c r="C2426" s="121">
        <v>27</v>
      </c>
      <c r="D2426" s="121">
        <v>4</v>
      </c>
      <c r="E2426" s="121">
        <v>140076</v>
      </c>
    </row>
    <row r="2427" spans="1:5" ht="15">
      <c r="A2427" s="120" t="s">
        <v>197</v>
      </c>
      <c r="B2427" s="121">
        <v>21</v>
      </c>
      <c r="C2427" s="121">
        <v>29</v>
      </c>
      <c r="D2427" s="121">
        <v>7</v>
      </c>
      <c r="E2427" s="121">
        <v>170000</v>
      </c>
    </row>
    <row r="2428" spans="1:5" ht="15">
      <c r="A2428" s="120" t="s">
        <v>197</v>
      </c>
      <c r="B2428" s="121">
        <v>21</v>
      </c>
      <c r="C2428" s="121">
        <v>34</v>
      </c>
      <c r="D2428" s="121">
        <v>2</v>
      </c>
      <c r="E2428" s="121">
        <v>3783</v>
      </c>
    </row>
    <row r="2429" spans="1:5" ht="15">
      <c r="A2429" s="120" t="s">
        <v>197</v>
      </c>
      <c r="B2429" s="121">
        <v>21</v>
      </c>
      <c r="C2429" s="121">
        <v>34</v>
      </c>
      <c r="D2429" s="121">
        <v>4</v>
      </c>
      <c r="E2429" s="121">
        <v>587</v>
      </c>
    </row>
    <row r="2430" spans="1:5" ht="15">
      <c r="A2430" s="120" t="s">
        <v>267</v>
      </c>
      <c r="B2430" s="121">
        <v>24</v>
      </c>
      <c r="C2430" s="121">
        <v>26</v>
      </c>
      <c r="D2430" s="121">
        <v>7</v>
      </c>
      <c r="E2430" s="121">
        <v>5300</v>
      </c>
    </row>
    <row r="2431" spans="1:5" ht="15">
      <c r="A2431" s="120" t="s">
        <v>197</v>
      </c>
      <c r="B2431" s="121">
        <v>24</v>
      </c>
      <c r="C2431" s="121">
        <v>29</v>
      </c>
      <c r="D2431" s="121">
        <v>7</v>
      </c>
      <c r="E2431" s="121">
        <v>50000</v>
      </c>
    </row>
    <row r="2432" spans="1:5" ht="15">
      <c r="A2432" s="120" t="s">
        <v>219</v>
      </c>
      <c r="B2432" s="121">
        <v>21</v>
      </c>
      <c r="C2432" s="121">
        <v>26</v>
      </c>
      <c r="D2432" s="121">
        <v>7</v>
      </c>
      <c r="E2432" s="121">
        <v>760222</v>
      </c>
    </row>
    <row r="2433" spans="1:5" ht="15">
      <c r="A2433" s="120" t="s">
        <v>219</v>
      </c>
      <c r="B2433" s="121">
        <v>21</v>
      </c>
      <c r="C2433" s="121">
        <v>27</v>
      </c>
      <c r="D2433" s="121">
        <v>2</v>
      </c>
      <c r="E2433" s="121">
        <v>277515</v>
      </c>
    </row>
    <row r="2434" spans="1:5" ht="15">
      <c r="A2434" s="120" t="s">
        <v>219</v>
      </c>
      <c r="B2434" s="121">
        <v>21</v>
      </c>
      <c r="C2434" s="121">
        <v>27</v>
      </c>
      <c r="D2434" s="121">
        <v>3</v>
      </c>
      <c r="E2434" s="121">
        <v>248306</v>
      </c>
    </row>
    <row r="2435" spans="1:5" ht="15">
      <c r="A2435" s="120" t="s">
        <v>219</v>
      </c>
      <c r="B2435" s="121">
        <v>21</v>
      </c>
      <c r="C2435" s="121">
        <v>27</v>
      </c>
      <c r="D2435" s="121">
        <v>4</v>
      </c>
      <c r="E2435" s="121">
        <v>157747</v>
      </c>
    </row>
    <row r="2436" spans="1:5" ht="15">
      <c r="A2436" s="120" t="s">
        <v>219</v>
      </c>
      <c r="B2436" s="121">
        <v>21</v>
      </c>
      <c r="C2436" s="121">
        <v>27</v>
      </c>
      <c r="D2436" s="121">
        <v>5</v>
      </c>
      <c r="E2436" s="121">
        <v>10614</v>
      </c>
    </row>
    <row r="2437" spans="1:5" ht="15">
      <c r="A2437" s="120" t="s">
        <v>219</v>
      </c>
      <c r="B2437" s="121">
        <v>24</v>
      </c>
      <c r="C2437" s="121">
        <v>27</v>
      </c>
      <c r="D2437" s="121">
        <v>3</v>
      </c>
      <c r="E2437" s="121">
        <v>70304</v>
      </c>
    </row>
    <row r="2438" spans="1:5" ht="15">
      <c r="A2438" s="120" t="s">
        <v>219</v>
      </c>
      <c r="B2438" s="121">
        <v>24</v>
      </c>
      <c r="C2438" s="121">
        <v>27</v>
      </c>
      <c r="D2438" s="121">
        <v>4</v>
      </c>
      <c r="E2438" s="121">
        <v>21091</v>
      </c>
    </row>
    <row r="2439" spans="1:5" ht="15">
      <c r="A2439" s="120" t="s">
        <v>237</v>
      </c>
      <c r="B2439" s="121">
        <v>21</v>
      </c>
      <c r="C2439" s="121">
        <v>21</v>
      </c>
      <c r="D2439" s="121">
        <v>0</v>
      </c>
      <c r="E2439" s="121">
        <v>1650</v>
      </c>
    </row>
    <row r="2440" spans="1:5" ht="15">
      <c r="A2440" s="120" t="s">
        <v>237</v>
      </c>
      <c r="B2440" s="121">
        <v>21</v>
      </c>
      <c r="C2440" s="121">
        <v>21</v>
      </c>
      <c r="D2440" s="121">
        <v>2</v>
      </c>
      <c r="E2440" s="121">
        <v>347710</v>
      </c>
    </row>
    <row r="2441" spans="1:5" ht="15">
      <c r="A2441" s="120" t="s">
        <v>237</v>
      </c>
      <c r="B2441" s="121">
        <v>21</v>
      </c>
      <c r="C2441" s="121">
        <v>21</v>
      </c>
      <c r="D2441" s="121">
        <v>3</v>
      </c>
      <c r="E2441" s="121">
        <v>135330</v>
      </c>
    </row>
    <row r="2442" spans="1:5" ht="15">
      <c r="A2442" s="120" t="s">
        <v>237</v>
      </c>
      <c r="B2442" s="121">
        <v>21</v>
      </c>
      <c r="C2442" s="121">
        <v>21</v>
      </c>
      <c r="D2442" s="121">
        <v>4</v>
      </c>
      <c r="E2442" s="121">
        <v>136243</v>
      </c>
    </row>
    <row r="2443" spans="1:5" ht="15">
      <c r="A2443" s="120" t="s">
        <v>237</v>
      </c>
      <c r="B2443" s="121">
        <v>21</v>
      </c>
      <c r="C2443" s="121">
        <v>21</v>
      </c>
      <c r="D2443" s="121">
        <v>5</v>
      </c>
      <c r="E2443" s="121">
        <v>3500</v>
      </c>
    </row>
    <row r="2444" spans="1:5" ht="15">
      <c r="A2444" s="120" t="s">
        <v>237</v>
      </c>
      <c r="B2444" s="121">
        <v>21</v>
      </c>
      <c r="C2444" s="121">
        <v>21</v>
      </c>
      <c r="D2444" s="121">
        <v>7</v>
      </c>
      <c r="E2444" s="121">
        <v>15710</v>
      </c>
    </row>
    <row r="2445" spans="1:5" ht="15">
      <c r="A2445" s="120" t="s">
        <v>237</v>
      </c>
      <c r="B2445" s="121">
        <v>21</v>
      </c>
      <c r="C2445" s="121">
        <v>21</v>
      </c>
      <c r="D2445" s="121">
        <v>8</v>
      </c>
      <c r="E2445" s="121">
        <v>3000</v>
      </c>
    </row>
    <row r="2446" spans="1:5" ht="15">
      <c r="A2446" s="120" t="s">
        <v>237</v>
      </c>
      <c r="B2446" s="121">
        <v>21</v>
      </c>
      <c r="C2446" s="121">
        <v>25</v>
      </c>
      <c r="D2446" s="121">
        <v>3</v>
      </c>
      <c r="E2446" s="121">
        <v>17720</v>
      </c>
    </row>
    <row r="2447" spans="1:5" ht="15">
      <c r="A2447" s="120" t="s">
        <v>237</v>
      </c>
      <c r="B2447" s="121">
        <v>21</v>
      </c>
      <c r="C2447" s="121">
        <v>25</v>
      </c>
      <c r="D2447" s="121">
        <v>4</v>
      </c>
      <c r="E2447" s="121">
        <v>12068</v>
      </c>
    </row>
    <row r="2448" spans="1:5" ht="15">
      <c r="A2448" s="120" t="s">
        <v>237</v>
      </c>
      <c r="B2448" s="121">
        <v>21</v>
      </c>
      <c r="C2448" s="121">
        <v>26</v>
      </c>
      <c r="D2448" s="121">
        <v>2</v>
      </c>
      <c r="E2448" s="121">
        <v>1170385</v>
      </c>
    </row>
    <row r="2449" spans="1:5" ht="15">
      <c r="A2449" s="120" t="s">
        <v>237</v>
      </c>
      <c r="B2449" s="121">
        <v>21</v>
      </c>
      <c r="C2449" s="121">
        <v>26</v>
      </c>
      <c r="D2449" s="121">
        <v>3</v>
      </c>
      <c r="E2449" s="121">
        <v>131696</v>
      </c>
    </row>
    <row r="2450" spans="1:5" ht="15">
      <c r="A2450" s="120" t="s">
        <v>237</v>
      </c>
      <c r="B2450" s="121">
        <v>21</v>
      </c>
      <c r="C2450" s="121">
        <v>26</v>
      </c>
      <c r="D2450" s="121">
        <v>4</v>
      </c>
      <c r="E2450" s="121">
        <v>482646</v>
      </c>
    </row>
    <row r="2451" spans="1:5" ht="15">
      <c r="A2451" s="120" t="s">
        <v>237</v>
      </c>
      <c r="B2451" s="121">
        <v>21</v>
      </c>
      <c r="C2451" s="121">
        <v>26</v>
      </c>
      <c r="D2451" s="121">
        <v>5</v>
      </c>
      <c r="E2451" s="121">
        <v>23000</v>
      </c>
    </row>
    <row r="2452" spans="1:5" ht="15">
      <c r="A2452" s="120" t="s">
        <v>237</v>
      </c>
      <c r="B2452" s="121">
        <v>21</v>
      </c>
      <c r="C2452" s="121">
        <v>26</v>
      </c>
      <c r="D2452" s="121">
        <v>7</v>
      </c>
      <c r="E2452" s="121">
        <v>1725155</v>
      </c>
    </row>
    <row r="2453" spans="1:5" ht="15">
      <c r="A2453" s="120" t="s">
        <v>237</v>
      </c>
      <c r="B2453" s="121">
        <v>21</v>
      </c>
      <c r="C2453" s="121">
        <v>26</v>
      </c>
      <c r="D2453" s="121">
        <v>8</v>
      </c>
      <c r="E2453" s="121">
        <v>11000</v>
      </c>
    </row>
    <row r="2454" spans="1:5" ht="15">
      <c r="A2454" s="120" t="s">
        <v>237</v>
      </c>
      <c r="B2454" s="121">
        <v>21</v>
      </c>
      <c r="C2454" s="121">
        <v>27</v>
      </c>
      <c r="D2454" s="121">
        <v>0</v>
      </c>
      <c r="E2454" s="121">
        <v>1700</v>
      </c>
    </row>
    <row r="2455" spans="1:5" ht="15">
      <c r="A2455" s="120" t="s">
        <v>237</v>
      </c>
      <c r="B2455" s="121">
        <v>21</v>
      </c>
      <c r="C2455" s="121">
        <v>27</v>
      </c>
      <c r="D2455" s="121">
        <v>2</v>
      </c>
      <c r="E2455" s="121">
        <v>2528401</v>
      </c>
    </row>
    <row r="2456" spans="1:5" ht="15">
      <c r="A2456" s="120" t="s">
        <v>237</v>
      </c>
      <c r="B2456" s="121">
        <v>21</v>
      </c>
      <c r="C2456" s="121">
        <v>27</v>
      </c>
      <c r="D2456" s="121">
        <v>3</v>
      </c>
      <c r="E2456" s="121">
        <v>2546716</v>
      </c>
    </row>
    <row r="2457" spans="1:5" ht="15">
      <c r="A2457" s="120" t="s">
        <v>237</v>
      </c>
      <c r="B2457" s="121">
        <v>21</v>
      </c>
      <c r="C2457" s="121">
        <v>27</v>
      </c>
      <c r="D2457" s="121">
        <v>4</v>
      </c>
      <c r="E2457" s="121">
        <v>2608219</v>
      </c>
    </row>
    <row r="2458" spans="1:5" ht="15">
      <c r="A2458" s="120" t="s">
        <v>237</v>
      </c>
      <c r="B2458" s="121">
        <v>21</v>
      </c>
      <c r="C2458" s="121">
        <v>27</v>
      </c>
      <c r="D2458" s="121">
        <v>5</v>
      </c>
      <c r="E2458" s="121">
        <v>20400</v>
      </c>
    </row>
    <row r="2459" spans="1:5" ht="15">
      <c r="A2459" s="120" t="s">
        <v>237</v>
      </c>
      <c r="B2459" s="121">
        <v>21</v>
      </c>
      <c r="C2459" s="121">
        <v>27</v>
      </c>
      <c r="D2459" s="121">
        <v>7</v>
      </c>
      <c r="E2459" s="121">
        <v>1854000</v>
      </c>
    </row>
    <row r="2460" spans="1:5" ht="15">
      <c r="A2460" s="120" t="s">
        <v>237</v>
      </c>
      <c r="B2460" s="121">
        <v>21</v>
      </c>
      <c r="C2460" s="121">
        <v>27</v>
      </c>
      <c r="D2460" s="121">
        <v>8</v>
      </c>
      <c r="E2460" s="121">
        <v>1500</v>
      </c>
    </row>
    <row r="2461" spans="1:5" ht="15">
      <c r="A2461" s="120" t="s">
        <v>237</v>
      </c>
      <c r="B2461" s="121">
        <v>21</v>
      </c>
      <c r="C2461" s="121">
        <v>31</v>
      </c>
      <c r="D2461" s="121">
        <v>2</v>
      </c>
      <c r="E2461" s="121">
        <v>5000</v>
      </c>
    </row>
    <row r="2462" spans="1:5" ht="15">
      <c r="A2462" s="120" t="s">
        <v>237</v>
      </c>
      <c r="B2462" s="121">
        <v>21</v>
      </c>
      <c r="C2462" s="121">
        <v>31</v>
      </c>
      <c r="D2462" s="121">
        <v>3</v>
      </c>
      <c r="E2462" s="121">
        <v>4000</v>
      </c>
    </row>
    <row r="2463" spans="1:5" ht="15">
      <c r="A2463" s="120" t="s">
        <v>237</v>
      </c>
      <c r="B2463" s="121">
        <v>21</v>
      </c>
      <c r="C2463" s="121">
        <v>31</v>
      </c>
      <c r="D2463" s="121">
        <v>4</v>
      </c>
      <c r="E2463" s="121">
        <v>1281</v>
      </c>
    </row>
    <row r="2464" spans="1:5" ht="15">
      <c r="A2464" s="120" t="s">
        <v>237</v>
      </c>
      <c r="B2464" s="121">
        <v>21</v>
      </c>
      <c r="C2464" s="121">
        <v>31</v>
      </c>
      <c r="D2464" s="121">
        <v>5</v>
      </c>
      <c r="E2464" s="121">
        <v>1000</v>
      </c>
    </row>
    <row r="2465" spans="1:5" ht="15">
      <c r="A2465" s="120" t="s">
        <v>237</v>
      </c>
      <c r="B2465" s="121">
        <v>21</v>
      </c>
      <c r="C2465" s="121">
        <v>31</v>
      </c>
      <c r="D2465" s="121">
        <v>7</v>
      </c>
      <c r="E2465" s="121">
        <v>5800</v>
      </c>
    </row>
    <row r="2466" spans="1:5" ht="15">
      <c r="A2466" s="120" t="s">
        <v>237</v>
      </c>
      <c r="B2466" s="121">
        <v>21</v>
      </c>
      <c r="C2466" s="121">
        <v>31</v>
      </c>
      <c r="D2466" s="121">
        <v>8</v>
      </c>
      <c r="E2466" s="121">
        <v>1000</v>
      </c>
    </row>
    <row r="2467" spans="1:5" ht="15">
      <c r="A2467" s="120" t="s">
        <v>237</v>
      </c>
      <c r="B2467" s="121">
        <v>21</v>
      </c>
      <c r="C2467" s="121">
        <v>32</v>
      </c>
      <c r="D2467" s="121">
        <v>5</v>
      </c>
      <c r="E2467" s="121">
        <v>500</v>
      </c>
    </row>
    <row r="2468" spans="1:5" ht="15">
      <c r="A2468" s="120" t="s">
        <v>237</v>
      </c>
      <c r="B2468" s="121">
        <v>21</v>
      </c>
      <c r="C2468" s="121">
        <v>33</v>
      </c>
      <c r="D2468" s="121">
        <v>5</v>
      </c>
      <c r="E2468" s="121">
        <v>5000</v>
      </c>
    </row>
    <row r="2469" spans="1:5" ht="15">
      <c r="A2469" s="120" t="s">
        <v>237</v>
      </c>
      <c r="B2469" s="121">
        <v>21</v>
      </c>
      <c r="C2469" s="121">
        <v>33</v>
      </c>
      <c r="D2469" s="121">
        <v>7</v>
      </c>
      <c r="E2469" s="121">
        <v>25000</v>
      </c>
    </row>
    <row r="2470" spans="1:5" ht="15">
      <c r="A2470" s="120" t="s">
        <v>237</v>
      </c>
      <c r="B2470" s="121">
        <v>21</v>
      </c>
      <c r="C2470" s="121">
        <v>34</v>
      </c>
      <c r="D2470" s="121">
        <v>2</v>
      </c>
      <c r="E2470" s="121">
        <v>68755</v>
      </c>
    </row>
    <row r="2471" spans="1:5" ht="15">
      <c r="A2471" s="120" t="s">
        <v>237</v>
      </c>
      <c r="B2471" s="121">
        <v>21</v>
      </c>
      <c r="C2471" s="121">
        <v>34</v>
      </c>
      <c r="D2471" s="121">
        <v>4</v>
      </c>
      <c r="E2471" s="121">
        <v>23243</v>
      </c>
    </row>
    <row r="2472" spans="1:5" ht="15">
      <c r="A2472" s="120" t="s">
        <v>291</v>
      </c>
      <c r="B2472" s="121">
        <v>21</v>
      </c>
      <c r="C2472" s="121">
        <v>23</v>
      </c>
      <c r="D2472" s="121">
        <v>7</v>
      </c>
      <c r="E2472" s="121">
        <v>2500</v>
      </c>
    </row>
    <row r="2473" spans="1:5" ht="15">
      <c r="A2473" s="120" t="s">
        <v>291</v>
      </c>
      <c r="B2473" s="121">
        <v>21</v>
      </c>
      <c r="C2473" s="121">
        <v>23</v>
      </c>
      <c r="D2473" s="121">
        <v>8</v>
      </c>
      <c r="E2473" s="121">
        <v>500</v>
      </c>
    </row>
    <row r="2474" spans="1:5" ht="15">
      <c r="A2474" s="120" t="s">
        <v>291</v>
      </c>
      <c r="B2474" s="121">
        <v>21</v>
      </c>
      <c r="C2474" s="121">
        <v>26</v>
      </c>
      <c r="D2474" s="121">
        <v>7</v>
      </c>
      <c r="E2474" s="121">
        <v>5200</v>
      </c>
    </row>
    <row r="2475" spans="1:5" ht="15">
      <c r="A2475" s="120" t="s">
        <v>291</v>
      </c>
      <c r="B2475" s="121">
        <v>21</v>
      </c>
      <c r="C2475" s="121">
        <v>27</v>
      </c>
      <c r="D2475" s="121">
        <v>2</v>
      </c>
      <c r="E2475" s="121">
        <v>195442</v>
      </c>
    </row>
    <row r="2476" spans="1:5" ht="15">
      <c r="A2476" s="120" t="s">
        <v>291</v>
      </c>
      <c r="B2476" s="121">
        <v>21</v>
      </c>
      <c r="C2476" s="121">
        <v>27</v>
      </c>
      <c r="D2476" s="121">
        <v>3</v>
      </c>
      <c r="E2476" s="121">
        <v>130717</v>
      </c>
    </row>
    <row r="2477" spans="1:5" ht="15">
      <c r="A2477" s="120" t="s">
        <v>291</v>
      </c>
      <c r="B2477" s="121">
        <v>21</v>
      </c>
      <c r="C2477" s="121">
        <v>27</v>
      </c>
      <c r="D2477" s="121">
        <v>4</v>
      </c>
      <c r="E2477" s="121">
        <v>155736</v>
      </c>
    </row>
    <row r="2478" spans="1:5" ht="15">
      <c r="A2478" s="120" t="s">
        <v>291</v>
      </c>
      <c r="B2478" s="121">
        <v>21</v>
      </c>
      <c r="C2478" s="121">
        <v>27</v>
      </c>
      <c r="D2478" s="121">
        <v>5</v>
      </c>
      <c r="E2478" s="121">
        <v>1001</v>
      </c>
    </row>
    <row r="2479" spans="1:5" ht="15">
      <c r="A2479" s="120" t="s">
        <v>291</v>
      </c>
      <c r="B2479" s="121">
        <v>21</v>
      </c>
      <c r="C2479" s="121">
        <v>27</v>
      </c>
      <c r="D2479" s="121">
        <v>7</v>
      </c>
      <c r="E2479" s="121">
        <v>1389768</v>
      </c>
    </row>
    <row r="2480" spans="1:5" ht="15">
      <c r="A2480" s="120" t="s">
        <v>291</v>
      </c>
      <c r="B2480" s="121">
        <v>21</v>
      </c>
      <c r="C2480" s="121">
        <v>29</v>
      </c>
      <c r="D2480" s="121">
        <v>7</v>
      </c>
      <c r="E2480" s="121">
        <v>85000</v>
      </c>
    </row>
    <row r="2481" spans="1:5" ht="15">
      <c r="A2481" s="120" t="s">
        <v>291</v>
      </c>
      <c r="B2481" s="121">
        <v>21</v>
      </c>
      <c r="C2481" s="121">
        <v>31</v>
      </c>
      <c r="D2481" s="121">
        <v>2</v>
      </c>
      <c r="E2481" s="121">
        <v>1685</v>
      </c>
    </row>
    <row r="2482" spans="1:5" ht="15">
      <c r="A2482" s="120" t="s">
        <v>291</v>
      </c>
      <c r="B2482" s="121">
        <v>21</v>
      </c>
      <c r="C2482" s="121">
        <v>31</v>
      </c>
      <c r="D2482" s="121">
        <v>4</v>
      </c>
      <c r="E2482" s="121">
        <v>299</v>
      </c>
    </row>
    <row r="2483" spans="1:5" ht="15">
      <c r="A2483" s="120" t="s">
        <v>291</v>
      </c>
      <c r="B2483" s="121">
        <v>21</v>
      </c>
      <c r="C2483" s="121">
        <v>31</v>
      </c>
      <c r="D2483" s="121">
        <v>7</v>
      </c>
      <c r="E2483" s="121">
        <v>500</v>
      </c>
    </row>
    <row r="2484" spans="1:5" ht="15">
      <c r="A2484" s="120" t="s">
        <v>291</v>
      </c>
      <c r="B2484" s="121">
        <v>21</v>
      </c>
      <c r="C2484" s="121">
        <v>32</v>
      </c>
      <c r="D2484" s="121">
        <v>5</v>
      </c>
      <c r="E2484" s="121">
        <v>200</v>
      </c>
    </row>
    <row r="2485" spans="1:5" ht="15">
      <c r="A2485" s="120" t="s">
        <v>291</v>
      </c>
      <c r="B2485" s="121">
        <v>21</v>
      </c>
      <c r="C2485" s="121">
        <v>33</v>
      </c>
      <c r="D2485" s="121">
        <v>5</v>
      </c>
      <c r="E2485" s="121">
        <v>1500</v>
      </c>
    </row>
    <row r="2486" spans="1:5" ht="15">
      <c r="A2486" s="120" t="s">
        <v>291</v>
      </c>
      <c r="B2486" s="121">
        <v>21</v>
      </c>
      <c r="C2486" s="121">
        <v>34</v>
      </c>
      <c r="D2486" s="121">
        <v>2</v>
      </c>
      <c r="E2486" s="121">
        <v>1264</v>
      </c>
    </row>
    <row r="2487" spans="1:5" ht="15">
      <c r="A2487" s="120" t="s">
        <v>291</v>
      </c>
      <c r="B2487" s="121">
        <v>21</v>
      </c>
      <c r="C2487" s="121">
        <v>34</v>
      </c>
      <c r="D2487" s="121">
        <v>4</v>
      </c>
      <c r="E2487" s="121">
        <v>224</v>
      </c>
    </row>
    <row r="2488" spans="1:5" ht="15">
      <c r="A2488" s="120" t="s">
        <v>173</v>
      </c>
      <c r="B2488" s="121">
        <v>21</v>
      </c>
      <c r="C2488" s="121">
        <v>21</v>
      </c>
      <c r="D2488" s="121">
        <v>2</v>
      </c>
      <c r="E2488" s="121">
        <v>160477</v>
      </c>
    </row>
    <row r="2489" spans="1:5" ht="15">
      <c r="A2489" s="120" t="s">
        <v>173</v>
      </c>
      <c r="B2489" s="121">
        <v>21</v>
      </c>
      <c r="C2489" s="121">
        <v>21</v>
      </c>
      <c r="D2489" s="121">
        <v>3</v>
      </c>
      <c r="E2489" s="121">
        <v>135757</v>
      </c>
    </row>
    <row r="2490" spans="1:5" ht="15">
      <c r="A2490" s="120" t="s">
        <v>173</v>
      </c>
      <c r="B2490" s="121">
        <v>21</v>
      </c>
      <c r="C2490" s="121">
        <v>21</v>
      </c>
      <c r="D2490" s="121">
        <v>4</v>
      </c>
      <c r="E2490" s="121">
        <v>95620</v>
      </c>
    </row>
    <row r="2491" spans="1:5" ht="15">
      <c r="A2491" s="120" t="s">
        <v>173</v>
      </c>
      <c r="B2491" s="121">
        <v>21</v>
      </c>
      <c r="C2491" s="121">
        <v>21</v>
      </c>
      <c r="D2491" s="121">
        <v>5</v>
      </c>
      <c r="E2491" s="121">
        <v>24000</v>
      </c>
    </row>
    <row r="2492" spans="1:5" ht="15">
      <c r="A2492" s="120" t="s">
        <v>173</v>
      </c>
      <c r="B2492" s="121">
        <v>21</v>
      </c>
      <c r="C2492" s="121">
        <v>21</v>
      </c>
      <c r="D2492" s="121">
        <v>7</v>
      </c>
      <c r="E2492" s="121">
        <v>31200</v>
      </c>
    </row>
    <row r="2493" spans="1:5" ht="15">
      <c r="A2493" s="120" t="s">
        <v>173</v>
      </c>
      <c r="B2493" s="121">
        <v>21</v>
      </c>
      <c r="C2493" s="121">
        <v>21</v>
      </c>
      <c r="D2493" s="121">
        <v>8</v>
      </c>
      <c r="E2493" s="121">
        <v>1000</v>
      </c>
    </row>
    <row r="2494" spans="1:5" ht="15">
      <c r="A2494" s="120" t="s">
        <v>173</v>
      </c>
      <c r="B2494" s="121">
        <v>21</v>
      </c>
      <c r="C2494" s="121">
        <v>25</v>
      </c>
      <c r="D2494" s="121">
        <v>3</v>
      </c>
      <c r="E2494" s="121">
        <v>83000</v>
      </c>
    </row>
    <row r="2495" spans="1:5" ht="15">
      <c r="A2495" s="120" t="s">
        <v>173</v>
      </c>
      <c r="B2495" s="121">
        <v>21</v>
      </c>
      <c r="C2495" s="121">
        <v>25</v>
      </c>
      <c r="D2495" s="121">
        <v>4</v>
      </c>
      <c r="E2495" s="121">
        <v>400</v>
      </c>
    </row>
    <row r="2496" spans="1:5" ht="15">
      <c r="A2496" s="120" t="s">
        <v>173</v>
      </c>
      <c r="B2496" s="121">
        <v>21</v>
      </c>
      <c r="C2496" s="121">
        <v>25</v>
      </c>
      <c r="D2496" s="121">
        <v>5</v>
      </c>
      <c r="E2496" s="121">
        <v>2000</v>
      </c>
    </row>
    <row r="2497" spans="1:5" ht="15">
      <c r="A2497" s="120" t="s">
        <v>173</v>
      </c>
      <c r="B2497" s="121">
        <v>21</v>
      </c>
      <c r="C2497" s="121">
        <v>26</v>
      </c>
      <c r="D2497" s="121">
        <v>2</v>
      </c>
      <c r="E2497" s="121">
        <v>2097756</v>
      </c>
    </row>
    <row r="2498" spans="1:5" ht="15">
      <c r="A2498" s="120" t="s">
        <v>173</v>
      </c>
      <c r="B2498" s="121">
        <v>21</v>
      </c>
      <c r="C2498" s="121">
        <v>26</v>
      </c>
      <c r="D2498" s="121">
        <v>3</v>
      </c>
      <c r="E2498" s="121">
        <v>128929</v>
      </c>
    </row>
    <row r="2499" spans="1:5" ht="15">
      <c r="A2499" s="120" t="s">
        <v>173</v>
      </c>
      <c r="B2499" s="121">
        <v>21</v>
      </c>
      <c r="C2499" s="121">
        <v>26</v>
      </c>
      <c r="D2499" s="121">
        <v>4</v>
      </c>
      <c r="E2499" s="121">
        <v>743869</v>
      </c>
    </row>
    <row r="2500" spans="1:5" ht="15">
      <c r="A2500" s="120" t="s">
        <v>173</v>
      </c>
      <c r="B2500" s="121">
        <v>21</v>
      </c>
      <c r="C2500" s="121">
        <v>26</v>
      </c>
      <c r="D2500" s="121">
        <v>5</v>
      </c>
      <c r="E2500" s="121">
        <v>26500</v>
      </c>
    </row>
    <row r="2501" spans="1:5" ht="15">
      <c r="A2501" s="120" t="s">
        <v>173</v>
      </c>
      <c r="B2501" s="121">
        <v>21</v>
      </c>
      <c r="C2501" s="121">
        <v>26</v>
      </c>
      <c r="D2501" s="121">
        <v>7</v>
      </c>
      <c r="E2501" s="121">
        <v>5100</v>
      </c>
    </row>
    <row r="2502" spans="1:5" ht="15">
      <c r="A2502" s="120" t="s">
        <v>173</v>
      </c>
      <c r="B2502" s="121">
        <v>21</v>
      </c>
      <c r="C2502" s="121">
        <v>26</v>
      </c>
      <c r="D2502" s="121">
        <v>8</v>
      </c>
      <c r="E2502" s="121">
        <v>1000</v>
      </c>
    </row>
    <row r="2503" spans="1:5" ht="15">
      <c r="A2503" s="120" t="s">
        <v>173</v>
      </c>
      <c r="B2503" s="121">
        <v>21</v>
      </c>
      <c r="C2503" s="121">
        <v>27</v>
      </c>
      <c r="D2503" s="121">
        <v>0</v>
      </c>
      <c r="E2503" s="121">
        <v>9000</v>
      </c>
    </row>
    <row r="2504" spans="1:5" ht="15">
      <c r="A2504" s="120" t="s">
        <v>173</v>
      </c>
      <c r="B2504" s="121">
        <v>21</v>
      </c>
      <c r="C2504" s="121">
        <v>27</v>
      </c>
      <c r="D2504" s="121">
        <v>2</v>
      </c>
      <c r="E2504" s="121">
        <v>4090842</v>
      </c>
    </row>
    <row r="2505" spans="1:5" ht="15">
      <c r="A2505" s="120" t="s">
        <v>173</v>
      </c>
      <c r="B2505" s="121">
        <v>21</v>
      </c>
      <c r="C2505" s="121">
        <v>27</v>
      </c>
      <c r="D2505" s="121">
        <v>3</v>
      </c>
      <c r="E2505" s="121">
        <v>2492705</v>
      </c>
    </row>
    <row r="2506" spans="1:5" ht="15">
      <c r="A2506" s="120" t="s">
        <v>173</v>
      </c>
      <c r="B2506" s="121">
        <v>21</v>
      </c>
      <c r="C2506" s="121">
        <v>27</v>
      </c>
      <c r="D2506" s="121">
        <v>4</v>
      </c>
      <c r="E2506" s="121">
        <v>2845379</v>
      </c>
    </row>
    <row r="2507" spans="1:5" ht="15">
      <c r="A2507" s="120" t="s">
        <v>173</v>
      </c>
      <c r="B2507" s="121">
        <v>21</v>
      </c>
      <c r="C2507" s="121">
        <v>27</v>
      </c>
      <c r="D2507" s="121">
        <v>5</v>
      </c>
      <c r="E2507" s="121">
        <v>63000</v>
      </c>
    </row>
    <row r="2508" spans="1:5" ht="15">
      <c r="A2508" s="120" t="s">
        <v>173</v>
      </c>
      <c r="B2508" s="121">
        <v>21</v>
      </c>
      <c r="C2508" s="121">
        <v>27</v>
      </c>
      <c r="D2508" s="121">
        <v>7</v>
      </c>
      <c r="E2508" s="121">
        <v>1569500</v>
      </c>
    </row>
    <row r="2509" spans="1:5" ht="15">
      <c r="A2509" s="120" t="s">
        <v>173</v>
      </c>
      <c r="B2509" s="121">
        <v>21</v>
      </c>
      <c r="C2509" s="121">
        <v>27</v>
      </c>
      <c r="D2509" s="121">
        <v>8</v>
      </c>
      <c r="E2509" s="121">
        <v>1900</v>
      </c>
    </row>
    <row r="2510" spans="1:5" ht="15">
      <c r="A2510" s="120" t="s">
        <v>173</v>
      </c>
      <c r="B2510" s="121">
        <v>21</v>
      </c>
      <c r="C2510" s="121">
        <v>28</v>
      </c>
      <c r="D2510" s="121">
        <v>3</v>
      </c>
      <c r="E2510" s="121">
        <v>3000</v>
      </c>
    </row>
    <row r="2511" spans="1:5" ht="15">
      <c r="A2511" s="120" t="s">
        <v>173</v>
      </c>
      <c r="B2511" s="121">
        <v>21</v>
      </c>
      <c r="C2511" s="121">
        <v>28</v>
      </c>
      <c r="D2511" s="121">
        <v>4</v>
      </c>
      <c r="E2511" s="121">
        <v>600</v>
      </c>
    </row>
    <row r="2512" spans="1:5" ht="15">
      <c r="A2512" s="120" t="s">
        <v>173</v>
      </c>
      <c r="B2512" s="121">
        <v>21</v>
      </c>
      <c r="C2512" s="121">
        <v>29</v>
      </c>
      <c r="D2512" s="121">
        <v>7</v>
      </c>
      <c r="E2512" s="121">
        <v>500000</v>
      </c>
    </row>
    <row r="2513" spans="1:5" ht="15">
      <c r="A2513" s="120" t="s">
        <v>173</v>
      </c>
      <c r="B2513" s="121">
        <v>21</v>
      </c>
      <c r="C2513" s="121">
        <v>31</v>
      </c>
      <c r="D2513" s="121">
        <v>2</v>
      </c>
      <c r="E2513" s="121">
        <v>114029</v>
      </c>
    </row>
    <row r="2514" spans="1:5" ht="15">
      <c r="A2514" s="120" t="s">
        <v>173</v>
      </c>
      <c r="B2514" s="121">
        <v>21</v>
      </c>
      <c r="C2514" s="121">
        <v>31</v>
      </c>
      <c r="D2514" s="121">
        <v>3</v>
      </c>
      <c r="E2514" s="121">
        <v>4000</v>
      </c>
    </row>
    <row r="2515" spans="1:5" ht="15">
      <c r="A2515" s="120" t="s">
        <v>173</v>
      </c>
      <c r="B2515" s="121">
        <v>21</v>
      </c>
      <c r="C2515" s="121">
        <v>31</v>
      </c>
      <c r="D2515" s="121">
        <v>4</v>
      </c>
      <c r="E2515" s="121">
        <v>33014</v>
      </c>
    </row>
    <row r="2516" spans="1:5" ht="15">
      <c r="A2516" s="120" t="s">
        <v>173</v>
      </c>
      <c r="B2516" s="121">
        <v>21</v>
      </c>
      <c r="C2516" s="121">
        <v>31</v>
      </c>
      <c r="D2516" s="121">
        <v>7</v>
      </c>
      <c r="E2516" s="121">
        <v>28350</v>
      </c>
    </row>
    <row r="2517" spans="1:5" ht="15">
      <c r="A2517" s="120" t="s">
        <v>173</v>
      </c>
      <c r="B2517" s="121">
        <v>21</v>
      </c>
      <c r="C2517" s="121">
        <v>31</v>
      </c>
      <c r="D2517" s="121">
        <v>8</v>
      </c>
      <c r="E2517" s="121">
        <v>8000</v>
      </c>
    </row>
    <row r="2518" spans="1:5" ht="15">
      <c r="A2518" s="120" t="s">
        <v>173</v>
      </c>
      <c r="B2518" s="121">
        <v>21</v>
      </c>
      <c r="C2518" s="121">
        <v>33</v>
      </c>
      <c r="D2518" s="121">
        <v>5</v>
      </c>
      <c r="E2518" s="121">
        <v>10000</v>
      </c>
    </row>
    <row r="2519" spans="1:5" ht="15">
      <c r="A2519" s="120" t="s">
        <v>173</v>
      </c>
      <c r="B2519" s="121">
        <v>21</v>
      </c>
      <c r="C2519" s="121">
        <v>33</v>
      </c>
      <c r="D2519" s="121">
        <v>7</v>
      </c>
      <c r="E2519" s="121">
        <v>6000</v>
      </c>
    </row>
    <row r="2520" spans="1:5" ht="15">
      <c r="A2520" s="120" t="s">
        <v>173</v>
      </c>
      <c r="B2520" s="121">
        <v>21</v>
      </c>
      <c r="C2520" s="121">
        <v>34</v>
      </c>
      <c r="D2520" s="121">
        <v>2</v>
      </c>
      <c r="E2520" s="121">
        <v>103316</v>
      </c>
    </row>
    <row r="2521" spans="1:5" ht="15">
      <c r="A2521" s="120" t="s">
        <v>173</v>
      </c>
      <c r="B2521" s="121">
        <v>21</v>
      </c>
      <c r="C2521" s="121">
        <v>34</v>
      </c>
      <c r="D2521" s="121">
        <v>4</v>
      </c>
      <c r="E2521" s="121">
        <v>34637</v>
      </c>
    </row>
    <row r="2522" spans="1:5" ht="15">
      <c r="A2522" s="120" t="s">
        <v>291</v>
      </c>
      <c r="B2522" s="121">
        <v>24</v>
      </c>
      <c r="C2522" s="121">
        <v>26</v>
      </c>
      <c r="D2522" s="121">
        <v>7</v>
      </c>
      <c r="E2522" s="121">
        <v>137039</v>
      </c>
    </row>
    <row r="2523" spans="1:5" ht="15">
      <c r="A2523" s="120" t="s">
        <v>237</v>
      </c>
      <c r="B2523" s="121">
        <v>24</v>
      </c>
      <c r="C2523" s="121">
        <v>27</v>
      </c>
      <c r="D2523" s="121">
        <v>2</v>
      </c>
      <c r="E2523" s="121">
        <v>744408</v>
      </c>
    </row>
    <row r="2524" spans="1:5" ht="15">
      <c r="A2524" s="120" t="s">
        <v>237</v>
      </c>
      <c r="B2524" s="121">
        <v>24</v>
      </c>
      <c r="C2524" s="121">
        <v>27</v>
      </c>
      <c r="D2524" s="121">
        <v>3</v>
      </c>
      <c r="E2524" s="121">
        <v>99896</v>
      </c>
    </row>
    <row r="2525" spans="1:5" ht="15">
      <c r="A2525" s="120" t="s">
        <v>237</v>
      </c>
      <c r="B2525" s="121">
        <v>24</v>
      </c>
      <c r="C2525" s="121">
        <v>27</v>
      </c>
      <c r="D2525" s="121">
        <v>4</v>
      </c>
      <c r="E2525" s="121">
        <v>312058</v>
      </c>
    </row>
    <row r="2526" spans="1:5" ht="15">
      <c r="A2526" s="120" t="s">
        <v>173</v>
      </c>
      <c r="B2526" s="121">
        <v>24</v>
      </c>
      <c r="C2526" s="121">
        <v>27</v>
      </c>
      <c r="D2526" s="121">
        <v>3</v>
      </c>
      <c r="E2526" s="121">
        <v>605401</v>
      </c>
    </row>
    <row r="2527" spans="1:5" ht="15">
      <c r="A2527" s="120" t="s">
        <v>173</v>
      </c>
      <c r="B2527" s="121">
        <v>24</v>
      </c>
      <c r="C2527" s="121">
        <v>27</v>
      </c>
      <c r="D2527" s="121">
        <v>4</v>
      </c>
      <c r="E2527" s="121">
        <v>337136</v>
      </c>
    </row>
    <row r="2528" spans="1:5" ht="15">
      <c r="A2528" s="120" t="s">
        <v>269</v>
      </c>
      <c r="B2528" s="121">
        <v>21</v>
      </c>
      <c r="C2528" s="121">
        <v>21</v>
      </c>
      <c r="D2528" s="121">
        <v>2</v>
      </c>
      <c r="E2528" s="121">
        <v>86003</v>
      </c>
    </row>
    <row r="2529" spans="1:5" ht="15">
      <c r="A2529" s="120" t="s">
        <v>269</v>
      </c>
      <c r="B2529" s="121">
        <v>21</v>
      </c>
      <c r="C2529" s="121">
        <v>21</v>
      </c>
      <c r="D2529" s="121">
        <v>4</v>
      </c>
      <c r="E2529" s="121">
        <v>27097</v>
      </c>
    </row>
    <row r="2530" spans="1:5" ht="15">
      <c r="A2530" s="120" t="s">
        <v>269</v>
      </c>
      <c r="B2530" s="121">
        <v>21</v>
      </c>
      <c r="C2530" s="121">
        <v>21</v>
      </c>
      <c r="D2530" s="121">
        <v>5</v>
      </c>
      <c r="E2530" s="121">
        <v>600</v>
      </c>
    </row>
    <row r="2531" spans="1:5" ht="15">
      <c r="A2531" s="120" t="s">
        <v>269</v>
      </c>
      <c r="B2531" s="121">
        <v>21</v>
      </c>
      <c r="C2531" s="121">
        <v>21</v>
      </c>
      <c r="D2531" s="121">
        <v>7</v>
      </c>
      <c r="E2531" s="121">
        <v>200</v>
      </c>
    </row>
    <row r="2532" spans="1:5" ht="15">
      <c r="A2532" s="120" t="s">
        <v>269</v>
      </c>
      <c r="B2532" s="121">
        <v>21</v>
      </c>
      <c r="C2532" s="121">
        <v>26</v>
      </c>
      <c r="D2532" s="121">
        <v>2</v>
      </c>
      <c r="E2532" s="121">
        <v>86737</v>
      </c>
    </row>
    <row r="2533" spans="1:5" ht="15">
      <c r="A2533" s="120" t="s">
        <v>269</v>
      </c>
      <c r="B2533" s="121">
        <v>21</v>
      </c>
      <c r="C2533" s="121">
        <v>26</v>
      </c>
      <c r="D2533" s="121">
        <v>4</v>
      </c>
      <c r="E2533" s="121">
        <v>45678</v>
      </c>
    </row>
    <row r="2534" spans="1:5" ht="15">
      <c r="A2534" s="120" t="s">
        <v>269</v>
      </c>
      <c r="B2534" s="121">
        <v>21</v>
      </c>
      <c r="C2534" s="121">
        <v>26</v>
      </c>
      <c r="D2534" s="121">
        <v>5</v>
      </c>
      <c r="E2534" s="121">
        <v>2000</v>
      </c>
    </row>
    <row r="2535" spans="1:5" ht="15">
      <c r="A2535" s="120" t="s">
        <v>269</v>
      </c>
      <c r="B2535" s="121">
        <v>21</v>
      </c>
      <c r="C2535" s="121">
        <v>26</v>
      </c>
      <c r="D2535" s="121">
        <v>7</v>
      </c>
      <c r="E2535" s="121">
        <v>425000</v>
      </c>
    </row>
    <row r="2536" spans="1:5" ht="15">
      <c r="A2536" s="120" t="s">
        <v>269</v>
      </c>
      <c r="B2536" s="121">
        <v>21</v>
      </c>
      <c r="C2536" s="121">
        <v>27</v>
      </c>
      <c r="D2536" s="121">
        <v>2</v>
      </c>
      <c r="E2536" s="121">
        <v>91213</v>
      </c>
    </row>
    <row r="2537" spans="1:5" ht="15">
      <c r="A2537" s="120" t="s">
        <v>269</v>
      </c>
      <c r="B2537" s="121">
        <v>21</v>
      </c>
      <c r="C2537" s="121">
        <v>27</v>
      </c>
      <c r="D2537" s="121">
        <v>3</v>
      </c>
      <c r="E2537" s="121">
        <v>163966</v>
      </c>
    </row>
    <row r="2538" spans="1:5" ht="15">
      <c r="A2538" s="120" t="s">
        <v>269</v>
      </c>
      <c r="B2538" s="121">
        <v>21</v>
      </c>
      <c r="C2538" s="121">
        <v>27</v>
      </c>
      <c r="D2538" s="121">
        <v>4</v>
      </c>
      <c r="E2538" s="121">
        <v>148523</v>
      </c>
    </row>
    <row r="2539" spans="1:5" ht="15">
      <c r="A2539" s="120" t="s">
        <v>269</v>
      </c>
      <c r="B2539" s="121">
        <v>21</v>
      </c>
      <c r="C2539" s="121">
        <v>27</v>
      </c>
      <c r="D2539" s="121">
        <v>5</v>
      </c>
      <c r="E2539" s="121">
        <v>4101</v>
      </c>
    </row>
    <row r="2540" spans="1:5" ht="15">
      <c r="A2540" s="120" t="s">
        <v>269</v>
      </c>
      <c r="B2540" s="121">
        <v>21</v>
      </c>
      <c r="C2540" s="121">
        <v>27</v>
      </c>
      <c r="D2540" s="121">
        <v>7</v>
      </c>
      <c r="E2540" s="121">
        <v>16984</v>
      </c>
    </row>
    <row r="2541" spans="1:5" ht="15">
      <c r="A2541" s="120" t="s">
        <v>269</v>
      </c>
      <c r="B2541" s="121">
        <v>21</v>
      </c>
      <c r="C2541" s="121">
        <v>27</v>
      </c>
      <c r="D2541" s="121">
        <v>8</v>
      </c>
      <c r="E2541" s="121">
        <v>1000</v>
      </c>
    </row>
    <row r="2542" spans="1:5" ht="15">
      <c r="A2542" s="120" t="s">
        <v>269</v>
      </c>
      <c r="B2542" s="121">
        <v>21</v>
      </c>
      <c r="C2542" s="121">
        <v>31</v>
      </c>
      <c r="D2542" s="121">
        <v>2</v>
      </c>
      <c r="E2542" s="121">
        <v>1994</v>
      </c>
    </row>
    <row r="2543" spans="1:5" ht="15">
      <c r="A2543" s="120" t="s">
        <v>269</v>
      </c>
      <c r="B2543" s="121">
        <v>21</v>
      </c>
      <c r="C2543" s="121">
        <v>31</v>
      </c>
      <c r="D2543" s="121">
        <v>3</v>
      </c>
      <c r="E2543" s="121">
        <v>1999</v>
      </c>
    </row>
    <row r="2544" spans="1:5" ht="15">
      <c r="A2544" s="120" t="s">
        <v>269</v>
      </c>
      <c r="B2544" s="121">
        <v>21</v>
      </c>
      <c r="C2544" s="121">
        <v>31</v>
      </c>
      <c r="D2544" s="121">
        <v>4</v>
      </c>
      <c r="E2544" s="121">
        <v>687</v>
      </c>
    </row>
    <row r="2545" spans="1:5" ht="15">
      <c r="A2545" s="120" t="s">
        <v>269</v>
      </c>
      <c r="B2545" s="121">
        <v>21</v>
      </c>
      <c r="C2545" s="121">
        <v>31</v>
      </c>
      <c r="D2545" s="121">
        <v>7</v>
      </c>
      <c r="E2545" s="121">
        <v>3250</v>
      </c>
    </row>
    <row r="2546" spans="1:5" ht="15">
      <c r="A2546" s="120" t="s">
        <v>269</v>
      </c>
      <c r="B2546" s="121">
        <v>21</v>
      </c>
      <c r="C2546" s="121">
        <v>31</v>
      </c>
      <c r="D2546" s="121">
        <v>8</v>
      </c>
      <c r="E2546" s="121">
        <v>300</v>
      </c>
    </row>
    <row r="2547" spans="1:5" ht="15">
      <c r="A2547" s="120" t="s">
        <v>269</v>
      </c>
      <c r="B2547" s="121">
        <v>21</v>
      </c>
      <c r="C2547" s="121">
        <v>32</v>
      </c>
      <c r="D2547" s="121">
        <v>5</v>
      </c>
      <c r="E2547" s="121">
        <v>500</v>
      </c>
    </row>
    <row r="2548" spans="1:5" ht="15">
      <c r="A2548" s="120" t="s">
        <v>269</v>
      </c>
      <c r="B2548" s="121">
        <v>21</v>
      </c>
      <c r="C2548" s="121">
        <v>33</v>
      </c>
      <c r="D2548" s="121">
        <v>5</v>
      </c>
      <c r="E2548" s="121">
        <v>600</v>
      </c>
    </row>
    <row r="2549" spans="1:5" ht="15">
      <c r="A2549" s="120" t="s">
        <v>269</v>
      </c>
      <c r="B2549" s="121">
        <v>24</v>
      </c>
      <c r="C2549" s="121">
        <v>27</v>
      </c>
      <c r="D2549" s="121">
        <v>2</v>
      </c>
      <c r="E2549" s="121">
        <v>96703</v>
      </c>
    </row>
    <row r="2550" spans="1:5" ht="15">
      <c r="A2550" s="120" t="s">
        <v>269</v>
      </c>
      <c r="B2550" s="121">
        <v>24</v>
      </c>
      <c r="C2550" s="121">
        <v>27</v>
      </c>
      <c r="D2550" s="121">
        <v>3</v>
      </c>
      <c r="E2550" s="121">
        <v>17719</v>
      </c>
    </row>
    <row r="2551" spans="1:5" ht="15">
      <c r="A2551" s="120" t="s">
        <v>269</v>
      </c>
      <c r="B2551" s="121">
        <v>24</v>
      </c>
      <c r="C2551" s="121">
        <v>27</v>
      </c>
      <c r="D2551" s="121">
        <v>4</v>
      </c>
      <c r="E2551" s="121">
        <v>43334</v>
      </c>
    </row>
    <row r="2552" spans="1:5" ht="15">
      <c r="A2552" s="120" t="s">
        <v>221</v>
      </c>
      <c r="B2552" s="121">
        <v>21</v>
      </c>
      <c r="C2552" s="121">
        <v>26</v>
      </c>
      <c r="D2552" s="121">
        <v>7</v>
      </c>
      <c r="E2552" s="121">
        <v>441913</v>
      </c>
    </row>
    <row r="2553" spans="1:5" ht="15">
      <c r="A2553" s="120" t="s">
        <v>221</v>
      </c>
      <c r="B2553" s="121">
        <v>21</v>
      </c>
      <c r="C2553" s="121">
        <v>27</v>
      </c>
      <c r="D2553" s="121">
        <v>2</v>
      </c>
      <c r="E2553" s="121">
        <v>175694</v>
      </c>
    </row>
    <row r="2554" spans="1:5" ht="15">
      <c r="A2554" s="120" t="s">
        <v>221</v>
      </c>
      <c r="B2554" s="121">
        <v>21</v>
      </c>
      <c r="C2554" s="121">
        <v>27</v>
      </c>
      <c r="D2554" s="121">
        <v>3</v>
      </c>
      <c r="E2554" s="121">
        <v>142236</v>
      </c>
    </row>
    <row r="2555" spans="1:5" ht="15">
      <c r="A2555" s="120" t="s">
        <v>221</v>
      </c>
      <c r="B2555" s="121">
        <v>21</v>
      </c>
      <c r="C2555" s="121">
        <v>27</v>
      </c>
      <c r="D2555" s="121">
        <v>4</v>
      </c>
      <c r="E2555" s="121">
        <v>95379</v>
      </c>
    </row>
    <row r="2556" spans="1:5" ht="15">
      <c r="A2556" s="120" t="s">
        <v>221</v>
      </c>
      <c r="B2556" s="121">
        <v>24</v>
      </c>
      <c r="C2556" s="121">
        <v>26</v>
      </c>
      <c r="D2556" s="121">
        <v>7</v>
      </c>
      <c r="E2556" s="121">
        <v>61386</v>
      </c>
    </row>
    <row r="2557" spans="1:5" ht="15">
      <c r="A2557" s="120" t="s">
        <v>323</v>
      </c>
      <c r="B2557" s="121">
        <v>21</v>
      </c>
      <c r="C2557" s="121">
        <v>21</v>
      </c>
      <c r="D2557" s="121">
        <v>2</v>
      </c>
      <c r="E2557" s="121">
        <v>140310</v>
      </c>
    </row>
    <row r="2558" spans="1:5" ht="15">
      <c r="A2558" s="120" t="s">
        <v>323</v>
      </c>
      <c r="B2558" s="121">
        <v>21</v>
      </c>
      <c r="C2558" s="121">
        <v>21</v>
      </c>
      <c r="D2558" s="121">
        <v>3</v>
      </c>
      <c r="E2558" s="121">
        <v>82060</v>
      </c>
    </row>
    <row r="2559" spans="1:5" ht="15">
      <c r="A2559" s="120" t="s">
        <v>323</v>
      </c>
      <c r="B2559" s="121">
        <v>21</v>
      </c>
      <c r="C2559" s="121">
        <v>21</v>
      </c>
      <c r="D2559" s="121">
        <v>4</v>
      </c>
      <c r="E2559" s="121">
        <v>76410</v>
      </c>
    </row>
    <row r="2560" spans="1:5" ht="15">
      <c r="A2560" s="120" t="s">
        <v>323</v>
      </c>
      <c r="B2560" s="121">
        <v>21</v>
      </c>
      <c r="C2560" s="121">
        <v>25</v>
      </c>
      <c r="D2560" s="121">
        <v>3</v>
      </c>
      <c r="E2560" s="121">
        <v>16084</v>
      </c>
    </row>
    <row r="2561" spans="1:5" ht="15">
      <c r="A2561" s="120" t="s">
        <v>323</v>
      </c>
      <c r="B2561" s="121">
        <v>21</v>
      </c>
      <c r="C2561" s="121">
        <v>25</v>
      </c>
      <c r="D2561" s="121">
        <v>4</v>
      </c>
      <c r="E2561" s="121">
        <v>8969</v>
      </c>
    </row>
    <row r="2562" spans="1:5" ht="15">
      <c r="A2562" s="120" t="s">
        <v>323</v>
      </c>
      <c r="B2562" s="121">
        <v>21</v>
      </c>
      <c r="C2562" s="121">
        <v>26</v>
      </c>
      <c r="D2562" s="121">
        <v>2</v>
      </c>
      <c r="E2562" s="121">
        <v>695427</v>
      </c>
    </row>
    <row r="2563" spans="1:5" ht="15">
      <c r="A2563" s="120" t="s">
        <v>323</v>
      </c>
      <c r="B2563" s="121">
        <v>21</v>
      </c>
      <c r="C2563" s="121">
        <v>26</v>
      </c>
      <c r="D2563" s="121">
        <v>4</v>
      </c>
      <c r="E2563" s="121">
        <v>260788</v>
      </c>
    </row>
    <row r="2564" spans="1:5" ht="15">
      <c r="A2564" s="120" t="s">
        <v>323</v>
      </c>
      <c r="B2564" s="121">
        <v>21</v>
      </c>
      <c r="C2564" s="121">
        <v>26</v>
      </c>
      <c r="D2564" s="121">
        <v>5</v>
      </c>
      <c r="E2564" s="121">
        <v>5250</v>
      </c>
    </row>
    <row r="2565" spans="1:5" ht="15">
      <c r="A2565" s="120" t="s">
        <v>323</v>
      </c>
      <c r="B2565" s="121">
        <v>21</v>
      </c>
      <c r="C2565" s="121">
        <v>26</v>
      </c>
      <c r="D2565" s="121">
        <v>7</v>
      </c>
      <c r="E2565" s="121">
        <v>266500</v>
      </c>
    </row>
    <row r="2566" spans="1:5" ht="15">
      <c r="A2566" s="120" t="s">
        <v>323</v>
      </c>
      <c r="B2566" s="121">
        <v>21</v>
      </c>
      <c r="C2566" s="121">
        <v>27</v>
      </c>
      <c r="D2566" s="121">
        <v>2</v>
      </c>
      <c r="E2566" s="121">
        <v>1787821</v>
      </c>
    </row>
    <row r="2567" spans="1:5" ht="15">
      <c r="A2567" s="120" t="s">
        <v>323</v>
      </c>
      <c r="B2567" s="121">
        <v>21</v>
      </c>
      <c r="C2567" s="121">
        <v>27</v>
      </c>
      <c r="D2567" s="121">
        <v>3</v>
      </c>
      <c r="E2567" s="121">
        <v>887794</v>
      </c>
    </row>
    <row r="2568" spans="1:5" ht="15">
      <c r="A2568" s="120" t="s">
        <v>323</v>
      </c>
      <c r="B2568" s="121">
        <v>21</v>
      </c>
      <c r="C2568" s="121">
        <v>27</v>
      </c>
      <c r="D2568" s="121">
        <v>4</v>
      </c>
      <c r="E2568" s="121">
        <v>1147369</v>
      </c>
    </row>
    <row r="2569" spans="1:5" ht="15">
      <c r="A2569" s="120" t="s">
        <v>323</v>
      </c>
      <c r="B2569" s="121">
        <v>21</v>
      </c>
      <c r="C2569" s="121">
        <v>27</v>
      </c>
      <c r="D2569" s="121">
        <v>5</v>
      </c>
      <c r="E2569" s="121">
        <v>11025</v>
      </c>
    </row>
    <row r="2570" spans="1:5" ht="15">
      <c r="A2570" s="120" t="s">
        <v>323</v>
      </c>
      <c r="B2570" s="121">
        <v>21</v>
      </c>
      <c r="C2570" s="121">
        <v>29</v>
      </c>
      <c r="D2570" s="121">
        <v>7</v>
      </c>
      <c r="E2570" s="121">
        <v>330750</v>
      </c>
    </row>
    <row r="2571" spans="1:5" ht="15">
      <c r="A2571" s="120" t="s">
        <v>323</v>
      </c>
      <c r="B2571" s="121">
        <v>24</v>
      </c>
      <c r="C2571" s="121">
        <v>27</v>
      </c>
      <c r="D2571" s="121">
        <v>2</v>
      </c>
      <c r="E2571" s="121">
        <v>134488</v>
      </c>
    </row>
    <row r="2572" spans="1:5" ht="15">
      <c r="A2572" s="120" t="s">
        <v>323</v>
      </c>
      <c r="B2572" s="121">
        <v>24</v>
      </c>
      <c r="C2572" s="121">
        <v>27</v>
      </c>
      <c r="D2572" s="121">
        <v>3</v>
      </c>
      <c r="E2572" s="121">
        <v>8562</v>
      </c>
    </row>
    <row r="2573" spans="1:5" ht="15">
      <c r="A2573" s="120" t="s">
        <v>323</v>
      </c>
      <c r="B2573" s="121">
        <v>24</v>
      </c>
      <c r="C2573" s="121">
        <v>27</v>
      </c>
      <c r="D2573" s="121">
        <v>4</v>
      </c>
      <c r="E2573" s="121">
        <v>126974</v>
      </c>
    </row>
    <row r="2574" spans="1:5" ht="15">
      <c r="A2574" s="120" t="s">
        <v>323</v>
      </c>
      <c r="B2574" s="121">
        <v>29</v>
      </c>
      <c r="C2574" s="121">
        <v>27</v>
      </c>
      <c r="D2574" s="121">
        <v>7</v>
      </c>
      <c r="E2574" s="121">
        <v>17803</v>
      </c>
    </row>
    <row r="2575" spans="1:5" ht="15">
      <c r="A2575" s="120" t="s">
        <v>293</v>
      </c>
      <c r="B2575" s="121">
        <v>21</v>
      </c>
      <c r="C2575" s="121">
        <v>21</v>
      </c>
      <c r="D2575" s="121">
        <v>2</v>
      </c>
      <c r="E2575" s="121">
        <v>3489</v>
      </c>
    </row>
    <row r="2576" spans="1:5" ht="15">
      <c r="A2576" s="120" t="s">
        <v>293</v>
      </c>
      <c r="B2576" s="121">
        <v>21</v>
      </c>
      <c r="C2576" s="121">
        <v>21</v>
      </c>
      <c r="D2576" s="121">
        <v>4</v>
      </c>
      <c r="E2576" s="121">
        <v>16412</v>
      </c>
    </row>
    <row r="2577" spans="1:5" ht="15">
      <c r="A2577" s="120" t="s">
        <v>293</v>
      </c>
      <c r="B2577" s="121">
        <v>21</v>
      </c>
      <c r="C2577" s="121">
        <v>21</v>
      </c>
      <c r="D2577" s="121">
        <v>7</v>
      </c>
      <c r="E2577" s="121">
        <v>30189</v>
      </c>
    </row>
    <row r="2578" spans="1:5" ht="15">
      <c r="A2578" s="120" t="s">
        <v>293</v>
      </c>
      <c r="B2578" s="121">
        <v>21</v>
      </c>
      <c r="C2578" s="121">
        <v>23</v>
      </c>
      <c r="D2578" s="121">
        <v>5</v>
      </c>
      <c r="E2578" s="121">
        <v>410</v>
      </c>
    </row>
    <row r="2579" spans="1:5" ht="15">
      <c r="A2579" s="120" t="s">
        <v>293</v>
      </c>
      <c r="B2579" s="121">
        <v>21</v>
      </c>
      <c r="C2579" s="121">
        <v>26</v>
      </c>
      <c r="D2579" s="121">
        <v>7</v>
      </c>
      <c r="E2579" s="121">
        <v>417523</v>
      </c>
    </row>
    <row r="2580" spans="1:5" ht="15">
      <c r="A2580" s="120" t="s">
        <v>293</v>
      </c>
      <c r="B2580" s="121">
        <v>21</v>
      </c>
      <c r="C2580" s="121">
        <v>27</v>
      </c>
      <c r="D2580" s="121">
        <v>2</v>
      </c>
      <c r="E2580" s="121">
        <v>347473</v>
      </c>
    </row>
    <row r="2581" spans="1:5" ht="15">
      <c r="A2581" s="120" t="s">
        <v>293</v>
      </c>
      <c r="B2581" s="121">
        <v>21</v>
      </c>
      <c r="C2581" s="121">
        <v>27</v>
      </c>
      <c r="D2581" s="121">
        <v>3</v>
      </c>
      <c r="E2581" s="121">
        <v>194783</v>
      </c>
    </row>
    <row r="2582" spans="1:5" ht="15">
      <c r="A2582" s="120" t="s">
        <v>293</v>
      </c>
      <c r="B2582" s="121">
        <v>21</v>
      </c>
      <c r="C2582" s="121">
        <v>27</v>
      </c>
      <c r="D2582" s="121">
        <v>4</v>
      </c>
      <c r="E2582" s="121">
        <v>333607</v>
      </c>
    </row>
    <row r="2583" spans="1:5" ht="15">
      <c r="A2583" s="120" t="s">
        <v>293</v>
      </c>
      <c r="B2583" s="121">
        <v>21</v>
      </c>
      <c r="C2583" s="121">
        <v>27</v>
      </c>
      <c r="D2583" s="121">
        <v>5</v>
      </c>
      <c r="E2583" s="121">
        <v>44315</v>
      </c>
    </row>
    <row r="2584" spans="1:5" ht="15">
      <c r="A2584" s="120" t="s">
        <v>293</v>
      </c>
      <c r="B2584" s="121">
        <v>21</v>
      </c>
      <c r="C2584" s="121">
        <v>27</v>
      </c>
      <c r="D2584" s="121">
        <v>7</v>
      </c>
      <c r="E2584" s="121">
        <v>13266</v>
      </c>
    </row>
    <row r="2585" spans="1:5" ht="15">
      <c r="A2585" s="120" t="s">
        <v>293</v>
      </c>
      <c r="B2585" s="121">
        <v>21</v>
      </c>
      <c r="C2585" s="121">
        <v>27</v>
      </c>
      <c r="D2585" s="121">
        <v>8</v>
      </c>
      <c r="E2585" s="121">
        <v>15000</v>
      </c>
    </row>
    <row r="2586" spans="1:5" ht="15">
      <c r="A2586" s="120" t="s">
        <v>293</v>
      </c>
      <c r="B2586" s="121">
        <v>21</v>
      </c>
      <c r="C2586" s="121">
        <v>27</v>
      </c>
      <c r="D2586" s="121">
        <v>9</v>
      </c>
      <c r="E2586" s="121">
        <v>15000</v>
      </c>
    </row>
    <row r="2587" spans="1:5" ht="15">
      <c r="A2587" s="120" t="s">
        <v>293</v>
      </c>
      <c r="B2587" s="121">
        <v>21</v>
      </c>
      <c r="C2587" s="121">
        <v>31</v>
      </c>
      <c r="D2587" s="121">
        <v>5</v>
      </c>
      <c r="E2587" s="121">
        <v>2000</v>
      </c>
    </row>
    <row r="2588" spans="1:5" ht="15">
      <c r="A2588" s="120" t="s">
        <v>293</v>
      </c>
      <c r="B2588" s="121">
        <v>21</v>
      </c>
      <c r="C2588" s="121">
        <v>31</v>
      </c>
      <c r="D2588" s="121">
        <v>7</v>
      </c>
      <c r="E2588" s="121">
        <v>1000</v>
      </c>
    </row>
    <row r="2589" spans="1:5" ht="15">
      <c r="A2589" s="120" t="s">
        <v>293</v>
      </c>
      <c r="B2589" s="121">
        <v>21</v>
      </c>
      <c r="C2589" s="121">
        <v>31</v>
      </c>
      <c r="D2589" s="121">
        <v>8</v>
      </c>
      <c r="E2589" s="121">
        <v>5000</v>
      </c>
    </row>
    <row r="2590" spans="1:5" ht="15">
      <c r="A2590" s="120" t="s">
        <v>293</v>
      </c>
      <c r="B2590" s="121">
        <v>24</v>
      </c>
      <c r="C2590" s="121">
        <v>27</v>
      </c>
      <c r="D2590" s="121">
        <v>2</v>
      </c>
      <c r="E2590" s="121">
        <v>36577</v>
      </c>
    </row>
    <row r="2591" spans="1:5" ht="15">
      <c r="A2591" s="120" t="s">
        <v>293</v>
      </c>
      <c r="B2591" s="121">
        <v>24</v>
      </c>
      <c r="C2591" s="121">
        <v>27</v>
      </c>
      <c r="D2591" s="121">
        <v>3</v>
      </c>
      <c r="E2591" s="121">
        <v>55127</v>
      </c>
    </row>
    <row r="2592" spans="1:5" ht="15">
      <c r="A2592" s="120" t="s">
        <v>293</v>
      </c>
      <c r="B2592" s="121">
        <v>24</v>
      </c>
      <c r="C2592" s="121">
        <v>27</v>
      </c>
      <c r="D2592" s="121">
        <v>4</v>
      </c>
      <c r="E2592" s="121">
        <v>56194</v>
      </c>
    </row>
    <row r="2593" spans="1:5" ht="15">
      <c r="A2593" s="120" t="s">
        <v>293</v>
      </c>
      <c r="B2593" s="121">
        <v>24</v>
      </c>
      <c r="C2593" s="121">
        <v>27</v>
      </c>
      <c r="D2593" s="121">
        <v>5</v>
      </c>
      <c r="E2593" s="121">
        <v>1222</v>
      </c>
    </row>
    <row r="2594" spans="1:5" ht="15">
      <c r="A2594" s="120" t="s">
        <v>325</v>
      </c>
      <c r="B2594" s="121">
        <v>21</v>
      </c>
      <c r="C2594" s="121">
        <v>27</v>
      </c>
      <c r="D2594" s="121">
        <v>7</v>
      </c>
      <c r="E2594" s="121">
        <v>164461</v>
      </c>
    </row>
    <row r="2595" spans="1:5" ht="15">
      <c r="A2595" s="120" t="s">
        <v>345</v>
      </c>
      <c r="B2595" s="121">
        <v>21</v>
      </c>
      <c r="C2595" s="121">
        <v>21</v>
      </c>
      <c r="D2595" s="121">
        <v>3</v>
      </c>
      <c r="E2595" s="121">
        <v>92333</v>
      </c>
    </row>
    <row r="2596" spans="1:5" ht="15">
      <c r="A2596" s="120" t="s">
        <v>345</v>
      </c>
      <c r="B2596" s="121">
        <v>21</v>
      </c>
      <c r="C2596" s="121">
        <v>21</v>
      </c>
      <c r="D2596" s="121">
        <v>4</v>
      </c>
      <c r="E2596" s="121">
        <v>30504</v>
      </c>
    </row>
    <row r="2597" spans="1:5" ht="15">
      <c r="A2597" s="120" t="s">
        <v>345</v>
      </c>
      <c r="B2597" s="121">
        <v>21</v>
      </c>
      <c r="C2597" s="121">
        <v>21</v>
      </c>
      <c r="D2597" s="121">
        <v>5</v>
      </c>
      <c r="E2597" s="121">
        <v>100</v>
      </c>
    </row>
    <row r="2598" spans="1:5" ht="15">
      <c r="A2598" s="120" t="s">
        <v>345</v>
      </c>
      <c r="B2598" s="121">
        <v>21</v>
      </c>
      <c r="C2598" s="121">
        <v>26</v>
      </c>
      <c r="D2598" s="121">
        <v>2</v>
      </c>
      <c r="E2598" s="121">
        <v>118131</v>
      </c>
    </row>
    <row r="2599" spans="1:5" ht="15">
      <c r="A2599" s="120" t="s">
        <v>345</v>
      </c>
      <c r="B2599" s="121">
        <v>21</v>
      </c>
      <c r="C2599" s="121">
        <v>26</v>
      </c>
      <c r="D2599" s="121">
        <v>4</v>
      </c>
      <c r="E2599" s="121">
        <v>34310</v>
      </c>
    </row>
    <row r="2600" spans="1:5" ht="15">
      <c r="A2600" s="120" t="s">
        <v>345</v>
      </c>
      <c r="B2600" s="121">
        <v>21</v>
      </c>
      <c r="C2600" s="121">
        <v>26</v>
      </c>
      <c r="D2600" s="121">
        <v>7</v>
      </c>
      <c r="E2600" s="121">
        <v>35000</v>
      </c>
    </row>
    <row r="2601" spans="1:5" ht="15">
      <c r="A2601" s="120" t="s">
        <v>345</v>
      </c>
      <c r="B2601" s="121">
        <v>21</v>
      </c>
      <c r="C2601" s="121">
        <v>26</v>
      </c>
      <c r="D2601" s="121">
        <v>8</v>
      </c>
      <c r="E2601" s="121">
        <v>1000</v>
      </c>
    </row>
    <row r="2602" spans="1:5" ht="15">
      <c r="A2602" s="120" t="s">
        <v>345</v>
      </c>
      <c r="B2602" s="121">
        <v>21</v>
      </c>
      <c r="C2602" s="121">
        <v>27</v>
      </c>
      <c r="D2602" s="121">
        <v>2</v>
      </c>
      <c r="E2602" s="121">
        <v>545758</v>
      </c>
    </row>
    <row r="2603" spans="1:5" ht="15">
      <c r="A2603" s="120" t="s">
        <v>345</v>
      </c>
      <c r="B2603" s="121">
        <v>21</v>
      </c>
      <c r="C2603" s="121">
        <v>27</v>
      </c>
      <c r="D2603" s="121">
        <v>3</v>
      </c>
      <c r="E2603" s="121">
        <v>390099</v>
      </c>
    </row>
    <row r="2604" spans="1:5" ht="15">
      <c r="A2604" s="120" t="s">
        <v>345</v>
      </c>
      <c r="B2604" s="121">
        <v>21</v>
      </c>
      <c r="C2604" s="121">
        <v>27</v>
      </c>
      <c r="D2604" s="121">
        <v>4</v>
      </c>
      <c r="E2604" s="121">
        <v>436906</v>
      </c>
    </row>
    <row r="2605" spans="1:5" ht="15">
      <c r="A2605" s="120" t="s">
        <v>345</v>
      </c>
      <c r="B2605" s="121">
        <v>21</v>
      </c>
      <c r="C2605" s="121">
        <v>27</v>
      </c>
      <c r="D2605" s="121">
        <v>5</v>
      </c>
      <c r="E2605" s="121">
        <v>2100</v>
      </c>
    </row>
    <row r="2606" spans="1:5" ht="15">
      <c r="A2606" s="120" t="s">
        <v>345</v>
      </c>
      <c r="B2606" s="121">
        <v>21</v>
      </c>
      <c r="C2606" s="121">
        <v>32</v>
      </c>
      <c r="D2606" s="121">
        <v>5</v>
      </c>
      <c r="E2606" s="121">
        <v>25000</v>
      </c>
    </row>
    <row r="2607" spans="1:5" ht="15">
      <c r="A2607" s="120" t="s">
        <v>345</v>
      </c>
      <c r="B2607" s="121">
        <v>21</v>
      </c>
      <c r="C2607" s="121">
        <v>33</v>
      </c>
      <c r="D2607" s="121">
        <v>5</v>
      </c>
      <c r="E2607" s="121">
        <v>4500</v>
      </c>
    </row>
    <row r="2608" spans="1:5" ht="15">
      <c r="A2608" s="120" t="s">
        <v>345</v>
      </c>
      <c r="B2608" s="121">
        <v>21</v>
      </c>
      <c r="C2608" s="121">
        <v>34</v>
      </c>
      <c r="D2608" s="121">
        <v>2</v>
      </c>
      <c r="E2608" s="121">
        <v>15485</v>
      </c>
    </row>
    <row r="2609" spans="1:5" ht="15">
      <c r="A2609" s="120" t="s">
        <v>345</v>
      </c>
      <c r="B2609" s="121">
        <v>21</v>
      </c>
      <c r="C2609" s="121">
        <v>34</v>
      </c>
      <c r="D2609" s="121">
        <v>4</v>
      </c>
      <c r="E2609" s="121">
        <v>5010</v>
      </c>
    </row>
    <row r="2610" spans="1:5" ht="15">
      <c r="A2610" s="120" t="s">
        <v>271</v>
      </c>
      <c r="B2610" s="121">
        <v>21</v>
      </c>
      <c r="C2610" s="121">
        <v>26</v>
      </c>
      <c r="D2610" s="121">
        <v>7</v>
      </c>
      <c r="E2610" s="121">
        <v>20000</v>
      </c>
    </row>
    <row r="2611" spans="1:5" ht="15">
      <c r="A2611" s="120" t="s">
        <v>271</v>
      </c>
      <c r="B2611" s="121">
        <v>21</v>
      </c>
      <c r="C2611" s="121">
        <v>27</v>
      </c>
      <c r="D2611" s="121">
        <v>2</v>
      </c>
      <c r="E2611" s="121">
        <v>95374</v>
      </c>
    </row>
    <row r="2612" spans="1:5" ht="15">
      <c r="A2612" s="120" t="s">
        <v>271</v>
      </c>
      <c r="B2612" s="121">
        <v>21</v>
      </c>
      <c r="C2612" s="121">
        <v>27</v>
      </c>
      <c r="D2612" s="121">
        <v>3</v>
      </c>
      <c r="E2612" s="121">
        <v>27629</v>
      </c>
    </row>
    <row r="2613" spans="1:5" ht="15">
      <c r="A2613" s="120" t="s">
        <v>271</v>
      </c>
      <c r="B2613" s="121">
        <v>21</v>
      </c>
      <c r="C2613" s="121">
        <v>27</v>
      </c>
      <c r="D2613" s="121">
        <v>4</v>
      </c>
      <c r="E2613" s="121">
        <v>51314</v>
      </c>
    </row>
    <row r="2614" spans="1:5" ht="15">
      <c r="A2614" s="120" t="s">
        <v>271</v>
      </c>
      <c r="B2614" s="121">
        <v>21</v>
      </c>
      <c r="C2614" s="121">
        <v>27</v>
      </c>
      <c r="D2614" s="121">
        <v>5</v>
      </c>
      <c r="E2614" s="121">
        <v>400</v>
      </c>
    </row>
    <row r="2615" spans="1:5" ht="15">
      <c r="A2615" s="120" t="s">
        <v>271</v>
      </c>
      <c r="B2615" s="121">
        <v>21</v>
      </c>
      <c r="C2615" s="121">
        <v>27</v>
      </c>
      <c r="D2615" s="121">
        <v>8</v>
      </c>
      <c r="E2615" s="121">
        <v>250</v>
      </c>
    </row>
    <row r="2616" spans="1:5" ht="15">
      <c r="A2616" s="120" t="s">
        <v>271</v>
      </c>
      <c r="B2616" s="121">
        <v>21</v>
      </c>
      <c r="C2616" s="121">
        <v>33</v>
      </c>
      <c r="D2616" s="121">
        <v>5</v>
      </c>
      <c r="E2616" s="121">
        <v>200</v>
      </c>
    </row>
    <row r="2617" spans="1:5" ht="15">
      <c r="A2617" s="120" t="s">
        <v>345</v>
      </c>
      <c r="B2617" s="121">
        <v>24</v>
      </c>
      <c r="C2617" s="121">
        <v>26</v>
      </c>
      <c r="D2617" s="121">
        <v>7</v>
      </c>
      <c r="E2617" s="121">
        <v>62070</v>
      </c>
    </row>
    <row r="2618" spans="1:5" ht="15">
      <c r="A2618" s="120" t="s">
        <v>345</v>
      </c>
      <c r="B2618" s="121">
        <v>24</v>
      </c>
      <c r="C2618" s="121">
        <v>27</v>
      </c>
      <c r="D2618" s="121">
        <v>2</v>
      </c>
      <c r="E2618" s="121">
        <v>28306</v>
      </c>
    </row>
    <row r="2619" spans="1:5" ht="15">
      <c r="A2619" s="120" t="s">
        <v>345</v>
      </c>
      <c r="B2619" s="121">
        <v>24</v>
      </c>
      <c r="C2619" s="121">
        <v>27</v>
      </c>
      <c r="D2619" s="121">
        <v>3</v>
      </c>
      <c r="E2619" s="121">
        <v>26637</v>
      </c>
    </row>
    <row r="2620" spans="1:5" ht="15">
      <c r="A2620" s="120" t="s">
        <v>345</v>
      </c>
      <c r="B2620" s="121">
        <v>24</v>
      </c>
      <c r="C2620" s="121">
        <v>27</v>
      </c>
      <c r="D2620" s="121">
        <v>4</v>
      </c>
      <c r="E2620" s="121">
        <v>27420</v>
      </c>
    </row>
    <row r="2621" spans="1:5" ht="15">
      <c r="A2621" s="120" t="s">
        <v>345</v>
      </c>
      <c r="B2621" s="121">
        <v>24</v>
      </c>
      <c r="C2621" s="121">
        <v>27</v>
      </c>
      <c r="D2621" s="121">
        <v>5</v>
      </c>
      <c r="E2621" s="121">
        <v>2000</v>
      </c>
    </row>
    <row r="2622" spans="1:5" ht="15">
      <c r="A2622" s="120" t="s">
        <v>271</v>
      </c>
      <c r="B2622" s="121">
        <v>24</v>
      </c>
      <c r="C2622" s="121">
        <v>26</v>
      </c>
      <c r="D2622" s="121">
        <v>7</v>
      </c>
      <c r="E2622" s="121">
        <v>50000</v>
      </c>
    </row>
    <row r="2623" spans="1:5" ht="15">
      <c r="A2623" s="120" t="s">
        <v>367</v>
      </c>
      <c r="B2623" s="121">
        <v>21</v>
      </c>
      <c r="C2623" s="121">
        <v>29</v>
      </c>
      <c r="D2623" s="121">
        <v>7</v>
      </c>
      <c r="E2623" s="121">
        <v>3211593</v>
      </c>
    </row>
    <row r="2624" spans="1:5" ht="15">
      <c r="A2624" s="120" t="s">
        <v>327</v>
      </c>
      <c r="B2624" s="121">
        <v>21</v>
      </c>
      <c r="C2624" s="121">
        <v>21</v>
      </c>
      <c r="D2624" s="121">
        <v>2</v>
      </c>
      <c r="E2624" s="121">
        <v>430549</v>
      </c>
    </row>
    <row r="2625" spans="1:5" ht="15">
      <c r="A2625" s="120" t="s">
        <v>327</v>
      </c>
      <c r="B2625" s="121">
        <v>21</v>
      </c>
      <c r="C2625" s="121">
        <v>21</v>
      </c>
      <c r="D2625" s="121">
        <v>3</v>
      </c>
      <c r="E2625" s="121">
        <v>351597</v>
      </c>
    </row>
    <row r="2626" spans="1:5" ht="15">
      <c r="A2626" s="120" t="s">
        <v>327</v>
      </c>
      <c r="B2626" s="121">
        <v>21</v>
      </c>
      <c r="C2626" s="121">
        <v>21</v>
      </c>
      <c r="D2626" s="121">
        <v>4</v>
      </c>
      <c r="E2626" s="121">
        <v>217700</v>
      </c>
    </row>
    <row r="2627" spans="1:5" ht="15">
      <c r="A2627" s="120" t="s">
        <v>327</v>
      </c>
      <c r="B2627" s="121">
        <v>21</v>
      </c>
      <c r="C2627" s="121">
        <v>21</v>
      </c>
      <c r="D2627" s="121">
        <v>5</v>
      </c>
      <c r="E2627" s="121">
        <v>10000</v>
      </c>
    </row>
    <row r="2628" spans="1:5" ht="15">
      <c r="A2628" s="120" t="s">
        <v>327</v>
      </c>
      <c r="B2628" s="121">
        <v>21</v>
      </c>
      <c r="C2628" s="121">
        <v>21</v>
      </c>
      <c r="D2628" s="121">
        <v>7</v>
      </c>
      <c r="E2628" s="121">
        <v>5000</v>
      </c>
    </row>
    <row r="2629" spans="1:5" ht="15">
      <c r="A2629" s="120" t="s">
        <v>327</v>
      </c>
      <c r="B2629" s="121">
        <v>21</v>
      </c>
      <c r="C2629" s="121">
        <v>26</v>
      </c>
      <c r="D2629" s="121">
        <v>2</v>
      </c>
      <c r="E2629" s="121">
        <v>1566979</v>
      </c>
    </row>
    <row r="2630" spans="1:5" ht="15">
      <c r="A2630" s="120" t="s">
        <v>327</v>
      </c>
      <c r="B2630" s="121">
        <v>21</v>
      </c>
      <c r="C2630" s="121">
        <v>26</v>
      </c>
      <c r="D2630" s="121">
        <v>3</v>
      </c>
      <c r="E2630" s="121">
        <v>169480</v>
      </c>
    </row>
    <row r="2631" spans="1:5" ht="15">
      <c r="A2631" s="120" t="s">
        <v>327</v>
      </c>
      <c r="B2631" s="121">
        <v>21</v>
      </c>
      <c r="C2631" s="121">
        <v>26</v>
      </c>
      <c r="D2631" s="121">
        <v>4</v>
      </c>
      <c r="E2631" s="121">
        <v>572782</v>
      </c>
    </row>
    <row r="2632" spans="1:5" ht="15">
      <c r="A2632" s="120" t="s">
        <v>327</v>
      </c>
      <c r="B2632" s="121">
        <v>21</v>
      </c>
      <c r="C2632" s="121">
        <v>26</v>
      </c>
      <c r="D2632" s="121">
        <v>5</v>
      </c>
      <c r="E2632" s="121">
        <v>50000</v>
      </c>
    </row>
    <row r="2633" spans="1:5" ht="15">
      <c r="A2633" s="120" t="s">
        <v>327</v>
      </c>
      <c r="B2633" s="121">
        <v>21</v>
      </c>
      <c r="C2633" s="121">
        <v>26</v>
      </c>
      <c r="D2633" s="121">
        <v>7</v>
      </c>
      <c r="E2633" s="121">
        <v>296600</v>
      </c>
    </row>
    <row r="2634" spans="1:5" ht="15">
      <c r="A2634" s="120" t="s">
        <v>327</v>
      </c>
      <c r="B2634" s="121">
        <v>21</v>
      </c>
      <c r="C2634" s="121">
        <v>26</v>
      </c>
      <c r="D2634" s="121">
        <v>8</v>
      </c>
      <c r="E2634" s="121">
        <v>3000</v>
      </c>
    </row>
    <row r="2635" spans="1:5" ht="15">
      <c r="A2635" s="120" t="s">
        <v>327</v>
      </c>
      <c r="B2635" s="121">
        <v>21</v>
      </c>
      <c r="C2635" s="121">
        <v>27</v>
      </c>
      <c r="D2635" s="121">
        <v>0</v>
      </c>
      <c r="E2635" s="121">
        <v>3000</v>
      </c>
    </row>
    <row r="2636" spans="1:5" ht="15">
      <c r="A2636" s="120" t="s">
        <v>327</v>
      </c>
      <c r="B2636" s="121">
        <v>21</v>
      </c>
      <c r="C2636" s="121">
        <v>27</v>
      </c>
      <c r="D2636" s="121">
        <v>2</v>
      </c>
      <c r="E2636" s="121">
        <v>4948660</v>
      </c>
    </row>
    <row r="2637" spans="1:5" ht="15">
      <c r="A2637" s="120" t="s">
        <v>327</v>
      </c>
      <c r="B2637" s="121">
        <v>21</v>
      </c>
      <c r="C2637" s="121">
        <v>27</v>
      </c>
      <c r="D2637" s="121">
        <v>3</v>
      </c>
      <c r="E2637" s="121">
        <v>4959377</v>
      </c>
    </row>
    <row r="2638" spans="1:5" ht="15">
      <c r="A2638" s="120" t="s">
        <v>327</v>
      </c>
      <c r="B2638" s="121">
        <v>21</v>
      </c>
      <c r="C2638" s="121">
        <v>27</v>
      </c>
      <c r="D2638" s="121">
        <v>4</v>
      </c>
      <c r="E2638" s="121">
        <v>4197120</v>
      </c>
    </row>
    <row r="2639" spans="1:5" ht="15">
      <c r="A2639" s="120" t="s">
        <v>327</v>
      </c>
      <c r="B2639" s="121">
        <v>21</v>
      </c>
      <c r="C2639" s="121">
        <v>27</v>
      </c>
      <c r="D2639" s="121">
        <v>5</v>
      </c>
      <c r="E2639" s="121">
        <v>111000</v>
      </c>
    </row>
    <row r="2640" spans="1:5" ht="15">
      <c r="A2640" s="120" t="s">
        <v>327</v>
      </c>
      <c r="B2640" s="121">
        <v>21</v>
      </c>
      <c r="C2640" s="121">
        <v>27</v>
      </c>
      <c r="D2640" s="121">
        <v>7</v>
      </c>
      <c r="E2640" s="121">
        <v>4596221</v>
      </c>
    </row>
    <row r="2641" spans="1:5" ht="15">
      <c r="A2641" s="120" t="s">
        <v>327</v>
      </c>
      <c r="B2641" s="121">
        <v>21</v>
      </c>
      <c r="C2641" s="121">
        <v>27</v>
      </c>
      <c r="D2641" s="121">
        <v>8</v>
      </c>
      <c r="E2641" s="121">
        <v>2000</v>
      </c>
    </row>
    <row r="2642" spans="1:5" ht="15">
      <c r="A2642" s="120" t="s">
        <v>327</v>
      </c>
      <c r="B2642" s="121">
        <v>21</v>
      </c>
      <c r="C2642" s="121">
        <v>31</v>
      </c>
      <c r="D2642" s="121">
        <v>2</v>
      </c>
      <c r="E2642" s="121">
        <v>134265</v>
      </c>
    </row>
    <row r="2643" spans="1:5" ht="15">
      <c r="A2643" s="120" t="s">
        <v>327</v>
      </c>
      <c r="B2643" s="121">
        <v>21</v>
      </c>
      <c r="C2643" s="121">
        <v>31</v>
      </c>
      <c r="D2643" s="121">
        <v>4</v>
      </c>
      <c r="E2643" s="121">
        <v>21529</v>
      </c>
    </row>
    <row r="2644" spans="1:5" ht="15">
      <c r="A2644" s="120" t="s">
        <v>327</v>
      </c>
      <c r="B2644" s="121">
        <v>24</v>
      </c>
      <c r="C2644" s="121">
        <v>26</v>
      </c>
      <c r="D2644" s="121">
        <v>2</v>
      </c>
      <c r="E2644" s="121">
        <v>1063663</v>
      </c>
    </row>
    <row r="2645" spans="1:5" ht="15">
      <c r="A2645" s="120" t="s">
        <v>327</v>
      </c>
      <c r="B2645" s="121">
        <v>24</v>
      </c>
      <c r="C2645" s="121">
        <v>26</v>
      </c>
      <c r="D2645" s="121">
        <v>4</v>
      </c>
      <c r="E2645" s="121">
        <v>274377</v>
      </c>
    </row>
    <row r="2646" spans="1:5" ht="15">
      <c r="A2646" s="120" t="s">
        <v>327</v>
      </c>
      <c r="B2646" s="121">
        <v>24</v>
      </c>
      <c r="C2646" s="121">
        <v>27</v>
      </c>
      <c r="D2646" s="121">
        <v>2</v>
      </c>
      <c r="E2646" s="121">
        <v>124716</v>
      </c>
    </row>
    <row r="2647" spans="1:5" ht="15">
      <c r="A2647" s="120" t="s">
        <v>327</v>
      </c>
      <c r="B2647" s="121">
        <v>24</v>
      </c>
      <c r="C2647" s="121">
        <v>27</v>
      </c>
      <c r="D2647" s="121">
        <v>4</v>
      </c>
      <c r="E2647" s="121">
        <v>36992</v>
      </c>
    </row>
    <row r="2648" spans="1:5" ht="15">
      <c r="A2648" s="120" t="s">
        <v>327</v>
      </c>
      <c r="B2648" s="121">
        <v>24</v>
      </c>
      <c r="C2648" s="121">
        <v>27</v>
      </c>
      <c r="D2648" s="121">
        <v>7</v>
      </c>
      <c r="E2648" s="121">
        <v>56421</v>
      </c>
    </row>
    <row r="2649" spans="1:5" ht="15">
      <c r="A2649" s="120" t="s">
        <v>367</v>
      </c>
      <c r="B2649" s="121">
        <v>24</v>
      </c>
      <c r="C2649" s="121">
        <v>31</v>
      </c>
      <c r="D2649" s="121">
        <v>5</v>
      </c>
      <c r="E2649" s="121">
        <v>10000</v>
      </c>
    </row>
    <row r="2650" spans="1:5" ht="15">
      <c r="A2650" s="120" t="s">
        <v>295</v>
      </c>
      <c r="B2650" s="121">
        <v>21</v>
      </c>
      <c r="C2650" s="121">
        <v>21</v>
      </c>
      <c r="D2650" s="121">
        <v>2</v>
      </c>
      <c r="E2650" s="121">
        <v>771274</v>
      </c>
    </row>
    <row r="2651" spans="1:5" ht="15">
      <c r="A2651" s="120" t="s">
        <v>295</v>
      </c>
      <c r="B2651" s="121">
        <v>21</v>
      </c>
      <c r="C2651" s="121">
        <v>21</v>
      </c>
      <c r="D2651" s="121">
        <v>3</v>
      </c>
      <c r="E2651" s="121">
        <v>298310</v>
      </c>
    </row>
    <row r="2652" spans="1:5" ht="15">
      <c r="A2652" s="120" t="s">
        <v>295</v>
      </c>
      <c r="B2652" s="121">
        <v>21</v>
      </c>
      <c r="C2652" s="121">
        <v>21</v>
      </c>
      <c r="D2652" s="121">
        <v>4</v>
      </c>
      <c r="E2652" s="121">
        <v>297829</v>
      </c>
    </row>
    <row r="2653" spans="1:5" ht="15">
      <c r="A2653" s="120" t="s">
        <v>295</v>
      </c>
      <c r="B2653" s="121">
        <v>21</v>
      </c>
      <c r="C2653" s="121">
        <v>21</v>
      </c>
      <c r="D2653" s="121">
        <v>7</v>
      </c>
      <c r="E2653" s="121">
        <v>42300</v>
      </c>
    </row>
    <row r="2654" spans="1:5" ht="15">
      <c r="A2654" s="120" t="s">
        <v>295</v>
      </c>
      <c r="B2654" s="121">
        <v>21</v>
      </c>
      <c r="C2654" s="121">
        <v>24</v>
      </c>
      <c r="D2654" s="121">
        <v>2</v>
      </c>
      <c r="E2654" s="121">
        <v>309997</v>
      </c>
    </row>
    <row r="2655" spans="1:5" ht="15">
      <c r="A2655" s="120" t="s">
        <v>295</v>
      </c>
      <c r="B2655" s="121">
        <v>21</v>
      </c>
      <c r="C2655" s="121">
        <v>24</v>
      </c>
      <c r="D2655" s="121">
        <v>3</v>
      </c>
      <c r="E2655" s="121">
        <v>25501</v>
      </c>
    </row>
    <row r="2656" spans="1:5" ht="15">
      <c r="A2656" s="120" t="s">
        <v>295</v>
      </c>
      <c r="B2656" s="121">
        <v>21</v>
      </c>
      <c r="C2656" s="121">
        <v>24</v>
      </c>
      <c r="D2656" s="121">
        <v>4</v>
      </c>
      <c r="E2656" s="121">
        <v>90393</v>
      </c>
    </row>
    <row r="2657" spans="1:5" ht="15">
      <c r="A2657" s="120" t="s">
        <v>295</v>
      </c>
      <c r="B2657" s="121">
        <v>21</v>
      </c>
      <c r="C2657" s="121">
        <v>25</v>
      </c>
      <c r="D2657" s="121">
        <v>3</v>
      </c>
      <c r="E2657" s="121">
        <v>80041</v>
      </c>
    </row>
    <row r="2658" spans="1:5" ht="15">
      <c r="A2658" s="120" t="s">
        <v>295</v>
      </c>
      <c r="B2658" s="121">
        <v>21</v>
      </c>
      <c r="C2658" s="121">
        <v>25</v>
      </c>
      <c r="D2658" s="121">
        <v>4</v>
      </c>
      <c r="E2658" s="121">
        <v>176921</v>
      </c>
    </row>
    <row r="2659" spans="1:5" ht="15">
      <c r="A2659" s="120" t="s">
        <v>295</v>
      </c>
      <c r="B2659" s="121">
        <v>21</v>
      </c>
      <c r="C2659" s="121">
        <v>26</v>
      </c>
      <c r="D2659" s="121">
        <v>0</v>
      </c>
      <c r="E2659" s="121">
        <v>100</v>
      </c>
    </row>
    <row r="2660" spans="1:5" ht="15">
      <c r="A2660" s="120" t="s">
        <v>295</v>
      </c>
      <c r="B2660" s="121">
        <v>21</v>
      </c>
      <c r="C2660" s="121">
        <v>26</v>
      </c>
      <c r="D2660" s="121">
        <v>2</v>
      </c>
      <c r="E2660" s="121">
        <v>4126980</v>
      </c>
    </row>
    <row r="2661" spans="1:5" ht="15">
      <c r="A2661" s="120" t="s">
        <v>295</v>
      </c>
      <c r="B2661" s="121">
        <v>21</v>
      </c>
      <c r="C2661" s="121">
        <v>26</v>
      </c>
      <c r="D2661" s="121">
        <v>3</v>
      </c>
      <c r="E2661" s="121">
        <v>68529</v>
      </c>
    </row>
    <row r="2662" spans="1:5" ht="15">
      <c r="A2662" s="120" t="s">
        <v>295</v>
      </c>
      <c r="B2662" s="121">
        <v>21</v>
      </c>
      <c r="C2662" s="121">
        <v>26</v>
      </c>
      <c r="D2662" s="121">
        <v>4</v>
      </c>
      <c r="E2662" s="121">
        <v>1242987</v>
      </c>
    </row>
    <row r="2663" spans="1:5" ht="15">
      <c r="A2663" s="120" t="s">
        <v>295</v>
      </c>
      <c r="B2663" s="121">
        <v>21</v>
      </c>
      <c r="C2663" s="121">
        <v>26</v>
      </c>
      <c r="D2663" s="121">
        <v>5</v>
      </c>
      <c r="E2663" s="121">
        <v>42000</v>
      </c>
    </row>
    <row r="2664" spans="1:5" ht="15">
      <c r="A2664" s="120" t="s">
        <v>295</v>
      </c>
      <c r="B2664" s="121">
        <v>21</v>
      </c>
      <c r="C2664" s="121">
        <v>26</v>
      </c>
      <c r="D2664" s="121">
        <v>7</v>
      </c>
      <c r="E2664" s="121">
        <v>1400000</v>
      </c>
    </row>
    <row r="2665" spans="1:5" ht="15">
      <c r="A2665" s="120" t="s">
        <v>295</v>
      </c>
      <c r="B2665" s="121">
        <v>21</v>
      </c>
      <c r="C2665" s="121">
        <v>27</v>
      </c>
      <c r="D2665" s="121">
        <v>0</v>
      </c>
      <c r="E2665" s="121">
        <v>5600</v>
      </c>
    </row>
    <row r="2666" spans="1:5" ht="15">
      <c r="A2666" s="120" t="s">
        <v>295</v>
      </c>
      <c r="B2666" s="121">
        <v>21</v>
      </c>
      <c r="C2666" s="121">
        <v>27</v>
      </c>
      <c r="D2666" s="121">
        <v>2</v>
      </c>
      <c r="E2666" s="121">
        <v>9584150</v>
      </c>
    </row>
    <row r="2667" spans="1:5" ht="15">
      <c r="A2667" s="120" t="s">
        <v>295</v>
      </c>
      <c r="B2667" s="121">
        <v>21</v>
      </c>
      <c r="C2667" s="121">
        <v>27</v>
      </c>
      <c r="D2667" s="121">
        <v>3</v>
      </c>
      <c r="E2667" s="121">
        <v>5349975</v>
      </c>
    </row>
    <row r="2668" spans="1:5" ht="15">
      <c r="A2668" s="120" t="s">
        <v>295</v>
      </c>
      <c r="B2668" s="121">
        <v>21</v>
      </c>
      <c r="C2668" s="121">
        <v>27</v>
      </c>
      <c r="D2668" s="121">
        <v>4</v>
      </c>
      <c r="E2668" s="121">
        <v>5948369</v>
      </c>
    </row>
    <row r="2669" spans="1:5" ht="15">
      <c r="A2669" s="120" t="s">
        <v>295</v>
      </c>
      <c r="B2669" s="121">
        <v>21</v>
      </c>
      <c r="C2669" s="121">
        <v>27</v>
      </c>
      <c r="D2669" s="121">
        <v>5</v>
      </c>
      <c r="E2669" s="121">
        <v>10000</v>
      </c>
    </row>
    <row r="2670" spans="1:5" ht="15">
      <c r="A2670" s="120" t="s">
        <v>295</v>
      </c>
      <c r="B2670" s="121">
        <v>21</v>
      </c>
      <c r="C2670" s="121">
        <v>27</v>
      </c>
      <c r="D2670" s="121">
        <v>7</v>
      </c>
      <c r="E2670" s="121">
        <v>4532500</v>
      </c>
    </row>
    <row r="2671" spans="1:5" ht="15">
      <c r="A2671" s="120" t="s">
        <v>295</v>
      </c>
      <c r="B2671" s="121">
        <v>21</v>
      </c>
      <c r="C2671" s="121">
        <v>29</v>
      </c>
      <c r="D2671" s="121">
        <v>7</v>
      </c>
      <c r="E2671" s="121">
        <v>67500</v>
      </c>
    </row>
    <row r="2672" spans="1:5" ht="15">
      <c r="A2672" s="120" t="s">
        <v>295</v>
      </c>
      <c r="B2672" s="121">
        <v>21</v>
      </c>
      <c r="C2672" s="121">
        <v>31</v>
      </c>
      <c r="D2672" s="121">
        <v>2</v>
      </c>
      <c r="E2672" s="121">
        <v>1462</v>
      </c>
    </row>
    <row r="2673" spans="1:5" ht="15">
      <c r="A2673" s="120" t="s">
        <v>295</v>
      </c>
      <c r="B2673" s="121">
        <v>21</v>
      </c>
      <c r="C2673" s="121">
        <v>31</v>
      </c>
      <c r="D2673" s="121">
        <v>4</v>
      </c>
      <c r="E2673" s="121">
        <v>240</v>
      </c>
    </row>
    <row r="2674" spans="1:5" ht="15">
      <c r="A2674" s="120" t="s">
        <v>295</v>
      </c>
      <c r="B2674" s="121">
        <v>21</v>
      </c>
      <c r="C2674" s="121">
        <v>34</v>
      </c>
      <c r="D2674" s="121">
        <v>2</v>
      </c>
      <c r="E2674" s="121">
        <v>202935</v>
      </c>
    </row>
    <row r="2675" spans="1:5" ht="15">
      <c r="A2675" s="120" t="s">
        <v>295</v>
      </c>
      <c r="B2675" s="121">
        <v>21</v>
      </c>
      <c r="C2675" s="121">
        <v>34</v>
      </c>
      <c r="D2675" s="121">
        <v>4</v>
      </c>
      <c r="E2675" s="121">
        <v>33052</v>
      </c>
    </row>
    <row r="2676" spans="1:5" ht="15">
      <c r="A2676" s="120" t="s">
        <v>295</v>
      </c>
      <c r="B2676" s="121">
        <v>24</v>
      </c>
      <c r="C2676" s="121">
        <v>27</v>
      </c>
      <c r="D2676" s="121">
        <v>3</v>
      </c>
      <c r="E2676" s="121">
        <v>883379</v>
      </c>
    </row>
    <row r="2677" spans="1:5" ht="15">
      <c r="A2677" s="120" t="s">
        <v>295</v>
      </c>
      <c r="B2677" s="121">
        <v>24</v>
      </c>
      <c r="C2677" s="121">
        <v>27</v>
      </c>
      <c r="D2677" s="121">
        <v>4</v>
      </c>
      <c r="E2677" s="121">
        <v>515618</v>
      </c>
    </row>
    <row r="2678" spans="1:5" ht="15">
      <c r="A2678" s="120" t="s">
        <v>295</v>
      </c>
      <c r="B2678" s="121">
        <v>24</v>
      </c>
      <c r="C2678" s="121">
        <v>27</v>
      </c>
      <c r="D2678" s="121">
        <v>7</v>
      </c>
      <c r="E2678" s="121">
        <v>1092100</v>
      </c>
    </row>
    <row r="2679" spans="1:5" ht="15">
      <c r="A2679" s="120" t="s">
        <v>295</v>
      </c>
      <c r="B2679" s="121">
        <v>24</v>
      </c>
      <c r="C2679" s="121">
        <v>29</v>
      </c>
      <c r="D2679" s="121">
        <v>7</v>
      </c>
      <c r="E2679" s="121">
        <v>100000</v>
      </c>
    </row>
    <row r="2680" spans="1:5" ht="15">
      <c r="A2680" s="120" t="s">
        <v>347</v>
      </c>
      <c r="B2680" s="121">
        <v>21</v>
      </c>
      <c r="C2680" s="121">
        <v>21</v>
      </c>
      <c r="D2680" s="121">
        <v>2</v>
      </c>
      <c r="E2680" s="121">
        <v>166291</v>
      </c>
    </row>
    <row r="2681" spans="1:5" ht="15">
      <c r="A2681" s="120" t="s">
        <v>347</v>
      </c>
      <c r="B2681" s="121">
        <v>21</v>
      </c>
      <c r="C2681" s="121">
        <v>21</v>
      </c>
      <c r="D2681" s="121">
        <v>3</v>
      </c>
      <c r="E2681" s="121">
        <v>49421</v>
      </c>
    </row>
    <row r="2682" spans="1:5" ht="15">
      <c r="A2682" s="120" t="s">
        <v>347</v>
      </c>
      <c r="B2682" s="121">
        <v>21</v>
      </c>
      <c r="C2682" s="121">
        <v>21</v>
      </c>
      <c r="D2682" s="121">
        <v>4</v>
      </c>
      <c r="E2682" s="121">
        <v>66086</v>
      </c>
    </row>
    <row r="2683" spans="1:5" ht="15">
      <c r="A2683" s="120" t="s">
        <v>347</v>
      </c>
      <c r="B2683" s="121">
        <v>21</v>
      </c>
      <c r="C2683" s="121">
        <v>21</v>
      </c>
      <c r="D2683" s="121">
        <v>5</v>
      </c>
      <c r="E2683" s="121">
        <v>2002</v>
      </c>
    </row>
    <row r="2684" spans="1:5" ht="15">
      <c r="A2684" s="120" t="s">
        <v>347</v>
      </c>
      <c r="B2684" s="121">
        <v>21</v>
      </c>
      <c r="C2684" s="121">
        <v>21</v>
      </c>
      <c r="D2684" s="121">
        <v>7</v>
      </c>
      <c r="E2684" s="121">
        <v>600</v>
      </c>
    </row>
    <row r="2685" spans="1:5" ht="15">
      <c r="A2685" s="120" t="s">
        <v>347</v>
      </c>
      <c r="B2685" s="121">
        <v>21</v>
      </c>
      <c r="C2685" s="121">
        <v>21</v>
      </c>
      <c r="D2685" s="121">
        <v>8</v>
      </c>
      <c r="E2685" s="121">
        <v>3000</v>
      </c>
    </row>
    <row r="2686" spans="1:5" ht="15">
      <c r="A2686" s="120" t="s">
        <v>347</v>
      </c>
      <c r="B2686" s="121">
        <v>21</v>
      </c>
      <c r="C2686" s="121">
        <v>21</v>
      </c>
      <c r="D2686" s="121">
        <v>9</v>
      </c>
      <c r="E2686" s="121">
        <v>7000</v>
      </c>
    </row>
    <row r="2687" spans="1:5" ht="15">
      <c r="A2687" s="120" t="s">
        <v>347</v>
      </c>
      <c r="B2687" s="121">
        <v>21</v>
      </c>
      <c r="C2687" s="121">
        <v>26</v>
      </c>
      <c r="D2687" s="121">
        <v>2</v>
      </c>
      <c r="E2687" s="121">
        <v>478987</v>
      </c>
    </row>
    <row r="2688" spans="1:5" ht="15">
      <c r="A2688" s="120" t="s">
        <v>347</v>
      </c>
      <c r="B2688" s="121">
        <v>21</v>
      </c>
      <c r="C2688" s="121">
        <v>26</v>
      </c>
      <c r="D2688" s="121">
        <v>3</v>
      </c>
      <c r="E2688" s="121">
        <v>99246</v>
      </c>
    </row>
    <row r="2689" spans="1:5" ht="15">
      <c r="A2689" s="120" t="s">
        <v>347</v>
      </c>
      <c r="B2689" s="121">
        <v>21</v>
      </c>
      <c r="C2689" s="121">
        <v>26</v>
      </c>
      <c r="D2689" s="121">
        <v>4</v>
      </c>
      <c r="E2689" s="121">
        <v>216655</v>
      </c>
    </row>
    <row r="2690" spans="1:5" ht="15">
      <c r="A2690" s="120" t="s">
        <v>347</v>
      </c>
      <c r="B2690" s="121">
        <v>21</v>
      </c>
      <c r="C2690" s="121">
        <v>26</v>
      </c>
      <c r="D2690" s="121">
        <v>5</v>
      </c>
      <c r="E2690" s="121">
        <v>7500</v>
      </c>
    </row>
    <row r="2691" spans="1:5" ht="15">
      <c r="A2691" s="120" t="s">
        <v>347</v>
      </c>
      <c r="B2691" s="121">
        <v>21</v>
      </c>
      <c r="C2691" s="121">
        <v>26</v>
      </c>
      <c r="D2691" s="121">
        <v>7</v>
      </c>
      <c r="E2691" s="121">
        <v>820608</v>
      </c>
    </row>
    <row r="2692" spans="1:5" ht="15">
      <c r="A2692" s="120" t="s">
        <v>347</v>
      </c>
      <c r="B2692" s="121">
        <v>21</v>
      </c>
      <c r="C2692" s="121">
        <v>26</v>
      </c>
      <c r="D2692" s="121">
        <v>8</v>
      </c>
      <c r="E2692" s="121">
        <v>1500</v>
      </c>
    </row>
    <row r="2693" spans="1:5" ht="15">
      <c r="A2693" s="120" t="s">
        <v>347</v>
      </c>
      <c r="B2693" s="121">
        <v>21</v>
      </c>
      <c r="C2693" s="121">
        <v>26</v>
      </c>
      <c r="D2693" s="121">
        <v>9</v>
      </c>
      <c r="E2693" s="121">
        <v>4000</v>
      </c>
    </row>
    <row r="2694" spans="1:5" ht="15">
      <c r="A2694" s="120" t="s">
        <v>347</v>
      </c>
      <c r="B2694" s="121">
        <v>21</v>
      </c>
      <c r="C2694" s="121">
        <v>27</v>
      </c>
      <c r="D2694" s="121">
        <v>0</v>
      </c>
      <c r="E2694" s="121">
        <v>300</v>
      </c>
    </row>
    <row r="2695" spans="1:5" ht="15">
      <c r="A2695" s="120" t="s">
        <v>347</v>
      </c>
      <c r="B2695" s="121">
        <v>21</v>
      </c>
      <c r="C2695" s="121">
        <v>27</v>
      </c>
      <c r="D2695" s="121">
        <v>2</v>
      </c>
      <c r="E2695" s="121">
        <v>1118291</v>
      </c>
    </row>
    <row r="2696" spans="1:5" ht="15">
      <c r="A2696" s="120" t="s">
        <v>347</v>
      </c>
      <c r="B2696" s="121">
        <v>21</v>
      </c>
      <c r="C2696" s="121">
        <v>27</v>
      </c>
      <c r="D2696" s="121">
        <v>3</v>
      </c>
      <c r="E2696" s="121">
        <v>356904</v>
      </c>
    </row>
    <row r="2697" spans="1:5" ht="15">
      <c r="A2697" s="120" t="s">
        <v>347</v>
      </c>
      <c r="B2697" s="121">
        <v>21</v>
      </c>
      <c r="C2697" s="121">
        <v>27</v>
      </c>
      <c r="D2697" s="121">
        <v>4</v>
      </c>
      <c r="E2697" s="121">
        <v>599134</v>
      </c>
    </row>
    <row r="2698" spans="1:5" ht="15">
      <c r="A2698" s="120" t="s">
        <v>347</v>
      </c>
      <c r="B2698" s="121">
        <v>21</v>
      </c>
      <c r="C2698" s="121">
        <v>27</v>
      </c>
      <c r="D2698" s="121">
        <v>5</v>
      </c>
      <c r="E2698" s="121">
        <v>17483</v>
      </c>
    </row>
    <row r="2699" spans="1:5" ht="15">
      <c r="A2699" s="120" t="s">
        <v>347</v>
      </c>
      <c r="B2699" s="121">
        <v>21</v>
      </c>
      <c r="C2699" s="121">
        <v>27</v>
      </c>
      <c r="D2699" s="121">
        <v>7</v>
      </c>
      <c r="E2699" s="121">
        <v>11100</v>
      </c>
    </row>
    <row r="2700" spans="1:5" ht="15">
      <c r="A2700" s="120" t="s">
        <v>347</v>
      </c>
      <c r="B2700" s="121">
        <v>21</v>
      </c>
      <c r="C2700" s="121">
        <v>27</v>
      </c>
      <c r="D2700" s="121">
        <v>8</v>
      </c>
      <c r="E2700" s="121">
        <v>1000</v>
      </c>
    </row>
    <row r="2701" spans="1:5" ht="15">
      <c r="A2701" s="120" t="s">
        <v>347</v>
      </c>
      <c r="B2701" s="121">
        <v>21</v>
      </c>
      <c r="C2701" s="121">
        <v>27</v>
      </c>
      <c r="D2701" s="121">
        <v>9</v>
      </c>
      <c r="E2701" s="121">
        <v>3000</v>
      </c>
    </row>
    <row r="2702" spans="1:5" ht="15">
      <c r="A2702" s="120" t="s">
        <v>347</v>
      </c>
      <c r="B2702" s="121">
        <v>21</v>
      </c>
      <c r="C2702" s="121">
        <v>31</v>
      </c>
      <c r="D2702" s="121">
        <v>2</v>
      </c>
      <c r="E2702" s="121">
        <v>1495</v>
      </c>
    </row>
    <row r="2703" spans="1:5" ht="15">
      <c r="A2703" s="120" t="s">
        <v>347</v>
      </c>
      <c r="B2703" s="121">
        <v>21</v>
      </c>
      <c r="C2703" s="121">
        <v>31</v>
      </c>
      <c r="D2703" s="121">
        <v>3</v>
      </c>
      <c r="E2703" s="121">
        <v>1355</v>
      </c>
    </row>
    <row r="2704" spans="1:5" ht="15">
      <c r="A2704" s="120" t="s">
        <v>347</v>
      </c>
      <c r="B2704" s="121">
        <v>21</v>
      </c>
      <c r="C2704" s="121">
        <v>31</v>
      </c>
      <c r="D2704" s="121">
        <v>4</v>
      </c>
      <c r="E2704" s="121">
        <v>486</v>
      </c>
    </row>
    <row r="2705" spans="1:5" ht="15">
      <c r="A2705" s="120" t="s">
        <v>347</v>
      </c>
      <c r="B2705" s="121">
        <v>21</v>
      </c>
      <c r="C2705" s="121">
        <v>31</v>
      </c>
      <c r="D2705" s="121">
        <v>5</v>
      </c>
      <c r="E2705" s="121">
        <v>500</v>
      </c>
    </row>
    <row r="2706" spans="1:5" ht="15">
      <c r="A2706" s="120" t="s">
        <v>347</v>
      </c>
      <c r="B2706" s="121">
        <v>21</v>
      </c>
      <c r="C2706" s="121">
        <v>31</v>
      </c>
      <c r="D2706" s="121">
        <v>7</v>
      </c>
      <c r="E2706" s="121">
        <v>4000</v>
      </c>
    </row>
    <row r="2707" spans="1:5" ht="15">
      <c r="A2707" s="120" t="s">
        <v>347</v>
      </c>
      <c r="B2707" s="121">
        <v>21</v>
      </c>
      <c r="C2707" s="121">
        <v>31</v>
      </c>
      <c r="D2707" s="121">
        <v>8</v>
      </c>
      <c r="E2707" s="121">
        <v>1200</v>
      </c>
    </row>
    <row r="2708" spans="1:5" ht="15">
      <c r="A2708" s="120" t="s">
        <v>347</v>
      </c>
      <c r="B2708" s="121">
        <v>21</v>
      </c>
      <c r="C2708" s="121">
        <v>32</v>
      </c>
      <c r="D2708" s="121">
        <v>9</v>
      </c>
      <c r="E2708" s="121">
        <v>8000</v>
      </c>
    </row>
    <row r="2709" spans="1:5" ht="15">
      <c r="A2709" s="120" t="s">
        <v>347</v>
      </c>
      <c r="B2709" s="121">
        <v>21</v>
      </c>
      <c r="C2709" s="121">
        <v>33</v>
      </c>
      <c r="D2709" s="121">
        <v>5</v>
      </c>
      <c r="E2709" s="121">
        <v>191100</v>
      </c>
    </row>
    <row r="2710" spans="1:5" ht="15">
      <c r="A2710" s="120" t="s">
        <v>347</v>
      </c>
      <c r="B2710" s="121">
        <v>21</v>
      </c>
      <c r="C2710" s="121">
        <v>33</v>
      </c>
      <c r="D2710" s="121">
        <v>7</v>
      </c>
      <c r="E2710" s="121">
        <v>9900</v>
      </c>
    </row>
    <row r="2711" spans="1:5" ht="15">
      <c r="A2711" s="120" t="s">
        <v>295</v>
      </c>
      <c r="B2711" s="121">
        <v>29</v>
      </c>
      <c r="C2711" s="121">
        <v>27</v>
      </c>
      <c r="D2711" s="121">
        <v>3</v>
      </c>
      <c r="E2711" s="121">
        <v>87590</v>
      </c>
    </row>
    <row r="2712" spans="1:5" ht="15">
      <c r="A2712" s="120" t="s">
        <v>295</v>
      </c>
      <c r="B2712" s="121">
        <v>29</v>
      </c>
      <c r="C2712" s="121">
        <v>27</v>
      </c>
      <c r="D2712" s="121">
        <v>4</v>
      </c>
      <c r="E2712" s="121">
        <v>63248</v>
      </c>
    </row>
    <row r="2713" spans="1:5" ht="15">
      <c r="A2713" s="120" t="s">
        <v>295</v>
      </c>
      <c r="B2713" s="121">
        <v>29</v>
      </c>
      <c r="C2713" s="121">
        <v>27</v>
      </c>
      <c r="D2713" s="121">
        <v>5</v>
      </c>
      <c r="E2713" s="121">
        <v>2630</v>
      </c>
    </row>
    <row r="2714" spans="1:5" ht="15">
      <c r="A2714" s="120" t="s">
        <v>347</v>
      </c>
      <c r="B2714" s="121">
        <v>24</v>
      </c>
      <c r="C2714" s="121">
        <v>27</v>
      </c>
      <c r="D2714" s="121">
        <v>3</v>
      </c>
      <c r="E2714" s="121">
        <v>272480</v>
      </c>
    </row>
    <row r="2715" spans="1:5" ht="15">
      <c r="A2715" s="120" t="s">
        <v>347</v>
      </c>
      <c r="B2715" s="121">
        <v>24</v>
      </c>
      <c r="C2715" s="121">
        <v>27</v>
      </c>
      <c r="D2715" s="121">
        <v>4</v>
      </c>
      <c r="E2715" s="121">
        <v>183340</v>
      </c>
    </row>
    <row r="2716" spans="1:5" ht="15">
      <c r="A2716" s="120" t="s">
        <v>347</v>
      </c>
      <c r="B2716" s="121">
        <v>24</v>
      </c>
      <c r="C2716" s="121">
        <v>27</v>
      </c>
      <c r="D2716" s="121">
        <v>7</v>
      </c>
      <c r="E2716" s="121">
        <v>1138</v>
      </c>
    </row>
    <row r="2717" spans="1:5" ht="15">
      <c r="A2717" s="120" t="s">
        <v>389</v>
      </c>
      <c r="B2717" s="121">
        <v>21</v>
      </c>
      <c r="C2717" s="121">
        <v>29</v>
      </c>
      <c r="D2717" s="121">
        <v>7</v>
      </c>
      <c r="E2717" s="121">
        <v>241204</v>
      </c>
    </row>
    <row r="2718" spans="1:5" ht="15">
      <c r="A2718" s="120" t="s">
        <v>329</v>
      </c>
      <c r="B2718" s="121">
        <v>21</v>
      </c>
      <c r="C2718" s="121">
        <v>21</v>
      </c>
      <c r="D2718" s="121">
        <v>2</v>
      </c>
      <c r="E2718" s="121">
        <v>505935</v>
      </c>
    </row>
    <row r="2719" spans="1:5" ht="15">
      <c r="A2719" s="120" t="s">
        <v>329</v>
      </c>
      <c r="B2719" s="121">
        <v>21</v>
      </c>
      <c r="C2719" s="121">
        <v>21</v>
      </c>
      <c r="D2719" s="121">
        <v>3</v>
      </c>
      <c r="E2719" s="121">
        <v>221990</v>
      </c>
    </row>
    <row r="2720" spans="1:5" ht="15">
      <c r="A2720" s="120" t="s">
        <v>329</v>
      </c>
      <c r="B2720" s="121">
        <v>21</v>
      </c>
      <c r="C2720" s="121">
        <v>21</v>
      </c>
      <c r="D2720" s="121">
        <v>4</v>
      </c>
      <c r="E2720" s="121">
        <v>183857</v>
      </c>
    </row>
    <row r="2721" spans="1:5" ht="15">
      <c r="A2721" s="120" t="s">
        <v>329</v>
      </c>
      <c r="B2721" s="121">
        <v>21</v>
      </c>
      <c r="C2721" s="121">
        <v>21</v>
      </c>
      <c r="D2721" s="121">
        <v>5</v>
      </c>
      <c r="E2721" s="121">
        <v>3500</v>
      </c>
    </row>
    <row r="2722" spans="1:5" ht="15">
      <c r="A2722" s="120" t="s">
        <v>329</v>
      </c>
      <c r="B2722" s="121">
        <v>21</v>
      </c>
      <c r="C2722" s="121">
        <v>21</v>
      </c>
      <c r="D2722" s="121">
        <v>7</v>
      </c>
      <c r="E2722" s="121">
        <v>13000</v>
      </c>
    </row>
    <row r="2723" spans="1:5" ht="15">
      <c r="A2723" s="120" t="s">
        <v>329</v>
      </c>
      <c r="B2723" s="121">
        <v>21</v>
      </c>
      <c r="C2723" s="121">
        <v>21</v>
      </c>
      <c r="D2723" s="121">
        <v>8</v>
      </c>
      <c r="E2723" s="121">
        <v>3000</v>
      </c>
    </row>
    <row r="2724" spans="1:5" ht="15">
      <c r="A2724" s="120" t="s">
        <v>329</v>
      </c>
      <c r="B2724" s="121">
        <v>21</v>
      </c>
      <c r="C2724" s="121">
        <v>26</v>
      </c>
      <c r="D2724" s="121">
        <v>0</v>
      </c>
      <c r="E2724" s="121">
        <v>934</v>
      </c>
    </row>
    <row r="2725" spans="1:5" ht="15">
      <c r="A2725" s="120" t="s">
        <v>329</v>
      </c>
      <c r="B2725" s="121">
        <v>21</v>
      </c>
      <c r="C2725" s="121">
        <v>26</v>
      </c>
      <c r="D2725" s="121">
        <v>2</v>
      </c>
      <c r="E2725" s="121">
        <v>10169487</v>
      </c>
    </row>
    <row r="2726" spans="1:5" ht="15">
      <c r="A2726" s="120" t="s">
        <v>329</v>
      </c>
      <c r="B2726" s="121">
        <v>21</v>
      </c>
      <c r="C2726" s="121">
        <v>26</v>
      </c>
      <c r="D2726" s="121">
        <v>3</v>
      </c>
      <c r="E2726" s="121">
        <v>125854</v>
      </c>
    </row>
    <row r="2727" spans="1:5" ht="15">
      <c r="A2727" s="120" t="s">
        <v>329</v>
      </c>
      <c r="B2727" s="121">
        <v>21</v>
      </c>
      <c r="C2727" s="121">
        <v>26</v>
      </c>
      <c r="D2727" s="121">
        <v>4</v>
      </c>
      <c r="E2727" s="121">
        <v>2990506</v>
      </c>
    </row>
    <row r="2728" spans="1:5" ht="15">
      <c r="A2728" s="120" t="s">
        <v>329</v>
      </c>
      <c r="B2728" s="121">
        <v>21</v>
      </c>
      <c r="C2728" s="121">
        <v>26</v>
      </c>
      <c r="D2728" s="121">
        <v>5</v>
      </c>
      <c r="E2728" s="121">
        <v>78500</v>
      </c>
    </row>
    <row r="2729" spans="1:5" ht="15">
      <c r="A2729" s="120" t="s">
        <v>329</v>
      </c>
      <c r="B2729" s="121">
        <v>21</v>
      </c>
      <c r="C2729" s="121">
        <v>26</v>
      </c>
      <c r="D2729" s="121">
        <v>7</v>
      </c>
      <c r="E2729" s="121">
        <v>2000</v>
      </c>
    </row>
    <row r="2730" spans="1:5" ht="15">
      <c r="A2730" s="120" t="s">
        <v>329</v>
      </c>
      <c r="B2730" s="121">
        <v>21</v>
      </c>
      <c r="C2730" s="121">
        <v>26</v>
      </c>
      <c r="D2730" s="121">
        <v>8</v>
      </c>
      <c r="E2730" s="121">
        <v>5000</v>
      </c>
    </row>
    <row r="2731" spans="1:5" ht="15">
      <c r="A2731" s="120" t="s">
        <v>329</v>
      </c>
      <c r="B2731" s="121">
        <v>21</v>
      </c>
      <c r="C2731" s="121">
        <v>26</v>
      </c>
      <c r="D2731" s="121">
        <v>9</v>
      </c>
      <c r="E2731" s="121">
        <v>5200</v>
      </c>
    </row>
    <row r="2732" spans="1:5" ht="15">
      <c r="A2732" s="120" t="s">
        <v>329</v>
      </c>
      <c r="B2732" s="121">
        <v>21</v>
      </c>
      <c r="C2732" s="121">
        <v>27</v>
      </c>
      <c r="D2732" s="121">
        <v>0</v>
      </c>
      <c r="E2732" s="121">
        <v>2582</v>
      </c>
    </row>
    <row r="2733" spans="1:5" ht="15">
      <c r="A2733" s="120" t="s">
        <v>329</v>
      </c>
      <c r="B2733" s="121">
        <v>21</v>
      </c>
      <c r="C2733" s="121">
        <v>27</v>
      </c>
      <c r="D2733" s="121">
        <v>2</v>
      </c>
      <c r="E2733" s="121">
        <v>14274746</v>
      </c>
    </row>
    <row r="2734" spans="1:5" ht="15">
      <c r="A2734" s="120" t="s">
        <v>329</v>
      </c>
      <c r="B2734" s="121">
        <v>21</v>
      </c>
      <c r="C2734" s="121">
        <v>27</v>
      </c>
      <c r="D2734" s="121">
        <v>3</v>
      </c>
      <c r="E2734" s="121">
        <v>15210601</v>
      </c>
    </row>
    <row r="2735" spans="1:5" ht="15">
      <c r="A2735" s="120" t="s">
        <v>329</v>
      </c>
      <c r="B2735" s="121">
        <v>21</v>
      </c>
      <c r="C2735" s="121">
        <v>27</v>
      </c>
      <c r="D2735" s="121">
        <v>4</v>
      </c>
      <c r="E2735" s="121">
        <v>11849879</v>
      </c>
    </row>
    <row r="2736" spans="1:5" ht="15">
      <c r="A2736" s="120" t="s">
        <v>329</v>
      </c>
      <c r="B2736" s="121">
        <v>21</v>
      </c>
      <c r="C2736" s="121">
        <v>27</v>
      </c>
      <c r="D2736" s="121">
        <v>5</v>
      </c>
      <c r="E2736" s="121">
        <v>69250</v>
      </c>
    </row>
    <row r="2737" spans="1:5" ht="15">
      <c r="A2737" s="120" t="s">
        <v>329</v>
      </c>
      <c r="B2737" s="121">
        <v>21</v>
      </c>
      <c r="C2737" s="121">
        <v>27</v>
      </c>
      <c r="D2737" s="121">
        <v>7</v>
      </c>
      <c r="E2737" s="121">
        <v>2565046</v>
      </c>
    </row>
    <row r="2738" spans="1:5" ht="15">
      <c r="A2738" s="120" t="s">
        <v>329</v>
      </c>
      <c r="B2738" s="121">
        <v>21</v>
      </c>
      <c r="C2738" s="121">
        <v>27</v>
      </c>
      <c r="D2738" s="121">
        <v>8</v>
      </c>
      <c r="E2738" s="121">
        <v>18300</v>
      </c>
    </row>
    <row r="2739" spans="1:5" ht="15">
      <c r="A2739" s="120" t="s">
        <v>329</v>
      </c>
      <c r="B2739" s="121">
        <v>21</v>
      </c>
      <c r="C2739" s="121">
        <v>29</v>
      </c>
      <c r="D2739" s="121">
        <v>7</v>
      </c>
      <c r="E2739" s="121">
        <v>542214</v>
      </c>
    </row>
    <row r="2740" spans="1:5" ht="15">
      <c r="A2740" s="120" t="s">
        <v>329</v>
      </c>
      <c r="B2740" s="121">
        <v>21</v>
      </c>
      <c r="C2740" s="121">
        <v>31</v>
      </c>
      <c r="D2740" s="121">
        <v>2</v>
      </c>
      <c r="E2740" s="121">
        <v>119109</v>
      </c>
    </row>
    <row r="2741" spans="1:5" ht="15">
      <c r="A2741" s="120" t="s">
        <v>329</v>
      </c>
      <c r="B2741" s="121">
        <v>21</v>
      </c>
      <c r="C2741" s="121">
        <v>31</v>
      </c>
      <c r="D2741" s="121">
        <v>4</v>
      </c>
      <c r="E2741" s="121">
        <v>35616</v>
      </c>
    </row>
    <row r="2742" spans="1:5" ht="15">
      <c r="A2742" s="120" t="s">
        <v>329</v>
      </c>
      <c r="B2742" s="121">
        <v>21</v>
      </c>
      <c r="C2742" s="121">
        <v>34</v>
      </c>
      <c r="D2742" s="121">
        <v>2</v>
      </c>
      <c r="E2742" s="121">
        <v>335935</v>
      </c>
    </row>
    <row r="2743" spans="1:5" ht="15">
      <c r="A2743" s="120" t="s">
        <v>329</v>
      </c>
      <c r="B2743" s="121">
        <v>21</v>
      </c>
      <c r="C2743" s="121">
        <v>34</v>
      </c>
      <c r="D2743" s="121">
        <v>4</v>
      </c>
      <c r="E2743" s="121">
        <v>57397</v>
      </c>
    </row>
    <row r="2744" spans="1:5" ht="15">
      <c r="A2744" s="120" t="s">
        <v>329</v>
      </c>
      <c r="B2744" s="121">
        <v>24</v>
      </c>
      <c r="C2744" s="121">
        <v>21</v>
      </c>
      <c r="D2744" s="121">
        <v>2</v>
      </c>
      <c r="E2744" s="121">
        <v>120703</v>
      </c>
    </row>
    <row r="2745" spans="1:5" ht="15">
      <c r="A2745" s="120" t="s">
        <v>329</v>
      </c>
      <c r="B2745" s="121">
        <v>24</v>
      </c>
      <c r="C2745" s="121">
        <v>21</v>
      </c>
      <c r="D2745" s="121">
        <v>4</v>
      </c>
      <c r="E2745" s="121">
        <v>28745</v>
      </c>
    </row>
    <row r="2746" spans="1:5" ht="15">
      <c r="A2746" s="120" t="s">
        <v>369</v>
      </c>
      <c r="B2746" s="121">
        <v>21</v>
      </c>
      <c r="C2746" s="121">
        <v>21</v>
      </c>
      <c r="D2746" s="121">
        <v>2</v>
      </c>
      <c r="E2746" s="121">
        <v>32500</v>
      </c>
    </row>
    <row r="2747" spans="1:5" ht="15">
      <c r="A2747" s="120" t="s">
        <v>369</v>
      </c>
      <c r="B2747" s="121">
        <v>21</v>
      </c>
      <c r="C2747" s="121">
        <v>21</v>
      </c>
      <c r="D2747" s="121">
        <v>3</v>
      </c>
      <c r="E2747" s="121">
        <v>19032</v>
      </c>
    </row>
    <row r="2748" spans="1:5" ht="15">
      <c r="A2748" s="120" t="s">
        <v>369</v>
      </c>
      <c r="B2748" s="121">
        <v>21</v>
      </c>
      <c r="C2748" s="121">
        <v>21</v>
      </c>
      <c r="D2748" s="121">
        <v>4</v>
      </c>
      <c r="E2748" s="121">
        <v>17076</v>
      </c>
    </row>
    <row r="2749" spans="1:5" ht="15">
      <c r="A2749" s="120" t="s">
        <v>369</v>
      </c>
      <c r="B2749" s="121">
        <v>21</v>
      </c>
      <c r="C2749" s="121">
        <v>21</v>
      </c>
      <c r="D2749" s="121">
        <v>8</v>
      </c>
      <c r="E2749" s="121">
        <v>2000</v>
      </c>
    </row>
    <row r="2750" spans="1:5" ht="15">
      <c r="A2750" s="120" t="s">
        <v>369</v>
      </c>
      <c r="B2750" s="121">
        <v>21</v>
      </c>
      <c r="C2750" s="121">
        <v>24</v>
      </c>
      <c r="D2750" s="121">
        <v>5</v>
      </c>
      <c r="E2750" s="121">
        <v>200</v>
      </c>
    </row>
    <row r="2751" spans="1:5" ht="15">
      <c r="A2751" s="120" t="s">
        <v>369</v>
      </c>
      <c r="B2751" s="121">
        <v>21</v>
      </c>
      <c r="C2751" s="121">
        <v>25</v>
      </c>
      <c r="D2751" s="121">
        <v>7</v>
      </c>
      <c r="E2751" s="121">
        <v>400</v>
      </c>
    </row>
    <row r="2752" spans="1:5" ht="15">
      <c r="A2752" s="120" t="s">
        <v>369</v>
      </c>
      <c r="B2752" s="121">
        <v>21</v>
      </c>
      <c r="C2752" s="121">
        <v>26</v>
      </c>
      <c r="D2752" s="121">
        <v>7</v>
      </c>
      <c r="E2752" s="121">
        <v>125000</v>
      </c>
    </row>
    <row r="2753" spans="1:5" ht="15">
      <c r="A2753" s="120" t="s">
        <v>369</v>
      </c>
      <c r="B2753" s="121">
        <v>21</v>
      </c>
      <c r="C2753" s="121">
        <v>27</v>
      </c>
      <c r="D2753" s="121">
        <v>0</v>
      </c>
      <c r="E2753" s="121">
        <v>100</v>
      </c>
    </row>
    <row r="2754" spans="1:5" ht="15">
      <c r="A2754" s="120" t="s">
        <v>369</v>
      </c>
      <c r="B2754" s="121">
        <v>21</v>
      </c>
      <c r="C2754" s="121">
        <v>27</v>
      </c>
      <c r="D2754" s="121">
        <v>2</v>
      </c>
      <c r="E2754" s="121">
        <v>365559</v>
      </c>
    </row>
    <row r="2755" spans="1:5" ht="15">
      <c r="A2755" s="120" t="s">
        <v>369</v>
      </c>
      <c r="B2755" s="121">
        <v>21</v>
      </c>
      <c r="C2755" s="121">
        <v>27</v>
      </c>
      <c r="D2755" s="121">
        <v>3</v>
      </c>
      <c r="E2755" s="121">
        <v>213657</v>
      </c>
    </row>
    <row r="2756" spans="1:5" ht="15">
      <c r="A2756" s="120" t="s">
        <v>369</v>
      </c>
      <c r="B2756" s="121">
        <v>21</v>
      </c>
      <c r="C2756" s="121">
        <v>27</v>
      </c>
      <c r="D2756" s="121">
        <v>4</v>
      </c>
      <c r="E2756" s="121">
        <v>294703</v>
      </c>
    </row>
    <row r="2757" spans="1:5" ht="15">
      <c r="A2757" s="120" t="s">
        <v>369</v>
      </c>
      <c r="B2757" s="121">
        <v>21</v>
      </c>
      <c r="C2757" s="121">
        <v>27</v>
      </c>
      <c r="D2757" s="121">
        <v>5</v>
      </c>
      <c r="E2757" s="121">
        <v>10000</v>
      </c>
    </row>
    <row r="2758" spans="1:5" ht="15">
      <c r="A2758" s="120" t="s">
        <v>369</v>
      </c>
      <c r="B2758" s="121">
        <v>21</v>
      </c>
      <c r="C2758" s="121">
        <v>27</v>
      </c>
      <c r="D2758" s="121">
        <v>7</v>
      </c>
      <c r="E2758" s="121">
        <v>3400</v>
      </c>
    </row>
    <row r="2759" spans="1:5" ht="15">
      <c r="A2759" s="120" t="s">
        <v>369</v>
      </c>
      <c r="B2759" s="121">
        <v>21</v>
      </c>
      <c r="C2759" s="121">
        <v>31</v>
      </c>
      <c r="D2759" s="121">
        <v>7</v>
      </c>
      <c r="E2759" s="121">
        <v>5500</v>
      </c>
    </row>
    <row r="2760" spans="1:5" ht="15">
      <c r="A2760" s="120" t="s">
        <v>369</v>
      </c>
      <c r="B2760" s="121">
        <v>21</v>
      </c>
      <c r="C2760" s="121">
        <v>31</v>
      </c>
      <c r="D2760" s="121">
        <v>8</v>
      </c>
      <c r="E2760" s="121">
        <v>2000</v>
      </c>
    </row>
    <row r="2761" spans="1:5" ht="15">
      <c r="A2761" s="120" t="s">
        <v>329</v>
      </c>
      <c r="B2761" s="121">
        <v>24</v>
      </c>
      <c r="C2761" s="121">
        <v>26</v>
      </c>
      <c r="D2761" s="121">
        <v>2</v>
      </c>
      <c r="E2761" s="121">
        <v>1628812</v>
      </c>
    </row>
    <row r="2762" spans="1:5" ht="15">
      <c r="A2762" s="120" t="s">
        <v>329</v>
      </c>
      <c r="B2762" s="121">
        <v>24</v>
      </c>
      <c r="C2762" s="121">
        <v>26</v>
      </c>
      <c r="D2762" s="121">
        <v>4</v>
      </c>
      <c r="E2762" s="121">
        <v>460685</v>
      </c>
    </row>
    <row r="2763" spans="1:5" ht="15">
      <c r="A2763" s="120" t="s">
        <v>329</v>
      </c>
      <c r="B2763" s="121">
        <v>24</v>
      </c>
      <c r="C2763" s="121">
        <v>27</v>
      </c>
      <c r="D2763" s="121">
        <v>2</v>
      </c>
      <c r="E2763" s="121">
        <v>844486</v>
      </c>
    </row>
    <row r="2764" spans="1:5" ht="15">
      <c r="A2764" s="120" t="s">
        <v>329</v>
      </c>
      <c r="B2764" s="121">
        <v>24</v>
      </c>
      <c r="C2764" s="121">
        <v>27</v>
      </c>
      <c r="D2764" s="121">
        <v>4</v>
      </c>
      <c r="E2764" s="121">
        <v>235434</v>
      </c>
    </row>
    <row r="2765" spans="1:5" ht="15">
      <c r="A2765" s="120" t="s">
        <v>329</v>
      </c>
      <c r="B2765" s="121">
        <v>24</v>
      </c>
      <c r="C2765" s="121">
        <v>31</v>
      </c>
      <c r="D2765" s="121">
        <v>2</v>
      </c>
      <c r="E2765" s="121">
        <v>33419</v>
      </c>
    </row>
    <row r="2766" spans="1:5" ht="15">
      <c r="A2766" s="120" t="s">
        <v>329</v>
      </c>
      <c r="B2766" s="121">
        <v>24</v>
      </c>
      <c r="C2766" s="121">
        <v>31</v>
      </c>
      <c r="D2766" s="121">
        <v>4</v>
      </c>
      <c r="E2766" s="121">
        <v>5605</v>
      </c>
    </row>
    <row r="2767" spans="1:5" ht="15">
      <c r="A2767" s="120" t="s">
        <v>369</v>
      </c>
      <c r="B2767" s="121">
        <v>24</v>
      </c>
      <c r="C2767" s="121">
        <v>26</v>
      </c>
      <c r="D2767" s="121">
        <v>5</v>
      </c>
      <c r="E2767" s="121">
        <v>10000</v>
      </c>
    </row>
    <row r="2768" spans="1:5" ht="15">
      <c r="A2768" s="120" t="s">
        <v>369</v>
      </c>
      <c r="B2768" s="121">
        <v>24</v>
      </c>
      <c r="C2768" s="121">
        <v>26</v>
      </c>
      <c r="D2768" s="121">
        <v>7</v>
      </c>
      <c r="E2768" s="121">
        <v>200000</v>
      </c>
    </row>
    <row r="2769" spans="1:5" ht="15">
      <c r="A2769" s="120" t="s">
        <v>369</v>
      </c>
      <c r="B2769" s="121">
        <v>24</v>
      </c>
      <c r="C2769" s="121">
        <v>27</v>
      </c>
      <c r="D2769" s="121">
        <v>7</v>
      </c>
      <c r="E2769" s="121">
        <v>200</v>
      </c>
    </row>
    <row r="2770" spans="1:5" ht="15">
      <c r="A2770" s="120" t="s">
        <v>349</v>
      </c>
      <c r="B2770" s="121">
        <v>21</v>
      </c>
      <c r="C2770" s="121">
        <v>21</v>
      </c>
      <c r="D2770" s="121">
        <v>2</v>
      </c>
      <c r="E2770" s="121">
        <v>391668</v>
      </c>
    </row>
    <row r="2771" spans="1:5" ht="15">
      <c r="A2771" s="120" t="s">
        <v>349</v>
      </c>
      <c r="B2771" s="121">
        <v>21</v>
      </c>
      <c r="C2771" s="121">
        <v>21</v>
      </c>
      <c r="D2771" s="121">
        <v>3</v>
      </c>
      <c r="E2771" s="121">
        <v>211266</v>
      </c>
    </row>
    <row r="2772" spans="1:5" ht="15">
      <c r="A2772" s="120" t="s">
        <v>349</v>
      </c>
      <c r="B2772" s="121">
        <v>21</v>
      </c>
      <c r="C2772" s="121">
        <v>21</v>
      </c>
      <c r="D2772" s="121">
        <v>4</v>
      </c>
      <c r="E2772" s="121">
        <v>167719</v>
      </c>
    </row>
    <row r="2773" spans="1:5" ht="15">
      <c r="A2773" s="120" t="s">
        <v>349</v>
      </c>
      <c r="B2773" s="121">
        <v>21</v>
      </c>
      <c r="C2773" s="121">
        <v>21</v>
      </c>
      <c r="D2773" s="121">
        <v>7</v>
      </c>
      <c r="E2773" s="121">
        <v>30000</v>
      </c>
    </row>
    <row r="2774" spans="1:5" ht="15">
      <c r="A2774" s="120" t="s">
        <v>349</v>
      </c>
      <c r="B2774" s="121">
        <v>21</v>
      </c>
      <c r="C2774" s="121">
        <v>25</v>
      </c>
      <c r="D2774" s="121">
        <v>3</v>
      </c>
      <c r="E2774" s="121">
        <v>608971</v>
      </c>
    </row>
    <row r="2775" spans="1:5" ht="15">
      <c r="A2775" s="120" t="s">
        <v>349</v>
      </c>
      <c r="B2775" s="121">
        <v>21</v>
      </c>
      <c r="C2775" s="121">
        <v>25</v>
      </c>
      <c r="D2775" s="121">
        <v>4</v>
      </c>
      <c r="E2775" s="121">
        <v>303621</v>
      </c>
    </row>
    <row r="2776" spans="1:5" ht="15">
      <c r="A2776" s="120" t="s">
        <v>349</v>
      </c>
      <c r="B2776" s="121">
        <v>21</v>
      </c>
      <c r="C2776" s="121">
        <v>26</v>
      </c>
      <c r="D2776" s="121">
        <v>2</v>
      </c>
      <c r="E2776" s="121">
        <v>3027284</v>
      </c>
    </row>
    <row r="2777" spans="1:5" ht="15">
      <c r="A2777" s="120" t="s">
        <v>349</v>
      </c>
      <c r="B2777" s="121">
        <v>21</v>
      </c>
      <c r="C2777" s="121">
        <v>26</v>
      </c>
      <c r="D2777" s="121">
        <v>3</v>
      </c>
      <c r="E2777" s="121">
        <v>56721</v>
      </c>
    </row>
    <row r="2778" spans="1:5" ht="15">
      <c r="A2778" s="120" t="s">
        <v>349</v>
      </c>
      <c r="B2778" s="121">
        <v>21</v>
      </c>
      <c r="C2778" s="121">
        <v>26</v>
      </c>
      <c r="D2778" s="121">
        <v>4</v>
      </c>
      <c r="E2778" s="121">
        <v>962670</v>
      </c>
    </row>
    <row r="2779" spans="1:5" ht="15">
      <c r="A2779" s="120" t="s">
        <v>349</v>
      </c>
      <c r="B2779" s="121">
        <v>21</v>
      </c>
      <c r="C2779" s="121">
        <v>26</v>
      </c>
      <c r="D2779" s="121">
        <v>5</v>
      </c>
      <c r="E2779" s="121">
        <v>11000</v>
      </c>
    </row>
    <row r="2780" spans="1:5" ht="15">
      <c r="A2780" s="120" t="s">
        <v>349</v>
      </c>
      <c r="B2780" s="121">
        <v>21</v>
      </c>
      <c r="C2780" s="121">
        <v>26</v>
      </c>
      <c r="D2780" s="121">
        <v>7</v>
      </c>
      <c r="E2780" s="121">
        <v>375000</v>
      </c>
    </row>
    <row r="2781" spans="1:5" ht="15">
      <c r="A2781" s="120" t="s">
        <v>349</v>
      </c>
      <c r="B2781" s="121">
        <v>21</v>
      </c>
      <c r="C2781" s="121">
        <v>27</v>
      </c>
      <c r="D2781" s="121">
        <v>2</v>
      </c>
      <c r="E2781" s="121">
        <v>3912724</v>
      </c>
    </row>
    <row r="2782" spans="1:5" ht="15">
      <c r="A2782" s="120" t="s">
        <v>349</v>
      </c>
      <c r="B2782" s="121">
        <v>21</v>
      </c>
      <c r="C2782" s="121">
        <v>27</v>
      </c>
      <c r="D2782" s="121">
        <v>3</v>
      </c>
      <c r="E2782" s="121">
        <v>3799386</v>
      </c>
    </row>
    <row r="2783" spans="1:5" ht="15">
      <c r="A2783" s="120" t="s">
        <v>349</v>
      </c>
      <c r="B2783" s="121">
        <v>21</v>
      </c>
      <c r="C2783" s="121">
        <v>27</v>
      </c>
      <c r="D2783" s="121">
        <v>4</v>
      </c>
      <c r="E2783" s="121">
        <v>3327414</v>
      </c>
    </row>
    <row r="2784" spans="1:5" ht="15">
      <c r="A2784" s="120" t="s">
        <v>349</v>
      </c>
      <c r="B2784" s="121">
        <v>21</v>
      </c>
      <c r="C2784" s="121">
        <v>27</v>
      </c>
      <c r="D2784" s="121">
        <v>5</v>
      </c>
      <c r="E2784" s="121">
        <v>41000</v>
      </c>
    </row>
    <row r="2785" spans="1:5" ht="15">
      <c r="A2785" s="120" t="s">
        <v>349</v>
      </c>
      <c r="B2785" s="121">
        <v>21</v>
      </c>
      <c r="C2785" s="121">
        <v>27</v>
      </c>
      <c r="D2785" s="121">
        <v>7</v>
      </c>
      <c r="E2785" s="121">
        <v>550000</v>
      </c>
    </row>
    <row r="2786" spans="1:5" ht="15">
      <c r="A2786" s="120" t="s">
        <v>349</v>
      </c>
      <c r="B2786" s="121">
        <v>21</v>
      </c>
      <c r="C2786" s="121">
        <v>29</v>
      </c>
      <c r="D2786" s="121">
        <v>7</v>
      </c>
      <c r="E2786" s="121">
        <v>60000</v>
      </c>
    </row>
    <row r="2787" spans="1:5" ht="15">
      <c r="A2787" s="120" t="s">
        <v>349</v>
      </c>
      <c r="B2787" s="121">
        <v>21</v>
      </c>
      <c r="C2787" s="121">
        <v>31</v>
      </c>
      <c r="D2787" s="121">
        <v>2</v>
      </c>
      <c r="E2787" s="121">
        <v>397063</v>
      </c>
    </row>
    <row r="2788" spans="1:5" ht="15">
      <c r="A2788" s="120" t="s">
        <v>349</v>
      </c>
      <c r="B2788" s="121">
        <v>21</v>
      </c>
      <c r="C2788" s="121">
        <v>31</v>
      </c>
      <c r="D2788" s="121">
        <v>4</v>
      </c>
      <c r="E2788" s="121">
        <v>85345</v>
      </c>
    </row>
    <row r="2789" spans="1:5" ht="15">
      <c r="A2789" s="120" t="s">
        <v>349</v>
      </c>
      <c r="B2789" s="121">
        <v>21</v>
      </c>
      <c r="C2789" s="121">
        <v>31</v>
      </c>
      <c r="D2789" s="121">
        <v>7</v>
      </c>
      <c r="E2789" s="121">
        <v>25000</v>
      </c>
    </row>
    <row r="2790" spans="1:5" ht="15">
      <c r="A2790" s="120" t="s">
        <v>349</v>
      </c>
      <c r="B2790" s="121">
        <v>21</v>
      </c>
      <c r="C2790" s="121">
        <v>33</v>
      </c>
      <c r="D2790" s="121">
        <v>5</v>
      </c>
      <c r="E2790" s="121">
        <v>20000</v>
      </c>
    </row>
    <row r="2791" spans="1:5" ht="15">
      <c r="A2791" s="120" t="s">
        <v>349</v>
      </c>
      <c r="B2791" s="121">
        <v>21</v>
      </c>
      <c r="C2791" s="121">
        <v>34</v>
      </c>
      <c r="D2791" s="121">
        <v>2</v>
      </c>
      <c r="E2791" s="121">
        <v>103884</v>
      </c>
    </row>
    <row r="2792" spans="1:5" ht="15">
      <c r="A2792" s="120" t="s">
        <v>349</v>
      </c>
      <c r="B2792" s="121">
        <v>21</v>
      </c>
      <c r="C2792" s="121">
        <v>34</v>
      </c>
      <c r="D2792" s="121">
        <v>4</v>
      </c>
      <c r="E2792" s="121">
        <v>16964</v>
      </c>
    </row>
    <row r="2793" spans="1:5" ht="15">
      <c r="A2793" s="120" t="s">
        <v>349</v>
      </c>
      <c r="B2793" s="121">
        <v>24</v>
      </c>
      <c r="C2793" s="121">
        <v>27</v>
      </c>
      <c r="D2793" s="121">
        <v>3</v>
      </c>
      <c r="E2793" s="121">
        <v>1084425</v>
      </c>
    </row>
    <row r="2794" spans="1:5" ht="15">
      <c r="A2794" s="120" t="s">
        <v>349</v>
      </c>
      <c r="B2794" s="121">
        <v>24</v>
      </c>
      <c r="C2794" s="121">
        <v>27</v>
      </c>
      <c r="D2794" s="121">
        <v>4</v>
      </c>
      <c r="E2794" s="121">
        <v>642388</v>
      </c>
    </row>
    <row r="2795" spans="1:5" ht="15">
      <c r="A2795" s="120" t="s">
        <v>349</v>
      </c>
      <c r="B2795" s="121">
        <v>29</v>
      </c>
      <c r="C2795" s="121">
        <v>27</v>
      </c>
      <c r="D2795" s="121">
        <v>3</v>
      </c>
      <c r="E2795" s="121">
        <v>245697</v>
      </c>
    </row>
    <row r="2796" spans="1:5" ht="15">
      <c r="A2796" s="120" t="s">
        <v>349</v>
      </c>
      <c r="B2796" s="121">
        <v>29</v>
      </c>
      <c r="C2796" s="121">
        <v>27</v>
      </c>
      <c r="D2796" s="121">
        <v>4</v>
      </c>
      <c r="E2796" s="121">
        <v>147009</v>
      </c>
    </row>
    <row r="2797" spans="1:5" ht="15">
      <c r="A2797" s="120" t="s">
        <v>391</v>
      </c>
      <c r="B2797" s="121">
        <v>21</v>
      </c>
      <c r="C2797" s="121">
        <v>21</v>
      </c>
      <c r="D2797" s="121">
        <v>2</v>
      </c>
      <c r="E2797" s="121">
        <v>74694</v>
      </c>
    </row>
    <row r="2798" spans="1:5" ht="15">
      <c r="A2798" s="120" t="s">
        <v>391</v>
      </c>
      <c r="B2798" s="121">
        <v>21</v>
      </c>
      <c r="C2798" s="121">
        <v>21</v>
      </c>
      <c r="D2798" s="121">
        <v>3</v>
      </c>
      <c r="E2798" s="121">
        <v>13649</v>
      </c>
    </row>
    <row r="2799" spans="1:5" ht="15">
      <c r="A2799" s="120" t="s">
        <v>391</v>
      </c>
      <c r="B2799" s="121">
        <v>21</v>
      </c>
      <c r="C2799" s="121">
        <v>21</v>
      </c>
      <c r="D2799" s="121">
        <v>4</v>
      </c>
      <c r="E2799" s="121">
        <v>33244</v>
      </c>
    </row>
    <row r="2800" spans="1:5" ht="15">
      <c r="A2800" s="120" t="s">
        <v>391</v>
      </c>
      <c r="B2800" s="121">
        <v>21</v>
      </c>
      <c r="C2800" s="121">
        <v>21</v>
      </c>
      <c r="D2800" s="121">
        <v>5</v>
      </c>
      <c r="E2800" s="121">
        <v>600</v>
      </c>
    </row>
    <row r="2801" spans="1:5" ht="15">
      <c r="A2801" s="120" t="s">
        <v>391</v>
      </c>
      <c r="B2801" s="121">
        <v>21</v>
      </c>
      <c r="C2801" s="121">
        <v>21</v>
      </c>
      <c r="D2801" s="121">
        <v>7</v>
      </c>
      <c r="E2801" s="121">
        <v>2500</v>
      </c>
    </row>
    <row r="2802" spans="1:5" ht="15">
      <c r="A2802" s="120" t="s">
        <v>391</v>
      </c>
      <c r="B2802" s="121">
        <v>21</v>
      </c>
      <c r="C2802" s="121">
        <v>21</v>
      </c>
      <c r="D2802" s="121">
        <v>8</v>
      </c>
      <c r="E2802" s="121">
        <v>1500</v>
      </c>
    </row>
    <row r="2803" spans="1:5" ht="15">
      <c r="A2803" s="120" t="s">
        <v>391</v>
      </c>
      <c r="B2803" s="121">
        <v>21</v>
      </c>
      <c r="C2803" s="121">
        <v>26</v>
      </c>
      <c r="D2803" s="121">
        <v>2</v>
      </c>
      <c r="E2803" s="121">
        <v>66545</v>
      </c>
    </row>
    <row r="2804" spans="1:5" ht="15">
      <c r="A2804" s="120" t="s">
        <v>391</v>
      </c>
      <c r="B2804" s="121">
        <v>21</v>
      </c>
      <c r="C2804" s="121">
        <v>26</v>
      </c>
      <c r="D2804" s="121">
        <v>3</v>
      </c>
      <c r="E2804" s="121">
        <v>22082</v>
      </c>
    </row>
    <row r="2805" spans="1:5" ht="15">
      <c r="A2805" s="120" t="s">
        <v>391</v>
      </c>
      <c r="B2805" s="121">
        <v>21</v>
      </c>
      <c r="C2805" s="121">
        <v>26</v>
      </c>
      <c r="D2805" s="121">
        <v>4</v>
      </c>
      <c r="E2805" s="121">
        <v>36985</v>
      </c>
    </row>
    <row r="2806" spans="1:5" ht="15">
      <c r="A2806" s="120" t="s">
        <v>391</v>
      </c>
      <c r="B2806" s="121">
        <v>21</v>
      </c>
      <c r="C2806" s="121">
        <v>26</v>
      </c>
      <c r="D2806" s="121">
        <v>5</v>
      </c>
      <c r="E2806" s="121">
        <v>2000</v>
      </c>
    </row>
    <row r="2807" spans="1:5" ht="15">
      <c r="A2807" s="120" t="s">
        <v>391</v>
      </c>
      <c r="B2807" s="121">
        <v>21</v>
      </c>
      <c r="C2807" s="121">
        <v>26</v>
      </c>
      <c r="D2807" s="121">
        <v>7</v>
      </c>
      <c r="E2807" s="121">
        <v>6000</v>
      </c>
    </row>
    <row r="2808" spans="1:5" ht="15">
      <c r="A2808" s="120" t="s">
        <v>391</v>
      </c>
      <c r="B2808" s="121">
        <v>21</v>
      </c>
      <c r="C2808" s="121">
        <v>27</v>
      </c>
      <c r="D2808" s="121">
        <v>2</v>
      </c>
      <c r="E2808" s="121">
        <v>216915</v>
      </c>
    </row>
    <row r="2809" spans="1:5" ht="15">
      <c r="A2809" s="120" t="s">
        <v>391</v>
      </c>
      <c r="B2809" s="121">
        <v>21</v>
      </c>
      <c r="C2809" s="121">
        <v>27</v>
      </c>
      <c r="D2809" s="121">
        <v>3</v>
      </c>
      <c r="E2809" s="121">
        <v>182077</v>
      </c>
    </row>
    <row r="2810" spans="1:5" ht="15">
      <c r="A2810" s="120" t="s">
        <v>391</v>
      </c>
      <c r="B2810" s="121">
        <v>21</v>
      </c>
      <c r="C2810" s="121">
        <v>27</v>
      </c>
      <c r="D2810" s="121">
        <v>4</v>
      </c>
      <c r="E2810" s="121">
        <v>222610</v>
      </c>
    </row>
    <row r="2811" spans="1:5" ht="15">
      <c r="A2811" s="120" t="s">
        <v>391</v>
      </c>
      <c r="B2811" s="121">
        <v>21</v>
      </c>
      <c r="C2811" s="121">
        <v>27</v>
      </c>
      <c r="D2811" s="121">
        <v>5</v>
      </c>
      <c r="E2811" s="121">
        <v>3000</v>
      </c>
    </row>
    <row r="2812" spans="1:5" ht="15">
      <c r="A2812" s="120" t="s">
        <v>391</v>
      </c>
      <c r="B2812" s="121">
        <v>21</v>
      </c>
      <c r="C2812" s="121">
        <v>27</v>
      </c>
      <c r="D2812" s="121">
        <v>7</v>
      </c>
      <c r="E2812" s="121">
        <v>110000</v>
      </c>
    </row>
    <row r="2813" spans="1:5" ht="15">
      <c r="A2813" s="120" t="s">
        <v>391</v>
      </c>
      <c r="B2813" s="121">
        <v>21</v>
      </c>
      <c r="C2813" s="121">
        <v>27</v>
      </c>
      <c r="D2813" s="121">
        <v>8</v>
      </c>
      <c r="E2813" s="121">
        <v>1000</v>
      </c>
    </row>
    <row r="2814" spans="1:5" ht="15">
      <c r="A2814" s="120" t="s">
        <v>391</v>
      </c>
      <c r="B2814" s="121">
        <v>21</v>
      </c>
      <c r="C2814" s="121">
        <v>31</v>
      </c>
      <c r="D2814" s="121">
        <v>7</v>
      </c>
      <c r="E2814" s="121">
        <v>1000</v>
      </c>
    </row>
    <row r="2815" spans="1:5" ht="15">
      <c r="A2815" s="120" t="s">
        <v>391</v>
      </c>
      <c r="B2815" s="121">
        <v>21</v>
      </c>
      <c r="C2815" s="121">
        <v>34</v>
      </c>
      <c r="D2815" s="121">
        <v>2</v>
      </c>
      <c r="E2815" s="121">
        <v>6025</v>
      </c>
    </row>
    <row r="2816" spans="1:5" ht="15">
      <c r="A2816" s="120" t="s">
        <v>391</v>
      </c>
      <c r="B2816" s="121">
        <v>21</v>
      </c>
      <c r="C2816" s="121">
        <v>34</v>
      </c>
      <c r="D2816" s="121">
        <v>4</v>
      </c>
      <c r="E2816" s="121">
        <v>986</v>
      </c>
    </row>
    <row r="2817" spans="1:5" ht="15">
      <c r="A2817" s="120" t="s">
        <v>391</v>
      </c>
      <c r="B2817" s="121">
        <v>24</v>
      </c>
      <c r="C2817" s="121">
        <v>26</v>
      </c>
      <c r="D2817" s="121">
        <v>3</v>
      </c>
      <c r="E2817" s="121">
        <v>6733</v>
      </c>
    </row>
    <row r="2818" spans="1:5" ht="15">
      <c r="A2818" s="120" t="s">
        <v>391</v>
      </c>
      <c r="B2818" s="121">
        <v>24</v>
      </c>
      <c r="C2818" s="121">
        <v>26</v>
      </c>
      <c r="D2818" s="121">
        <v>4</v>
      </c>
      <c r="E2818" s="121">
        <v>4731</v>
      </c>
    </row>
    <row r="2819" spans="1:5" ht="15">
      <c r="A2819" s="120" t="s">
        <v>391</v>
      </c>
      <c r="B2819" s="121">
        <v>24</v>
      </c>
      <c r="C2819" s="121">
        <v>27</v>
      </c>
      <c r="D2819" s="121">
        <v>2</v>
      </c>
      <c r="E2819" s="121">
        <v>29628</v>
      </c>
    </row>
    <row r="2820" spans="1:5" ht="15">
      <c r="A2820" s="120" t="s">
        <v>391</v>
      </c>
      <c r="B2820" s="121">
        <v>24</v>
      </c>
      <c r="C2820" s="121">
        <v>27</v>
      </c>
      <c r="D2820" s="121">
        <v>3</v>
      </c>
      <c r="E2820" s="121">
        <v>54536</v>
      </c>
    </row>
    <row r="2821" spans="1:5" ht="15">
      <c r="A2821" s="120" t="s">
        <v>391</v>
      </c>
      <c r="B2821" s="121">
        <v>24</v>
      </c>
      <c r="C2821" s="121">
        <v>27</v>
      </c>
      <c r="D2821" s="121">
        <v>4</v>
      </c>
      <c r="E2821" s="121">
        <v>53133</v>
      </c>
    </row>
    <row r="2822" spans="1:5" ht="15">
      <c r="A2822" s="120" t="s">
        <v>391</v>
      </c>
      <c r="B2822" s="121">
        <v>24</v>
      </c>
      <c r="C2822" s="121">
        <v>27</v>
      </c>
      <c r="D2822" s="121">
        <v>5</v>
      </c>
      <c r="E2822" s="121">
        <v>3358</v>
      </c>
    </row>
    <row r="2823" spans="1:5" ht="15">
      <c r="A2823" s="120" t="s">
        <v>391</v>
      </c>
      <c r="B2823" s="121">
        <v>24</v>
      </c>
      <c r="C2823" s="121">
        <v>27</v>
      </c>
      <c r="D2823" s="121">
        <v>7</v>
      </c>
      <c r="E2823" s="121">
        <v>8000</v>
      </c>
    </row>
    <row r="2824" spans="1:5" ht="15">
      <c r="A2824" s="120" t="s">
        <v>411</v>
      </c>
      <c r="B2824" s="121">
        <v>21</v>
      </c>
      <c r="C2824" s="121">
        <v>21</v>
      </c>
      <c r="D2824" s="121">
        <v>2</v>
      </c>
      <c r="E2824" s="121">
        <v>92766</v>
      </c>
    </row>
    <row r="2825" spans="1:5" ht="15">
      <c r="A2825" s="120" t="s">
        <v>411</v>
      </c>
      <c r="B2825" s="121">
        <v>21</v>
      </c>
      <c r="C2825" s="121">
        <v>21</v>
      </c>
      <c r="D2825" s="121">
        <v>4</v>
      </c>
      <c r="E2825" s="121">
        <v>31800</v>
      </c>
    </row>
    <row r="2826" spans="1:5" ht="15">
      <c r="A2826" s="120" t="s">
        <v>411</v>
      </c>
      <c r="B2826" s="121">
        <v>21</v>
      </c>
      <c r="C2826" s="121">
        <v>24</v>
      </c>
      <c r="D2826" s="121">
        <v>3</v>
      </c>
      <c r="E2826" s="121">
        <v>74914</v>
      </c>
    </row>
    <row r="2827" spans="1:5" ht="15">
      <c r="A2827" s="120" t="s">
        <v>411</v>
      </c>
      <c r="B2827" s="121">
        <v>21</v>
      </c>
      <c r="C2827" s="121">
        <v>24</v>
      </c>
      <c r="D2827" s="121">
        <v>4</v>
      </c>
      <c r="E2827" s="121">
        <v>25680</v>
      </c>
    </row>
    <row r="2828" spans="1:5" ht="15">
      <c r="A2828" s="120" t="s">
        <v>411</v>
      </c>
      <c r="B2828" s="121">
        <v>21</v>
      </c>
      <c r="C2828" s="121">
        <v>26</v>
      </c>
      <c r="D2828" s="121">
        <v>5</v>
      </c>
      <c r="E2828" s="121">
        <v>7871</v>
      </c>
    </row>
    <row r="2829" spans="1:5" ht="15">
      <c r="A2829" s="120" t="s">
        <v>411</v>
      </c>
      <c r="B2829" s="121">
        <v>21</v>
      </c>
      <c r="C2829" s="121">
        <v>26</v>
      </c>
      <c r="D2829" s="121">
        <v>7</v>
      </c>
      <c r="E2829" s="121">
        <v>160081</v>
      </c>
    </row>
    <row r="2830" spans="1:5" ht="15">
      <c r="A2830" s="120" t="s">
        <v>411</v>
      </c>
      <c r="B2830" s="121">
        <v>21</v>
      </c>
      <c r="C2830" s="121">
        <v>27</v>
      </c>
      <c r="D2830" s="121">
        <v>2</v>
      </c>
      <c r="E2830" s="121">
        <v>207069</v>
      </c>
    </row>
    <row r="2831" spans="1:5" ht="15">
      <c r="A2831" s="120" t="s">
        <v>411</v>
      </c>
      <c r="B2831" s="121">
        <v>21</v>
      </c>
      <c r="C2831" s="121">
        <v>27</v>
      </c>
      <c r="D2831" s="121">
        <v>4</v>
      </c>
      <c r="E2831" s="121">
        <v>70983</v>
      </c>
    </row>
    <row r="2832" spans="1:5" ht="15">
      <c r="A2832" s="120" t="s">
        <v>371</v>
      </c>
      <c r="B2832" s="121">
        <v>21</v>
      </c>
      <c r="C2832" s="121">
        <v>21</v>
      </c>
      <c r="D2832" s="121">
        <v>7</v>
      </c>
      <c r="E2832" s="121">
        <v>500</v>
      </c>
    </row>
    <row r="2833" spans="1:5" ht="15">
      <c r="A2833" s="120" t="s">
        <v>371</v>
      </c>
      <c r="B2833" s="121">
        <v>21</v>
      </c>
      <c r="C2833" s="121">
        <v>23</v>
      </c>
      <c r="D2833" s="121">
        <v>2</v>
      </c>
      <c r="E2833" s="121">
        <v>30294</v>
      </c>
    </row>
    <row r="2834" spans="1:5" ht="15">
      <c r="A2834" s="120" t="s">
        <v>371</v>
      </c>
      <c r="B2834" s="121">
        <v>21</v>
      </c>
      <c r="C2834" s="121">
        <v>23</v>
      </c>
      <c r="D2834" s="121">
        <v>4</v>
      </c>
      <c r="E2834" s="121">
        <v>8790</v>
      </c>
    </row>
    <row r="2835" spans="1:5" ht="15">
      <c r="A2835" s="120" t="s">
        <v>411</v>
      </c>
      <c r="B2835" s="121">
        <v>24</v>
      </c>
      <c r="C2835" s="121">
        <v>27</v>
      </c>
      <c r="D2835" s="121">
        <v>2</v>
      </c>
      <c r="E2835" s="121">
        <v>30619</v>
      </c>
    </row>
    <row r="2836" spans="1:5" ht="15">
      <c r="A2836" s="120" t="s">
        <v>411</v>
      </c>
      <c r="B2836" s="121">
        <v>24</v>
      </c>
      <c r="C2836" s="121">
        <v>27</v>
      </c>
      <c r="D2836" s="121">
        <v>4</v>
      </c>
      <c r="E2836" s="121">
        <v>10496</v>
      </c>
    </row>
    <row r="2837" spans="1:5" ht="15">
      <c r="A2837" s="120" t="s">
        <v>371</v>
      </c>
      <c r="B2837" s="121">
        <v>21</v>
      </c>
      <c r="C2837" s="121">
        <v>26</v>
      </c>
      <c r="D2837" s="121">
        <v>5</v>
      </c>
      <c r="E2837" s="121">
        <v>43000</v>
      </c>
    </row>
    <row r="2838" spans="1:5" ht="15">
      <c r="A2838" s="120" t="s">
        <v>371</v>
      </c>
      <c r="B2838" s="121">
        <v>21</v>
      </c>
      <c r="C2838" s="121">
        <v>26</v>
      </c>
      <c r="D2838" s="121">
        <v>7</v>
      </c>
      <c r="E2838" s="121">
        <v>143790</v>
      </c>
    </row>
    <row r="2839" spans="1:5" ht="15">
      <c r="A2839" s="120" t="s">
        <v>371</v>
      </c>
      <c r="B2839" s="121">
        <v>21</v>
      </c>
      <c r="C2839" s="121">
        <v>27</v>
      </c>
      <c r="D2839" s="121">
        <v>2</v>
      </c>
      <c r="E2839" s="121">
        <v>68399</v>
      </c>
    </row>
    <row r="2840" spans="1:5" ht="15">
      <c r="A2840" s="120" t="s">
        <v>371</v>
      </c>
      <c r="B2840" s="121">
        <v>21</v>
      </c>
      <c r="C2840" s="121">
        <v>27</v>
      </c>
      <c r="D2840" s="121">
        <v>3</v>
      </c>
      <c r="E2840" s="121">
        <v>134983</v>
      </c>
    </row>
    <row r="2841" spans="1:5" ht="15">
      <c r="A2841" s="120" t="s">
        <v>371</v>
      </c>
      <c r="B2841" s="121">
        <v>21</v>
      </c>
      <c r="C2841" s="121">
        <v>27</v>
      </c>
      <c r="D2841" s="121">
        <v>4</v>
      </c>
      <c r="E2841" s="121">
        <v>132744</v>
      </c>
    </row>
    <row r="2842" spans="1:5" ht="15">
      <c r="A2842" s="120" t="s">
        <v>371</v>
      </c>
      <c r="B2842" s="121">
        <v>21</v>
      </c>
      <c r="C2842" s="121">
        <v>27</v>
      </c>
      <c r="D2842" s="121">
        <v>5</v>
      </c>
      <c r="E2842" s="121">
        <v>700</v>
      </c>
    </row>
    <row r="2843" spans="1:5" ht="15">
      <c r="A2843" s="120" t="s">
        <v>371</v>
      </c>
      <c r="B2843" s="121">
        <v>21</v>
      </c>
      <c r="C2843" s="121">
        <v>31</v>
      </c>
      <c r="D2843" s="121">
        <v>7</v>
      </c>
      <c r="E2843" s="121">
        <v>2000</v>
      </c>
    </row>
    <row r="2844" spans="1:5" ht="15">
      <c r="A2844" s="120" t="s">
        <v>371</v>
      </c>
      <c r="B2844" s="121">
        <v>21</v>
      </c>
      <c r="C2844" s="121">
        <v>33</v>
      </c>
      <c r="D2844" s="121">
        <v>5</v>
      </c>
      <c r="E2844" s="121">
        <v>2500</v>
      </c>
    </row>
    <row r="2845" spans="1:5" ht="15">
      <c r="A2845" s="120" t="s">
        <v>371</v>
      </c>
      <c r="B2845" s="121">
        <v>21</v>
      </c>
      <c r="C2845" s="121">
        <v>33</v>
      </c>
      <c r="D2845" s="121">
        <v>8</v>
      </c>
      <c r="E2845" s="121">
        <v>1000</v>
      </c>
    </row>
    <row r="2846" spans="1:5" ht="15">
      <c r="A2846" s="120" t="s">
        <v>371</v>
      </c>
      <c r="B2846" s="121">
        <v>21</v>
      </c>
      <c r="C2846" s="121">
        <v>34</v>
      </c>
      <c r="D2846" s="121">
        <v>2</v>
      </c>
      <c r="E2846" s="121">
        <v>740</v>
      </c>
    </row>
    <row r="2847" spans="1:5" ht="15">
      <c r="A2847" s="120" t="s">
        <v>371</v>
      </c>
      <c r="B2847" s="121">
        <v>21</v>
      </c>
      <c r="C2847" s="121">
        <v>34</v>
      </c>
      <c r="D2847" s="121">
        <v>4</v>
      </c>
      <c r="E2847" s="121">
        <v>293</v>
      </c>
    </row>
    <row r="2848" spans="1:5" ht="15">
      <c r="A2848" s="120" t="s">
        <v>371</v>
      </c>
      <c r="B2848" s="121">
        <v>24</v>
      </c>
      <c r="C2848" s="121">
        <v>21</v>
      </c>
      <c r="D2848" s="121">
        <v>2</v>
      </c>
      <c r="E2848" s="121">
        <v>43048</v>
      </c>
    </row>
    <row r="2849" spans="1:5" ht="15">
      <c r="A2849" s="120" t="s">
        <v>371</v>
      </c>
      <c r="B2849" s="121">
        <v>24</v>
      </c>
      <c r="C2849" s="121">
        <v>21</v>
      </c>
      <c r="D2849" s="121">
        <v>4</v>
      </c>
      <c r="E2849" s="121">
        <v>11612</v>
      </c>
    </row>
    <row r="2850" spans="1:5" ht="15">
      <c r="A2850" s="120" t="s">
        <v>351</v>
      </c>
      <c r="B2850" s="121">
        <v>21</v>
      </c>
      <c r="C2850" s="121">
        <v>21</v>
      </c>
      <c r="D2850" s="121">
        <v>2</v>
      </c>
      <c r="E2850" s="121">
        <v>107542</v>
      </c>
    </row>
    <row r="2851" spans="1:5" ht="15">
      <c r="A2851" s="120" t="s">
        <v>351</v>
      </c>
      <c r="B2851" s="121">
        <v>21</v>
      </c>
      <c r="C2851" s="121">
        <v>21</v>
      </c>
      <c r="D2851" s="121">
        <v>3</v>
      </c>
      <c r="E2851" s="121">
        <v>53948</v>
      </c>
    </row>
    <row r="2852" spans="1:5" ht="15">
      <c r="A2852" s="120" t="s">
        <v>351</v>
      </c>
      <c r="B2852" s="121">
        <v>21</v>
      </c>
      <c r="C2852" s="121">
        <v>21</v>
      </c>
      <c r="D2852" s="121">
        <v>4</v>
      </c>
      <c r="E2852" s="121">
        <v>51337</v>
      </c>
    </row>
    <row r="2853" spans="1:5" ht="15">
      <c r="A2853" s="120" t="s">
        <v>351</v>
      </c>
      <c r="B2853" s="121">
        <v>21</v>
      </c>
      <c r="C2853" s="121">
        <v>23</v>
      </c>
      <c r="D2853" s="121">
        <v>2</v>
      </c>
      <c r="E2853" s="121">
        <v>176613</v>
      </c>
    </row>
    <row r="2854" spans="1:5" ht="15">
      <c r="A2854" s="120" t="s">
        <v>351</v>
      </c>
      <c r="B2854" s="121">
        <v>21</v>
      </c>
      <c r="C2854" s="121">
        <v>23</v>
      </c>
      <c r="D2854" s="121">
        <v>3</v>
      </c>
      <c r="E2854" s="121">
        <v>72980</v>
      </c>
    </row>
    <row r="2855" spans="1:5" ht="15">
      <c r="A2855" s="120" t="s">
        <v>351</v>
      </c>
      <c r="B2855" s="121">
        <v>21</v>
      </c>
      <c r="C2855" s="121">
        <v>23</v>
      </c>
      <c r="D2855" s="121">
        <v>4</v>
      </c>
      <c r="E2855" s="121">
        <v>81549</v>
      </c>
    </row>
    <row r="2856" spans="1:5" ht="15">
      <c r="A2856" s="120" t="s">
        <v>351</v>
      </c>
      <c r="B2856" s="121">
        <v>21</v>
      </c>
      <c r="C2856" s="121">
        <v>26</v>
      </c>
      <c r="D2856" s="121">
        <v>2</v>
      </c>
      <c r="E2856" s="121">
        <v>108050</v>
      </c>
    </row>
    <row r="2857" spans="1:5" ht="15">
      <c r="A2857" s="120" t="s">
        <v>351</v>
      </c>
      <c r="B2857" s="121">
        <v>21</v>
      </c>
      <c r="C2857" s="121">
        <v>26</v>
      </c>
      <c r="D2857" s="121">
        <v>4</v>
      </c>
      <c r="E2857" s="121">
        <v>34720</v>
      </c>
    </row>
    <row r="2858" spans="1:5" ht="15">
      <c r="A2858" s="120" t="s">
        <v>351</v>
      </c>
      <c r="B2858" s="121">
        <v>21</v>
      </c>
      <c r="C2858" s="121">
        <v>26</v>
      </c>
      <c r="D2858" s="121">
        <v>5</v>
      </c>
      <c r="E2858" s="121">
        <v>1400</v>
      </c>
    </row>
    <row r="2859" spans="1:5" ht="15">
      <c r="A2859" s="120" t="s">
        <v>351</v>
      </c>
      <c r="B2859" s="121">
        <v>21</v>
      </c>
      <c r="C2859" s="121">
        <v>26</v>
      </c>
      <c r="D2859" s="121">
        <v>7</v>
      </c>
      <c r="E2859" s="121">
        <v>1001000</v>
      </c>
    </row>
    <row r="2860" spans="1:5" ht="15">
      <c r="A2860" s="120" t="s">
        <v>351</v>
      </c>
      <c r="B2860" s="121">
        <v>21</v>
      </c>
      <c r="C2860" s="121">
        <v>27</v>
      </c>
      <c r="D2860" s="121">
        <v>2</v>
      </c>
      <c r="E2860" s="121">
        <v>1281232</v>
      </c>
    </row>
    <row r="2861" spans="1:5" ht="15">
      <c r="A2861" s="120" t="s">
        <v>351</v>
      </c>
      <c r="B2861" s="121">
        <v>21</v>
      </c>
      <c r="C2861" s="121">
        <v>27</v>
      </c>
      <c r="D2861" s="121">
        <v>3</v>
      </c>
      <c r="E2861" s="121">
        <v>801399</v>
      </c>
    </row>
    <row r="2862" spans="1:5" ht="15">
      <c r="A2862" s="120" t="s">
        <v>351</v>
      </c>
      <c r="B2862" s="121">
        <v>21</v>
      </c>
      <c r="C2862" s="121">
        <v>27</v>
      </c>
      <c r="D2862" s="121">
        <v>4</v>
      </c>
      <c r="E2862" s="121">
        <v>923221</v>
      </c>
    </row>
    <row r="2863" spans="1:5" ht="15">
      <c r="A2863" s="120" t="s">
        <v>351</v>
      </c>
      <c r="B2863" s="121">
        <v>21</v>
      </c>
      <c r="C2863" s="121">
        <v>27</v>
      </c>
      <c r="D2863" s="121">
        <v>5</v>
      </c>
      <c r="E2863" s="121">
        <v>14251</v>
      </c>
    </row>
    <row r="2864" spans="1:5" ht="15">
      <c r="A2864" s="120" t="s">
        <v>351</v>
      </c>
      <c r="B2864" s="121">
        <v>21</v>
      </c>
      <c r="C2864" s="121">
        <v>27</v>
      </c>
      <c r="D2864" s="121">
        <v>7</v>
      </c>
      <c r="E2864" s="121">
        <v>2200</v>
      </c>
    </row>
    <row r="2865" spans="1:5" ht="15">
      <c r="A2865" s="120" t="s">
        <v>351</v>
      </c>
      <c r="B2865" s="121">
        <v>21</v>
      </c>
      <c r="C2865" s="121">
        <v>29</v>
      </c>
      <c r="D2865" s="121">
        <v>7</v>
      </c>
      <c r="E2865" s="121">
        <v>200000</v>
      </c>
    </row>
    <row r="2866" spans="1:5" ht="15">
      <c r="A2866" s="120" t="s">
        <v>351</v>
      </c>
      <c r="B2866" s="121">
        <v>21</v>
      </c>
      <c r="C2866" s="121">
        <v>31</v>
      </c>
      <c r="D2866" s="121">
        <v>7</v>
      </c>
      <c r="E2866" s="121">
        <v>5000</v>
      </c>
    </row>
    <row r="2867" spans="1:5" ht="15">
      <c r="A2867" s="120" t="s">
        <v>351</v>
      </c>
      <c r="B2867" s="121">
        <v>21</v>
      </c>
      <c r="C2867" s="121">
        <v>31</v>
      </c>
      <c r="D2867" s="121">
        <v>8</v>
      </c>
      <c r="E2867" s="121">
        <v>1200</v>
      </c>
    </row>
    <row r="2868" spans="1:5" ht="15">
      <c r="A2868" s="120" t="s">
        <v>351</v>
      </c>
      <c r="B2868" s="121">
        <v>21</v>
      </c>
      <c r="C2868" s="121">
        <v>34</v>
      </c>
      <c r="D2868" s="121">
        <v>2</v>
      </c>
      <c r="E2868" s="121">
        <v>24219</v>
      </c>
    </row>
    <row r="2869" spans="1:5" ht="15">
      <c r="A2869" s="120" t="s">
        <v>351</v>
      </c>
      <c r="B2869" s="121">
        <v>21</v>
      </c>
      <c r="C2869" s="121">
        <v>34</v>
      </c>
      <c r="D2869" s="121">
        <v>4</v>
      </c>
      <c r="E2869" s="121">
        <v>7031</v>
      </c>
    </row>
    <row r="2870" spans="1:5" ht="15">
      <c r="A2870" s="120" t="s">
        <v>351</v>
      </c>
      <c r="B2870" s="121">
        <v>24</v>
      </c>
      <c r="C2870" s="121">
        <v>26</v>
      </c>
      <c r="D2870" s="121">
        <v>2</v>
      </c>
      <c r="E2870" s="121">
        <v>122343</v>
      </c>
    </row>
    <row r="2871" spans="1:5" ht="15">
      <c r="A2871" s="120" t="s">
        <v>351</v>
      </c>
      <c r="B2871" s="121">
        <v>24</v>
      </c>
      <c r="C2871" s="121">
        <v>26</v>
      </c>
      <c r="D2871" s="121">
        <v>4</v>
      </c>
      <c r="E2871" s="121">
        <v>34648</v>
      </c>
    </row>
    <row r="2872" spans="1:5" ht="15">
      <c r="A2872" s="120" t="s">
        <v>351</v>
      </c>
      <c r="B2872" s="121">
        <v>24</v>
      </c>
      <c r="C2872" s="121">
        <v>27</v>
      </c>
      <c r="D2872" s="121">
        <v>2</v>
      </c>
      <c r="E2872" s="121">
        <v>202414</v>
      </c>
    </row>
    <row r="2873" spans="1:5" ht="15">
      <c r="A2873" s="120" t="s">
        <v>351</v>
      </c>
      <c r="B2873" s="121">
        <v>24</v>
      </c>
      <c r="C2873" s="121">
        <v>27</v>
      </c>
      <c r="D2873" s="121">
        <v>4</v>
      </c>
      <c r="E2873" s="121">
        <v>57314</v>
      </c>
    </row>
    <row r="2874" spans="1:5" ht="15">
      <c r="A2874" s="120" t="s">
        <v>331</v>
      </c>
      <c r="B2874" s="121">
        <v>21</v>
      </c>
      <c r="C2874" s="121">
        <v>21</v>
      </c>
      <c r="D2874" s="121">
        <v>2</v>
      </c>
      <c r="E2874" s="121">
        <v>158810</v>
      </c>
    </row>
    <row r="2875" spans="1:5" ht="15">
      <c r="A2875" s="120" t="s">
        <v>331</v>
      </c>
      <c r="B2875" s="121">
        <v>21</v>
      </c>
      <c r="C2875" s="121">
        <v>21</v>
      </c>
      <c r="D2875" s="121">
        <v>3</v>
      </c>
      <c r="E2875" s="121">
        <v>36485</v>
      </c>
    </row>
    <row r="2876" spans="1:5" ht="15">
      <c r="A2876" s="120" t="s">
        <v>331</v>
      </c>
      <c r="B2876" s="121">
        <v>21</v>
      </c>
      <c r="C2876" s="121">
        <v>21</v>
      </c>
      <c r="D2876" s="121">
        <v>4</v>
      </c>
      <c r="E2876" s="121">
        <v>56907</v>
      </c>
    </row>
    <row r="2877" spans="1:5" ht="15">
      <c r="A2877" s="120" t="s">
        <v>331</v>
      </c>
      <c r="B2877" s="121">
        <v>21</v>
      </c>
      <c r="C2877" s="121">
        <v>21</v>
      </c>
      <c r="D2877" s="121">
        <v>5</v>
      </c>
      <c r="E2877" s="121">
        <v>1000</v>
      </c>
    </row>
    <row r="2878" spans="1:5" ht="15">
      <c r="A2878" s="120" t="s">
        <v>331</v>
      </c>
      <c r="B2878" s="121">
        <v>21</v>
      </c>
      <c r="C2878" s="121">
        <v>21</v>
      </c>
      <c r="D2878" s="121">
        <v>7</v>
      </c>
      <c r="E2878" s="121">
        <v>1966</v>
      </c>
    </row>
    <row r="2879" spans="1:5" ht="15">
      <c r="A2879" s="120" t="s">
        <v>331</v>
      </c>
      <c r="B2879" s="121">
        <v>21</v>
      </c>
      <c r="C2879" s="121">
        <v>26</v>
      </c>
      <c r="D2879" s="121">
        <v>2</v>
      </c>
      <c r="E2879" s="121">
        <v>222489</v>
      </c>
    </row>
    <row r="2880" spans="1:5" ht="15">
      <c r="A2880" s="120" t="s">
        <v>331</v>
      </c>
      <c r="B2880" s="121">
        <v>21</v>
      </c>
      <c r="C2880" s="121">
        <v>26</v>
      </c>
      <c r="D2880" s="121">
        <v>3</v>
      </c>
      <c r="E2880" s="121">
        <v>88324</v>
      </c>
    </row>
    <row r="2881" spans="1:5" ht="15">
      <c r="A2881" s="120" t="s">
        <v>331</v>
      </c>
      <c r="B2881" s="121">
        <v>21</v>
      </c>
      <c r="C2881" s="121">
        <v>26</v>
      </c>
      <c r="D2881" s="121">
        <v>4</v>
      </c>
      <c r="E2881" s="121">
        <v>115903</v>
      </c>
    </row>
    <row r="2882" spans="1:5" ht="15">
      <c r="A2882" s="120" t="s">
        <v>331</v>
      </c>
      <c r="B2882" s="121">
        <v>21</v>
      </c>
      <c r="C2882" s="121">
        <v>26</v>
      </c>
      <c r="D2882" s="121">
        <v>5</v>
      </c>
      <c r="E2882" s="121">
        <v>3000</v>
      </c>
    </row>
    <row r="2883" spans="1:5" ht="15">
      <c r="A2883" s="120" t="s">
        <v>331</v>
      </c>
      <c r="B2883" s="121">
        <v>21</v>
      </c>
      <c r="C2883" s="121">
        <v>26</v>
      </c>
      <c r="D2883" s="121">
        <v>7</v>
      </c>
      <c r="E2883" s="121">
        <v>750</v>
      </c>
    </row>
    <row r="2884" spans="1:5" ht="15">
      <c r="A2884" s="120" t="s">
        <v>331</v>
      </c>
      <c r="B2884" s="121">
        <v>21</v>
      </c>
      <c r="C2884" s="121">
        <v>26</v>
      </c>
      <c r="D2884" s="121">
        <v>8</v>
      </c>
      <c r="E2884" s="121">
        <v>125</v>
      </c>
    </row>
    <row r="2885" spans="1:5" ht="15">
      <c r="A2885" s="120" t="s">
        <v>331</v>
      </c>
      <c r="B2885" s="121">
        <v>21</v>
      </c>
      <c r="C2885" s="121">
        <v>27</v>
      </c>
      <c r="D2885" s="121">
        <v>0</v>
      </c>
      <c r="E2885" s="121">
        <v>5000</v>
      </c>
    </row>
    <row r="2886" spans="1:5" ht="15">
      <c r="A2886" s="120" t="s">
        <v>331</v>
      </c>
      <c r="B2886" s="121">
        <v>21</v>
      </c>
      <c r="C2886" s="121">
        <v>27</v>
      </c>
      <c r="D2886" s="121">
        <v>2</v>
      </c>
      <c r="E2886" s="121">
        <v>559603</v>
      </c>
    </row>
    <row r="2887" spans="1:5" ht="15">
      <c r="A2887" s="120" t="s">
        <v>331</v>
      </c>
      <c r="B2887" s="121">
        <v>21</v>
      </c>
      <c r="C2887" s="121">
        <v>27</v>
      </c>
      <c r="D2887" s="121">
        <v>3</v>
      </c>
      <c r="E2887" s="121">
        <v>238373</v>
      </c>
    </row>
    <row r="2888" spans="1:5" ht="15">
      <c r="A2888" s="120" t="s">
        <v>331</v>
      </c>
      <c r="B2888" s="121">
        <v>21</v>
      </c>
      <c r="C2888" s="121">
        <v>27</v>
      </c>
      <c r="D2888" s="121">
        <v>4</v>
      </c>
      <c r="E2888" s="121">
        <v>344868</v>
      </c>
    </row>
    <row r="2889" spans="1:5" ht="15">
      <c r="A2889" s="120" t="s">
        <v>331</v>
      </c>
      <c r="B2889" s="121">
        <v>21</v>
      </c>
      <c r="C2889" s="121">
        <v>27</v>
      </c>
      <c r="D2889" s="121">
        <v>5</v>
      </c>
      <c r="E2889" s="121">
        <v>73350</v>
      </c>
    </row>
    <row r="2890" spans="1:5" ht="15">
      <c r="A2890" s="120" t="s">
        <v>331</v>
      </c>
      <c r="B2890" s="121">
        <v>21</v>
      </c>
      <c r="C2890" s="121">
        <v>27</v>
      </c>
      <c r="D2890" s="121">
        <v>7</v>
      </c>
      <c r="E2890" s="121">
        <v>187360</v>
      </c>
    </row>
    <row r="2891" spans="1:5" ht="15">
      <c r="A2891" s="120" t="s">
        <v>331</v>
      </c>
      <c r="B2891" s="121">
        <v>21</v>
      </c>
      <c r="C2891" s="121">
        <v>29</v>
      </c>
      <c r="D2891" s="121">
        <v>7</v>
      </c>
      <c r="E2891" s="121">
        <v>125000</v>
      </c>
    </row>
    <row r="2892" spans="1:5" ht="15">
      <c r="A2892" s="120" t="s">
        <v>331</v>
      </c>
      <c r="B2892" s="121">
        <v>21</v>
      </c>
      <c r="C2892" s="121">
        <v>31</v>
      </c>
      <c r="D2892" s="121">
        <v>7</v>
      </c>
      <c r="E2892" s="121">
        <v>5000</v>
      </c>
    </row>
    <row r="2893" spans="1:5" ht="15">
      <c r="A2893" s="120" t="s">
        <v>331</v>
      </c>
      <c r="B2893" s="121">
        <v>21</v>
      </c>
      <c r="C2893" s="121">
        <v>31</v>
      </c>
      <c r="D2893" s="121">
        <v>8</v>
      </c>
      <c r="E2893" s="121">
        <v>5000</v>
      </c>
    </row>
    <row r="2894" spans="1:5" ht="15">
      <c r="A2894" s="120" t="s">
        <v>331</v>
      </c>
      <c r="B2894" s="121">
        <v>21</v>
      </c>
      <c r="C2894" s="121">
        <v>34</v>
      </c>
      <c r="D2894" s="121">
        <v>2</v>
      </c>
      <c r="E2894" s="121">
        <v>10810</v>
      </c>
    </row>
    <row r="2895" spans="1:5" ht="15">
      <c r="A2895" s="120" t="s">
        <v>331</v>
      </c>
      <c r="B2895" s="121">
        <v>21</v>
      </c>
      <c r="C2895" s="121">
        <v>34</v>
      </c>
      <c r="D2895" s="121">
        <v>4</v>
      </c>
      <c r="E2895" s="121">
        <v>1692</v>
      </c>
    </row>
    <row r="2896" spans="1:5" ht="15">
      <c r="A2896" s="120" t="s">
        <v>331</v>
      </c>
      <c r="B2896" s="121">
        <v>24</v>
      </c>
      <c r="C2896" s="121">
        <v>27</v>
      </c>
      <c r="D2896" s="121">
        <v>3</v>
      </c>
      <c r="E2896" s="121">
        <v>227185</v>
      </c>
    </row>
    <row r="2897" spans="1:5" ht="15">
      <c r="A2897" s="120" t="s">
        <v>331</v>
      </c>
      <c r="B2897" s="121">
        <v>24</v>
      </c>
      <c r="C2897" s="121">
        <v>27</v>
      </c>
      <c r="D2897" s="121">
        <v>4</v>
      </c>
      <c r="E2897" s="121">
        <v>110694</v>
      </c>
    </row>
    <row r="2898" spans="1:5" ht="15">
      <c r="A2898" s="120" t="s">
        <v>239</v>
      </c>
      <c r="B2898" s="121">
        <v>21</v>
      </c>
      <c r="C2898" s="121">
        <v>21</v>
      </c>
      <c r="D2898" s="121">
        <v>2</v>
      </c>
      <c r="E2898" s="121">
        <v>813028</v>
      </c>
    </row>
    <row r="2899" spans="1:5" ht="15">
      <c r="A2899" s="120" t="s">
        <v>239</v>
      </c>
      <c r="B2899" s="121">
        <v>21</v>
      </c>
      <c r="C2899" s="121">
        <v>21</v>
      </c>
      <c r="D2899" s="121">
        <v>3</v>
      </c>
      <c r="E2899" s="121">
        <v>254008</v>
      </c>
    </row>
    <row r="2900" spans="1:5" ht="15">
      <c r="A2900" s="120" t="s">
        <v>239</v>
      </c>
      <c r="B2900" s="121">
        <v>21</v>
      </c>
      <c r="C2900" s="121">
        <v>21</v>
      </c>
      <c r="D2900" s="121">
        <v>4</v>
      </c>
      <c r="E2900" s="121">
        <v>332314</v>
      </c>
    </row>
    <row r="2901" spans="1:5" ht="15">
      <c r="A2901" s="120" t="s">
        <v>239</v>
      </c>
      <c r="B2901" s="121">
        <v>21</v>
      </c>
      <c r="C2901" s="121">
        <v>21</v>
      </c>
      <c r="D2901" s="121">
        <v>5</v>
      </c>
      <c r="E2901" s="121">
        <v>11000</v>
      </c>
    </row>
    <row r="2902" spans="1:5" ht="15">
      <c r="A2902" s="120" t="s">
        <v>239</v>
      </c>
      <c r="B2902" s="121">
        <v>21</v>
      </c>
      <c r="C2902" s="121">
        <v>21</v>
      </c>
      <c r="D2902" s="121">
        <v>7</v>
      </c>
      <c r="E2902" s="121">
        <v>80000</v>
      </c>
    </row>
    <row r="2903" spans="1:5" ht="15">
      <c r="A2903" s="120" t="s">
        <v>239</v>
      </c>
      <c r="B2903" s="121">
        <v>21</v>
      </c>
      <c r="C2903" s="121">
        <v>21</v>
      </c>
      <c r="D2903" s="121">
        <v>8</v>
      </c>
      <c r="E2903" s="121">
        <v>5000</v>
      </c>
    </row>
    <row r="2904" spans="1:5" ht="15">
      <c r="A2904" s="120" t="s">
        <v>239</v>
      </c>
      <c r="B2904" s="121">
        <v>21</v>
      </c>
      <c r="C2904" s="121">
        <v>23</v>
      </c>
      <c r="D2904" s="121">
        <v>2</v>
      </c>
      <c r="E2904" s="121">
        <v>2650</v>
      </c>
    </row>
    <row r="2905" spans="1:5" ht="15">
      <c r="A2905" s="120" t="s">
        <v>239</v>
      </c>
      <c r="B2905" s="121">
        <v>21</v>
      </c>
      <c r="C2905" s="121">
        <v>23</v>
      </c>
      <c r="D2905" s="121">
        <v>3</v>
      </c>
      <c r="E2905" s="121">
        <v>30000</v>
      </c>
    </row>
    <row r="2906" spans="1:5" ht="15">
      <c r="A2906" s="120" t="s">
        <v>239</v>
      </c>
      <c r="B2906" s="121">
        <v>21</v>
      </c>
      <c r="C2906" s="121">
        <v>23</v>
      </c>
      <c r="D2906" s="121">
        <v>4</v>
      </c>
      <c r="E2906" s="121">
        <v>6130</v>
      </c>
    </row>
    <row r="2907" spans="1:5" ht="15">
      <c r="A2907" s="120" t="s">
        <v>239</v>
      </c>
      <c r="B2907" s="121">
        <v>21</v>
      </c>
      <c r="C2907" s="121">
        <v>25</v>
      </c>
      <c r="D2907" s="121">
        <v>3</v>
      </c>
      <c r="E2907" s="121">
        <v>350666</v>
      </c>
    </row>
    <row r="2908" spans="1:5" ht="15">
      <c r="A2908" s="120" t="s">
        <v>239</v>
      </c>
      <c r="B2908" s="121">
        <v>21</v>
      </c>
      <c r="C2908" s="121">
        <v>25</v>
      </c>
      <c r="D2908" s="121">
        <v>4</v>
      </c>
      <c r="E2908" s="121">
        <v>241697</v>
      </c>
    </row>
    <row r="2909" spans="1:5" ht="15">
      <c r="A2909" s="120" t="s">
        <v>239</v>
      </c>
      <c r="B2909" s="121">
        <v>21</v>
      </c>
      <c r="C2909" s="121">
        <v>25</v>
      </c>
      <c r="D2909" s="121">
        <v>5</v>
      </c>
      <c r="E2909" s="121">
        <v>10000</v>
      </c>
    </row>
    <row r="2910" spans="1:5" ht="15">
      <c r="A2910" s="120" t="s">
        <v>239</v>
      </c>
      <c r="B2910" s="121">
        <v>21</v>
      </c>
      <c r="C2910" s="121">
        <v>26</v>
      </c>
      <c r="D2910" s="121">
        <v>2</v>
      </c>
      <c r="E2910" s="121">
        <v>5589436</v>
      </c>
    </row>
    <row r="2911" spans="1:5" ht="15">
      <c r="A2911" s="120" t="s">
        <v>239</v>
      </c>
      <c r="B2911" s="121">
        <v>21</v>
      </c>
      <c r="C2911" s="121">
        <v>26</v>
      </c>
      <c r="D2911" s="121">
        <v>3</v>
      </c>
      <c r="E2911" s="121">
        <v>485998</v>
      </c>
    </row>
    <row r="2912" spans="1:5" ht="15">
      <c r="A2912" s="120" t="s">
        <v>239</v>
      </c>
      <c r="B2912" s="121">
        <v>21</v>
      </c>
      <c r="C2912" s="121">
        <v>26</v>
      </c>
      <c r="D2912" s="121">
        <v>4</v>
      </c>
      <c r="E2912" s="121">
        <v>1955060</v>
      </c>
    </row>
    <row r="2913" spans="1:5" ht="15">
      <c r="A2913" s="120" t="s">
        <v>239</v>
      </c>
      <c r="B2913" s="121">
        <v>21</v>
      </c>
      <c r="C2913" s="121">
        <v>26</v>
      </c>
      <c r="D2913" s="121">
        <v>5</v>
      </c>
      <c r="E2913" s="121">
        <v>15050</v>
      </c>
    </row>
    <row r="2914" spans="1:5" ht="15">
      <c r="A2914" s="120" t="s">
        <v>239</v>
      </c>
      <c r="B2914" s="121">
        <v>21</v>
      </c>
      <c r="C2914" s="121">
        <v>26</v>
      </c>
      <c r="D2914" s="121">
        <v>7</v>
      </c>
      <c r="E2914" s="121">
        <v>115100</v>
      </c>
    </row>
    <row r="2915" spans="1:5" ht="15">
      <c r="A2915" s="120" t="s">
        <v>239</v>
      </c>
      <c r="B2915" s="121">
        <v>21</v>
      </c>
      <c r="C2915" s="121">
        <v>26</v>
      </c>
      <c r="D2915" s="121">
        <v>8</v>
      </c>
      <c r="E2915" s="121">
        <v>12500</v>
      </c>
    </row>
    <row r="2916" spans="1:5" ht="15">
      <c r="A2916" s="120" t="s">
        <v>239</v>
      </c>
      <c r="B2916" s="121">
        <v>21</v>
      </c>
      <c r="C2916" s="121">
        <v>27</v>
      </c>
      <c r="D2916" s="121">
        <v>2</v>
      </c>
      <c r="E2916" s="121">
        <v>10100531</v>
      </c>
    </row>
    <row r="2917" spans="1:5" ht="15">
      <c r="A2917" s="120" t="s">
        <v>239</v>
      </c>
      <c r="B2917" s="121">
        <v>21</v>
      </c>
      <c r="C2917" s="121">
        <v>27</v>
      </c>
      <c r="D2917" s="121">
        <v>3</v>
      </c>
      <c r="E2917" s="121">
        <v>8358731</v>
      </c>
    </row>
    <row r="2918" spans="1:5" ht="15">
      <c r="A2918" s="120" t="s">
        <v>239</v>
      </c>
      <c r="B2918" s="121">
        <v>21</v>
      </c>
      <c r="C2918" s="121">
        <v>27</v>
      </c>
      <c r="D2918" s="121">
        <v>4</v>
      </c>
      <c r="E2918" s="121">
        <v>9090898</v>
      </c>
    </row>
    <row r="2919" spans="1:5" ht="15">
      <c r="A2919" s="120" t="s">
        <v>239</v>
      </c>
      <c r="B2919" s="121">
        <v>21</v>
      </c>
      <c r="C2919" s="121">
        <v>27</v>
      </c>
      <c r="D2919" s="121">
        <v>5</v>
      </c>
      <c r="E2919" s="121">
        <v>94730</v>
      </c>
    </row>
    <row r="2920" spans="1:5" ht="15">
      <c r="A2920" s="120" t="s">
        <v>239</v>
      </c>
      <c r="B2920" s="121">
        <v>21</v>
      </c>
      <c r="C2920" s="121">
        <v>27</v>
      </c>
      <c r="D2920" s="121">
        <v>7</v>
      </c>
      <c r="E2920" s="121">
        <v>289000</v>
      </c>
    </row>
    <row r="2921" spans="1:5" ht="15">
      <c r="A2921" s="120" t="s">
        <v>239</v>
      </c>
      <c r="B2921" s="121">
        <v>21</v>
      </c>
      <c r="C2921" s="121">
        <v>27</v>
      </c>
      <c r="D2921" s="121">
        <v>8</v>
      </c>
      <c r="E2921" s="121">
        <v>10000</v>
      </c>
    </row>
    <row r="2922" spans="1:5" ht="15">
      <c r="A2922" s="120" t="s">
        <v>239</v>
      </c>
      <c r="B2922" s="121">
        <v>21</v>
      </c>
      <c r="C2922" s="121">
        <v>31</v>
      </c>
      <c r="D2922" s="121">
        <v>2</v>
      </c>
      <c r="E2922" s="121">
        <v>311228</v>
      </c>
    </row>
    <row r="2923" spans="1:5" ht="15">
      <c r="A2923" s="120" t="s">
        <v>239</v>
      </c>
      <c r="B2923" s="121">
        <v>21</v>
      </c>
      <c r="C2923" s="121">
        <v>31</v>
      </c>
      <c r="D2923" s="121">
        <v>4</v>
      </c>
      <c r="E2923" s="121">
        <v>55517</v>
      </c>
    </row>
    <row r="2924" spans="1:5" ht="15">
      <c r="A2924" s="120" t="s">
        <v>239</v>
      </c>
      <c r="B2924" s="121">
        <v>21</v>
      </c>
      <c r="C2924" s="121">
        <v>31</v>
      </c>
      <c r="D2924" s="121">
        <v>5</v>
      </c>
      <c r="E2924" s="121">
        <v>1000</v>
      </c>
    </row>
    <row r="2925" spans="1:5" ht="15">
      <c r="A2925" s="120" t="s">
        <v>239</v>
      </c>
      <c r="B2925" s="121">
        <v>21</v>
      </c>
      <c r="C2925" s="121">
        <v>31</v>
      </c>
      <c r="D2925" s="121">
        <v>7</v>
      </c>
      <c r="E2925" s="121">
        <v>18000</v>
      </c>
    </row>
    <row r="2926" spans="1:5" ht="15">
      <c r="A2926" s="120" t="s">
        <v>239</v>
      </c>
      <c r="B2926" s="121">
        <v>21</v>
      </c>
      <c r="C2926" s="121">
        <v>31</v>
      </c>
      <c r="D2926" s="121">
        <v>8</v>
      </c>
      <c r="E2926" s="121">
        <v>1750</v>
      </c>
    </row>
    <row r="2927" spans="1:5" ht="15">
      <c r="A2927" s="120" t="s">
        <v>239</v>
      </c>
      <c r="B2927" s="121">
        <v>21</v>
      </c>
      <c r="C2927" s="121">
        <v>33</v>
      </c>
      <c r="D2927" s="121">
        <v>5</v>
      </c>
      <c r="E2927" s="121">
        <v>70000</v>
      </c>
    </row>
    <row r="2928" spans="1:5" ht="15">
      <c r="A2928" s="120" t="s">
        <v>239</v>
      </c>
      <c r="B2928" s="121">
        <v>21</v>
      </c>
      <c r="C2928" s="121">
        <v>34</v>
      </c>
      <c r="D2928" s="121">
        <v>2</v>
      </c>
      <c r="E2928" s="121">
        <v>233417</v>
      </c>
    </row>
    <row r="2929" spans="1:5" ht="15">
      <c r="A2929" s="120" t="s">
        <v>239</v>
      </c>
      <c r="B2929" s="121">
        <v>21</v>
      </c>
      <c r="C2929" s="121">
        <v>34</v>
      </c>
      <c r="D2929" s="121">
        <v>4</v>
      </c>
      <c r="E2929" s="121">
        <v>41647</v>
      </c>
    </row>
    <row r="2930" spans="1:5" ht="15">
      <c r="A2930" s="120" t="s">
        <v>393</v>
      </c>
      <c r="B2930" s="121">
        <v>21</v>
      </c>
      <c r="C2930" s="121">
        <v>21</v>
      </c>
      <c r="D2930" s="121">
        <v>2</v>
      </c>
      <c r="E2930" s="121">
        <v>291537</v>
      </c>
    </row>
    <row r="2931" spans="1:5" ht="15">
      <c r="A2931" s="120" t="s">
        <v>393</v>
      </c>
      <c r="B2931" s="121">
        <v>21</v>
      </c>
      <c r="C2931" s="121">
        <v>21</v>
      </c>
      <c r="D2931" s="121">
        <v>3</v>
      </c>
      <c r="E2931" s="121">
        <v>127972</v>
      </c>
    </row>
    <row r="2932" spans="1:5" ht="15">
      <c r="A2932" s="120" t="s">
        <v>393</v>
      </c>
      <c r="B2932" s="121">
        <v>21</v>
      </c>
      <c r="C2932" s="121">
        <v>21</v>
      </c>
      <c r="D2932" s="121">
        <v>4</v>
      </c>
      <c r="E2932" s="121">
        <v>127411</v>
      </c>
    </row>
    <row r="2933" spans="1:5" ht="15">
      <c r="A2933" s="120" t="s">
        <v>393</v>
      </c>
      <c r="B2933" s="121">
        <v>21</v>
      </c>
      <c r="C2933" s="121">
        <v>21</v>
      </c>
      <c r="D2933" s="121">
        <v>5</v>
      </c>
      <c r="E2933" s="121">
        <v>2000</v>
      </c>
    </row>
    <row r="2934" spans="1:5" ht="15">
      <c r="A2934" s="120" t="s">
        <v>393</v>
      </c>
      <c r="B2934" s="121">
        <v>21</v>
      </c>
      <c r="C2934" s="121">
        <v>21</v>
      </c>
      <c r="D2934" s="121">
        <v>7</v>
      </c>
      <c r="E2934" s="121">
        <v>10200</v>
      </c>
    </row>
    <row r="2935" spans="1:5" ht="15">
      <c r="A2935" s="120" t="s">
        <v>393</v>
      </c>
      <c r="B2935" s="121">
        <v>21</v>
      </c>
      <c r="C2935" s="121">
        <v>21</v>
      </c>
      <c r="D2935" s="121">
        <v>8</v>
      </c>
      <c r="E2935" s="121">
        <v>300</v>
      </c>
    </row>
    <row r="2936" spans="1:5" ht="15">
      <c r="A2936" s="120" t="s">
        <v>393</v>
      </c>
      <c r="B2936" s="121">
        <v>21</v>
      </c>
      <c r="C2936" s="121">
        <v>26</v>
      </c>
      <c r="D2936" s="121">
        <v>2</v>
      </c>
      <c r="E2936" s="121">
        <v>510917</v>
      </c>
    </row>
    <row r="2937" spans="1:5" ht="15">
      <c r="A2937" s="120" t="s">
        <v>393</v>
      </c>
      <c r="B2937" s="121">
        <v>21</v>
      </c>
      <c r="C2937" s="121">
        <v>26</v>
      </c>
      <c r="D2937" s="121">
        <v>3</v>
      </c>
      <c r="E2937" s="121">
        <v>171546</v>
      </c>
    </row>
    <row r="2938" spans="1:5" ht="15">
      <c r="A2938" s="120" t="s">
        <v>393</v>
      </c>
      <c r="B2938" s="121">
        <v>21</v>
      </c>
      <c r="C2938" s="121">
        <v>26</v>
      </c>
      <c r="D2938" s="121">
        <v>4</v>
      </c>
      <c r="E2938" s="121">
        <v>227583</v>
      </c>
    </row>
    <row r="2939" spans="1:5" ht="15">
      <c r="A2939" s="120" t="s">
        <v>393</v>
      </c>
      <c r="B2939" s="121">
        <v>21</v>
      </c>
      <c r="C2939" s="121">
        <v>26</v>
      </c>
      <c r="D2939" s="121">
        <v>5</v>
      </c>
      <c r="E2939" s="121">
        <v>25000</v>
      </c>
    </row>
    <row r="2940" spans="1:5" ht="15">
      <c r="A2940" s="120" t="s">
        <v>393</v>
      </c>
      <c r="B2940" s="121">
        <v>21</v>
      </c>
      <c r="C2940" s="121">
        <v>26</v>
      </c>
      <c r="D2940" s="121">
        <v>7</v>
      </c>
      <c r="E2940" s="121">
        <v>2253000</v>
      </c>
    </row>
    <row r="2941" spans="1:5" ht="15">
      <c r="A2941" s="120" t="s">
        <v>393</v>
      </c>
      <c r="B2941" s="121">
        <v>21</v>
      </c>
      <c r="C2941" s="121">
        <v>26</v>
      </c>
      <c r="D2941" s="121">
        <v>8</v>
      </c>
      <c r="E2941" s="121">
        <v>8000</v>
      </c>
    </row>
    <row r="2942" spans="1:5" ht="15">
      <c r="A2942" s="120" t="s">
        <v>393</v>
      </c>
      <c r="B2942" s="121">
        <v>21</v>
      </c>
      <c r="C2942" s="121">
        <v>27</v>
      </c>
      <c r="D2942" s="121">
        <v>0</v>
      </c>
      <c r="E2942" s="121">
        <v>24000</v>
      </c>
    </row>
    <row r="2943" spans="1:5" ht="15">
      <c r="A2943" s="120" t="s">
        <v>393</v>
      </c>
      <c r="B2943" s="121">
        <v>21</v>
      </c>
      <c r="C2943" s="121">
        <v>27</v>
      </c>
      <c r="D2943" s="121">
        <v>2</v>
      </c>
      <c r="E2943" s="121">
        <v>2114289</v>
      </c>
    </row>
    <row r="2944" spans="1:5" ht="15">
      <c r="A2944" s="120" t="s">
        <v>393</v>
      </c>
      <c r="B2944" s="121">
        <v>21</v>
      </c>
      <c r="C2944" s="121">
        <v>27</v>
      </c>
      <c r="D2944" s="121">
        <v>3</v>
      </c>
      <c r="E2944" s="121">
        <v>2065245</v>
      </c>
    </row>
    <row r="2945" spans="1:5" ht="15">
      <c r="A2945" s="120" t="s">
        <v>413</v>
      </c>
      <c r="B2945" s="121">
        <v>21</v>
      </c>
      <c r="C2945" s="121">
        <v>21</v>
      </c>
      <c r="D2945" s="121">
        <v>2</v>
      </c>
      <c r="E2945" s="121">
        <v>45860</v>
      </c>
    </row>
    <row r="2946" spans="1:5" ht="15">
      <c r="A2946" s="120" t="s">
        <v>413</v>
      </c>
      <c r="B2946" s="121">
        <v>21</v>
      </c>
      <c r="C2946" s="121">
        <v>21</v>
      </c>
      <c r="D2946" s="121">
        <v>3</v>
      </c>
      <c r="E2946" s="121">
        <v>48495</v>
      </c>
    </row>
    <row r="2947" spans="1:5" ht="15">
      <c r="A2947" s="120" t="s">
        <v>413</v>
      </c>
      <c r="B2947" s="121">
        <v>21</v>
      </c>
      <c r="C2947" s="121">
        <v>21</v>
      </c>
      <c r="D2947" s="121">
        <v>4</v>
      </c>
      <c r="E2947" s="121">
        <v>35979</v>
      </c>
    </row>
    <row r="2948" spans="1:5" ht="15">
      <c r="A2948" s="120" t="s">
        <v>413</v>
      </c>
      <c r="B2948" s="121">
        <v>21</v>
      </c>
      <c r="C2948" s="121">
        <v>21</v>
      </c>
      <c r="D2948" s="121">
        <v>5</v>
      </c>
      <c r="E2948" s="121">
        <v>1000</v>
      </c>
    </row>
    <row r="2949" spans="1:5" ht="15">
      <c r="A2949" s="120" t="s">
        <v>413</v>
      </c>
      <c r="B2949" s="121">
        <v>21</v>
      </c>
      <c r="C2949" s="121">
        <v>21</v>
      </c>
      <c r="D2949" s="121">
        <v>7</v>
      </c>
      <c r="E2949" s="121">
        <v>1600</v>
      </c>
    </row>
    <row r="2950" spans="1:5" ht="15">
      <c r="A2950" s="120" t="s">
        <v>413</v>
      </c>
      <c r="B2950" s="121">
        <v>21</v>
      </c>
      <c r="C2950" s="121">
        <v>25</v>
      </c>
      <c r="D2950" s="121">
        <v>3</v>
      </c>
      <c r="E2950" s="121">
        <v>26822</v>
      </c>
    </row>
    <row r="2951" spans="1:5" ht="15">
      <c r="A2951" s="120" t="s">
        <v>413</v>
      </c>
      <c r="B2951" s="121">
        <v>21</v>
      </c>
      <c r="C2951" s="121">
        <v>25</v>
      </c>
      <c r="D2951" s="121">
        <v>4</v>
      </c>
      <c r="E2951" s="121">
        <v>20270</v>
      </c>
    </row>
    <row r="2952" spans="1:5" ht="15">
      <c r="A2952" s="120" t="s">
        <v>413</v>
      </c>
      <c r="B2952" s="121">
        <v>21</v>
      </c>
      <c r="C2952" s="121">
        <v>25</v>
      </c>
      <c r="D2952" s="121">
        <v>5</v>
      </c>
      <c r="E2952" s="121">
        <v>400</v>
      </c>
    </row>
    <row r="2953" spans="1:5" ht="15">
      <c r="A2953" s="120" t="s">
        <v>413</v>
      </c>
      <c r="B2953" s="121">
        <v>21</v>
      </c>
      <c r="C2953" s="121">
        <v>26</v>
      </c>
      <c r="D2953" s="121">
        <v>5</v>
      </c>
      <c r="E2953" s="121">
        <v>2250</v>
      </c>
    </row>
    <row r="2954" spans="1:5" ht="15">
      <c r="A2954" s="120" t="s">
        <v>413</v>
      </c>
      <c r="B2954" s="121">
        <v>21</v>
      </c>
      <c r="C2954" s="121">
        <v>26</v>
      </c>
      <c r="D2954" s="121">
        <v>7</v>
      </c>
      <c r="E2954" s="121">
        <v>770000</v>
      </c>
    </row>
    <row r="2955" spans="1:5" ht="15">
      <c r="A2955" s="120" t="s">
        <v>413</v>
      </c>
      <c r="B2955" s="121">
        <v>21</v>
      </c>
      <c r="C2955" s="121">
        <v>27</v>
      </c>
      <c r="D2955" s="121">
        <v>2</v>
      </c>
      <c r="E2955" s="121">
        <v>600903</v>
      </c>
    </row>
    <row r="2956" spans="1:5" ht="15">
      <c r="A2956" s="120" t="s">
        <v>413</v>
      </c>
      <c r="B2956" s="121">
        <v>21</v>
      </c>
      <c r="C2956" s="121">
        <v>27</v>
      </c>
      <c r="D2956" s="121">
        <v>3</v>
      </c>
      <c r="E2956" s="121">
        <v>381216</v>
      </c>
    </row>
    <row r="2957" spans="1:5" ht="15">
      <c r="A2957" s="120" t="s">
        <v>413</v>
      </c>
      <c r="B2957" s="121">
        <v>21</v>
      </c>
      <c r="C2957" s="121">
        <v>27</v>
      </c>
      <c r="D2957" s="121">
        <v>4</v>
      </c>
      <c r="E2957" s="121">
        <v>488938</v>
      </c>
    </row>
    <row r="2958" spans="1:5" ht="15">
      <c r="A2958" s="120" t="s">
        <v>413</v>
      </c>
      <c r="B2958" s="121">
        <v>21</v>
      </c>
      <c r="C2958" s="121">
        <v>27</v>
      </c>
      <c r="D2958" s="121">
        <v>5</v>
      </c>
      <c r="E2958" s="121">
        <v>4275</v>
      </c>
    </row>
    <row r="2959" spans="1:5" ht="15">
      <c r="A2959" s="120" t="s">
        <v>413</v>
      </c>
      <c r="B2959" s="121">
        <v>21</v>
      </c>
      <c r="C2959" s="121">
        <v>31</v>
      </c>
      <c r="D2959" s="121">
        <v>7</v>
      </c>
      <c r="E2959" s="121">
        <v>2500</v>
      </c>
    </row>
    <row r="2960" spans="1:5" ht="15">
      <c r="A2960" s="120" t="s">
        <v>413</v>
      </c>
      <c r="B2960" s="121">
        <v>21</v>
      </c>
      <c r="C2960" s="121">
        <v>33</v>
      </c>
      <c r="D2960" s="121">
        <v>5</v>
      </c>
      <c r="E2960" s="121">
        <v>3200</v>
      </c>
    </row>
    <row r="2961" spans="1:5" ht="15">
      <c r="A2961" s="120" t="s">
        <v>393</v>
      </c>
      <c r="B2961" s="121">
        <v>21</v>
      </c>
      <c r="C2961" s="121">
        <v>27</v>
      </c>
      <c r="D2961" s="121">
        <v>4</v>
      </c>
      <c r="E2961" s="121">
        <v>1764014</v>
      </c>
    </row>
    <row r="2962" spans="1:5" ht="15">
      <c r="A2962" s="120" t="s">
        <v>393</v>
      </c>
      <c r="B2962" s="121">
        <v>21</v>
      </c>
      <c r="C2962" s="121">
        <v>27</v>
      </c>
      <c r="D2962" s="121">
        <v>5</v>
      </c>
      <c r="E2962" s="121">
        <v>30000</v>
      </c>
    </row>
    <row r="2963" spans="1:5" ht="15">
      <c r="A2963" s="120" t="s">
        <v>393</v>
      </c>
      <c r="B2963" s="121">
        <v>21</v>
      </c>
      <c r="C2963" s="121">
        <v>27</v>
      </c>
      <c r="D2963" s="121">
        <v>7</v>
      </c>
      <c r="E2963" s="121">
        <v>771000</v>
      </c>
    </row>
    <row r="2964" spans="1:5" ht="15">
      <c r="A2964" s="120" t="s">
        <v>393</v>
      </c>
      <c r="B2964" s="121">
        <v>21</v>
      </c>
      <c r="C2964" s="121">
        <v>29</v>
      </c>
      <c r="D2964" s="121">
        <v>7</v>
      </c>
      <c r="E2964" s="121">
        <v>60000</v>
      </c>
    </row>
    <row r="2965" spans="1:5" ht="15">
      <c r="A2965" s="120" t="s">
        <v>393</v>
      </c>
      <c r="B2965" s="121">
        <v>21</v>
      </c>
      <c r="C2965" s="121">
        <v>31</v>
      </c>
      <c r="D2965" s="121">
        <v>2</v>
      </c>
      <c r="E2965" s="121">
        <v>1945</v>
      </c>
    </row>
    <row r="2966" spans="1:5" ht="15">
      <c r="A2966" s="120" t="s">
        <v>393</v>
      </c>
      <c r="B2966" s="121">
        <v>21</v>
      </c>
      <c r="C2966" s="121">
        <v>31</v>
      </c>
      <c r="D2966" s="121">
        <v>5</v>
      </c>
      <c r="E2966" s="121">
        <v>3000</v>
      </c>
    </row>
    <row r="2967" spans="1:5" ht="15">
      <c r="A2967" s="120" t="s">
        <v>393</v>
      </c>
      <c r="B2967" s="121">
        <v>21</v>
      </c>
      <c r="C2967" s="121">
        <v>31</v>
      </c>
      <c r="D2967" s="121">
        <v>7</v>
      </c>
      <c r="E2967" s="121">
        <v>20000</v>
      </c>
    </row>
    <row r="2968" spans="1:5" ht="15">
      <c r="A2968" s="120" t="s">
        <v>393</v>
      </c>
      <c r="B2968" s="121">
        <v>21</v>
      </c>
      <c r="C2968" s="121">
        <v>31</v>
      </c>
      <c r="D2968" s="121">
        <v>8</v>
      </c>
      <c r="E2968" s="121">
        <v>1000</v>
      </c>
    </row>
    <row r="2969" spans="1:5" ht="15">
      <c r="A2969" s="120" t="s">
        <v>393</v>
      </c>
      <c r="B2969" s="121">
        <v>21</v>
      </c>
      <c r="C2969" s="121">
        <v>34</v>
      </c>
      <c r="D2969" s="121">
        <v>2</v>
      </c>
      <c r="E2969" s="121">
        <v>52226</v>
      </c>
    </row>
    <row r="2970" spans="1:5" ht="15">
      <c r="A2970" s="120" t="s">
        <v>393</v>
      </c>
      <c r="B2970" s="121">
        <v>21</v>
      </c>
      <c r="C2970" s="121">
        <v>34</v>
      </c>
      <c r="D2970" s="121">
        <v>4</v>
      </c>
      <c r="E2970" s="121">
        <v>9396</v>
      </c>
    </row>
    <row r="2971" spans="1:5" ht="15">
      <c r="A2971" s="120" t="s">
        <v>393</v>
      </c>
      <c r="B2971" s="121">
        <v>24</v>
      </c>
      <c r="C2971" s="121">
        <v>26</v>
      </c>
      <c r="D2971" s="121">
        <v>2</v>
      </c>
      <c r="E2971" s="121">
        <v>497864</v>
      </c>
    </row>
    <row r="2972" spans="1:5" ht="15">
      <c r="A2972" s="120" t="s">
        <v>393</v>
      </c>
      <c r="B2972" s="121">
        <v>24</v>
      </c>
      <c r="C2972" s="121">
        <v>26</v>
      </c>
      <c r="D2972" s="121">
        <v>4</v>
      </c>
      <c r="E2972" s="121">
        <v>159937</v>
      </c>
    </row>
    <row r="2973" spans="1:5" ht="15">
      <c r="A2973" s="120" t="s">
        <v>393</v>
      </c>
      <c r="B2973" s="121">
        <v>24</v>
      </c>
      <c r="C2973" s="121">
        <v>27</v>
      </c>
      <c r="D2973" s="121">
        <v>7</v>
      </c>
      <c r="E2973" s="121">
        <v>10393</v>
      </c>
    </row>
    <row r="2974" spans="1:5" ht="15">
      <c r="A2974" s="120" t="s">
        <v>393</v>
      </c>
      <c r="B2974" s="121">
        <v>24</v>
      </c>
      <c r="C2974" s="121">
        <v>31</v>
      </c>
      <c r="D2974" s="121">
        <v>2</v>
      </c>
      <c r="E2974" s="121">
        <v>10708</v>
      </c>
    </row>
    <row r="2975" spans="1:5" ht="15">
      <c r="A2975" s="120" t="s">
        <v>393</v>
      </c>
      <c r="B2975" s="121">
        <v>24</v>
      </c>
      <c r="C2975" s="121">
        <v>31</v>
      </c>
      <c r="D2975" s="121">
        <v>4</v>
      </c>
      <c r="E2975" s="121">
        <v>1927</v>
      </c>
    </row>
    <row r="2976" spans="1:5" ht="15">
      <c r="A2976" s="120" t="s">
        <v>413</v>
      </c>
      <c r="B2976" s="121">
        <v>24</v>
      </c>
      <c r="C2976" s="121">
        <v>27</v>
      </c>
      <c r="D2976" s="121">
        <v>2</v>
      </c>
      <c r="E2976" s="121">
        <v>24194</v>
      </c>
    </row>
    <row r="2977" spans="1:5" ht="15">
      <c r="A2977" s="120" t="s">
        <v>413</v>
      </c>
      <c r="B2977" s="121">
        <v>24</v>
      </c>
      <c r="C2977" s="121">
        <v>27</v>
      </c>
      <c r="D2977" s="121">
        <v>3</v>
      </c>
      <c r="E2977" s="121">
        <v>57183</v>
      </c>
    </row>
    <row r="2978" spans="1:5" ht="15">
      <c r="A2978" s="120" t="s">
        <v>413</v>
      </c>
      <c r="B2978" s="121">
        <v>24</v>
      </c>
      <c r="C2978" s="121">
        <v>27</v>
      </c>
      <c r="D2978" s="121">
        <v>4</v>
      </c>
      <c r="E2978" s="121">
        <v>47043</v>
      </c>
    </row>
    <row r="2979" spans="1:5" ht="15">
      <c r="A2979" s="120" t="s">
        <v>373</v>
      </c>
      <c r="B2979" s="121">
        <v>21</v>
      </c>
      <c r="C2979" s="121">
        <v>21</v>
      </c>
      <c r="D2979" s="121">
        <v>2</v>
      </c>
      <c r="E2979" s="121">
        <v>112500</v>
      </c>
    </row>
    <row r="2980" spans="1:5" ht="15">
      <c r="A2980" s="120" t="s">
        <v>373</v>
      </c>
      <c r="B2980" s="121">
        <v>21</v>
      </c>
      <c r="C2980" s="121">
        <v>21</v>
      </c>
      <c r="D2980" s="121">
        <v>3</v>
      </c>
      <c r="E2980" s="121">
        <v>35626</v>
      </c>
    </row>
    <row r="2981" spans="1:5" ht="15">
      <c r="A2981" s="120" t="s">
        <v>373</v>
      </c>
      <c r="B2981" s="121">
        <v>21</v>
      </c>
      <c r="C2981" s="121">
        <v>21</v>
      </c>
      <c r="D2981" s="121">
        <v>4</v>
      </c>
      <c r="E2981" s="121">
        <v>54588</v>
      </c>
    </row>
    <row r="2982" spans="1:5" ht="15">
      <c r="A2982" s="120" t="s">
        <v>373</v>
      </c>
      <c r="B2982" s="121">
        <v>21</v>
      </c>
      <c r="C2982" s="121">
        <v>21</v>
      </c>
      <c r="D2982" s="121">
        <v>5</v>
      </c>
      <c r="E2982" s="121">
        <v>3000</v>
      </c>
    </row>
    <row r="2983" spans="1:5" ht="15">
      <c r="A2983" s="120" t="s">
        <v>373</v>
      </c>
      <c r="B2983" s="121">
        <v>21</v>
      </c>
      <c r="C2983" s="121">
        <v>26</v>
      </c>
      <c r="D2983" s="121">
        <v>2</v>
      </c>
      <c r="E2983" s="121">
        <v>114788</v>
      </c>
    </row>
    <row r="2984" spans="1:5" ht="15">
      <c r="A2984" s="120" t="s">
        <v>373</v>
      </c>
      <c r="B2984" s="121">
        <v>21</v>
      </c>
      <c r="C2984" s="121">
        <v>26</v>
      </c>
      <c r="D2984" s="121">
        <v>4</v>
      </c>
      <c r="E2984" s="121">
        <v>35101</v>
      </c>
    </row>
    <row r="2985" spans="1:5" ht="15">
      <c r="A2985" s="120" t="s">
        <v>373</v>
      </c>
      <c r="B2985" s="121">
        <v>21</v>
      </c>
      <c r="C2985" s="121">
        <v>26</v>
      </c>
      <c r="D2985" s="121">
        <v>5</v>
      </c>
      <c r="E2985" s="121">
        <v>8000</v>
      </c>
    </row>
    <row r="2986" spans="1:5" ht="15">
      <c r="A2986" s="120" t="s">
        <v>373</v>
      </c>
      <c r="B2986" s="121">
        <v>21</v>
      </c>
      <c r="C2986" s="121">
        <v>26</v>
      </c>
      <c r="D2986" s="121">
        <v>7</v>
      </c>
      <c r="E2986" s="121">
        <v>500</v>
      </c>
    </row>
    <row r="2987" spans="1:5" ht="15">
      <c r="A2987" s="120" t="s">
        <v>373</v>
      </c>
      <c r="B2987" s="121">
        <v>21</v>
      </c>
      <c r="C2987" s="121">
        <v>27</v>
      </c>
      <c r="D2987" s="121">
        <v>2</v>
      </c>
      <c r="E2987" s="121">
        <v>608056</v>
      </c>
    </row>
    <row r="2988" spans="1:5" ht="15">
      <c r="A2988" s="120" t="s">
        <v>373</v>
      </c>
      <c r="B2988" s="121">
        <v>21</v>
      </c>
      <c r="C2988" s="121">
        <v>27</v>
      </c>
      <c r="D2988" s="121">
        <v>3</v>
      </c>
      <c r="E2988" s="121">
        <v>504201</v>
      </c>
    </row>
    <row r="2989" spans="1:5" ht="15">
      <c r="A2989" s="120" t="s">
        <v>373</v>
      </c>
      <c r="B2989" s="121">
        <v>21</v>
      </c>
      <c r="C2989" s="121">
        <v>27</v>
      </c>
      <c r="D2989" s="121">
        <v>4</v>
      </c>
      <c r="E2989" s="121">
        <v>523268</v>
      </c>
    </row>
    <row r="2990" spans="1:5" ht="15">
      <c r="A2990" s="120" t="s">
        <v>373</v>
      </c>
      <c r="B2990" s="121">
        <v>21</v>
      </c>
      <c r="C2990" s="121">
        <v>27</v>
      </c>
      <c r="D2990" s="121">
        <v>5</v>
      </c>
      <c r="E2990" s="121">
        <v>13200</v>
      </c>
    </row>
    <row r="2991" spans="1:5" ht="15">
      <c r="A2991" s="120" t="s">
        <v>373</v>
      </c>
      <c r="B2991" s="121">
        <v>21</v>
      </c>
      <c r="C2991" s="121">
        <v>27</v>
      </c>
      <c r="D2991" s="121">
        <v>7</v>
      </c>
      <c r="E2991" s="121">
        <v>265042</v>
      </c>
    </row>
    <row r="2992" spans="1:5" ht="15">
      <c r="A2992" s="120" t="s">
        <v>373</v>
      </c>
      <c r="B2992" s="121">
        <v>21</v>
      </c>
      <c r="C2992" s="121">
        <v>31</v>
      </c>
      <c r="D2992" s="121">
        <v>2</v>
      </c>
      <c r="E2992" s="121">
        <v>941</v>
      </c>
    </row>
    <row r="2993" spans="1:5" ht="15">
      <c r="A2993" s="120" t="s">
        <v>373</v>
      </c>
      <c r="B2993" s="121">
        <v>21</v>
      </c>
      <c r="C2993" s="121">
        <v>31</v>
      </c>
      <c r="D2993" s="121">
        <v>4</v>
      </c>
      <c r="E2993" s="121">
        <v>170</v>
      </c>
    </row>
    <row r="2994" spans="1:5" ht="15">
      <c r="A2994" s="120" t="s">
        <v>373</v>
      </c>
      <c r="B2994" s="121">
        <v>21</v>
      </c>
      <c r="C2994" s="121">
        <v>31</v>
      </c>
      <c r="D2994" s="121">
        <v>7</v>
      </c>
      <c r="E2994" s="121">
        <v>1250</v>
      </c>
    </row>
    <row r="2995" spans="1:5" ht="15">
      <c r="A2995" s="120" t="s">
        <v>373</v>
      </c>
      <c r="B2995" s="121">
        <v>21</v>
      </c>
      <c r="C2995" s="121">
        <v>31</v>
      </c>
      <c r="D2995" s="121">
        <v>8</v>
      </c>
      <c r="E2995" s="121">
        <v>3000</v>
      </c>
    </row>
    <row r="2996" spans="1:5" ht="15">
      <c r="A2996" s="120" t="s">
        <v>373</v>
      </c>
      <c r="B2996" s="121">
        <v>21</v>
      </c>
      <c r="C2996" s="121">
        <v>32</v>
      </c>
      <c r="D2996" s="121">
        <v>5</v>
      </c>
      <c r="E2996" s="121">
        <v>1000</v>
      </c>
    </row>
    <row r="2997" spans="1:5" ht="15">
      <c r="A2997" s="120" t="s">
        <v>373</v>
      </c>
      <c r="B2997" s="121">
        <v>21</v>
      </c>
      <c r="C2997" s="121">
        <v>33</v>
      </c>
      <c r="D2997" s="121">
        <v>5</v>
      </c>
      <c r="E2997" s="121">
        <v>15000</v>
      </c>
    </row>
    <row r="2998" spans="1:5" ht="15">
      <c r="A2998" s="120" t="s">
        <v>373</v>
      </c>
      <c r="B2998" s="121">
        <v>21</v>
      </c>
      <c r="C2998" s="121">
        <v>34</v>
      </c>
      <c r="D2998" s="121">
        <v>2</v>
      </c>
      <c r="E2998" s="121">
        <v>5303</v>
      </c>
    </row>
    <row r="2999" spans="1:5" ht="15">
      <c r="A2999" s="120" t="s">
        <v>373</v>
      </c>
      <c r="B2999" s="121">
        <v>21</v>
      </c>
      <c r="C2999" s="121">
        <v>34</v>
      </c>
      <c r="D2999" s="121">
        <v>4</v>
      </c>
      <c r="E2999" s="121">
        <v>1019</v>
      </c>
    </row>
    <row r="3000" spans="1:5" ht="15">
      <c r="A3000" s="120" t="s">
        <v>373</v>
      </c>
      <c r="B3000" s="121">
        <v>21</v>
      </c>
      <c r="C3000" s="121">
        <v>34</v>
      </c>
      <c r="D3000" s="121">
        <v>7</v>
      </c>
      <c r="E3000" s="121">
        <v>8600</v>
      </c>
    </row>
    <row r="3001" spans="1:5" ht="15">
      <c r="A3001" s="120" t="s">
        <v>373</v>
      </c>
      <c r="B3001" s="121">
        <v>21</v>
      </c>
      <c r="C3001" s="121">
        <v>34</v>
      </c>
      <c r="D3001" s="121">
        <v>8</v>
      </c>
      <c r="E3001" s="121">
        <v>5000</v>
      </c>
    </row>
    <row r="3002" spans="1:5" ht="15">
      <c r="A3002" s="120" t="s">
        <v>373</v>
      </c>
      <c r="B3002" s="121">
        <v>24</v>
      </c>
      <c r="C3002" s="121">
        <v>27</v>
      </c>
      <c r="D3002" s="121">
        <v>3</v>
      </c>
      <c r="E3002" s="121">
        <v>3871</v>
      </c>
    </row>
    <row r="3003" spans="1:5" ht="15">
      <c r="A3003" s="120" t="s">
        <v>373</v>
      </c>
      <c r="B3003" s="121">
        <v>24</v>
      </c>
      <c r="C3003" s="121">
        <v>27</v>
      </c>
      <c r="D3003" s="121">
        <v>4</v>
      </c>
      <c r="E3003" s="121">
        <v>2179</v>
      </c>
    </row>
    <row r="3004" spans="1:5" ht="15">
      <c r="A3004" s="120" t="s">
        <v>373</v>
      </c>
      <c r="B3004" s="121">
        <v>24</v>
      </c>
      <c r="C3004" s="121">
        <v>27</v>
      </c>
      <c r="D3004" s="121">
        <v>7</v>
      </c>
      <c r="E3004" s="121">
        <v>244068</v>
      </c>
    </row>
    <row r="3005" spans="1:5" ht="15">
      <c r="A3005" s="120" t="s">
        <v>333</v>
      </c>
      <c r="B3005" s="121">
        <v>21</v>
      </c>
      <c r="C3005" s="121">
        <v>21</v>
      </c>
      <c r="D3005" s="121">
        <v>2</v>
      </c>
      <c r="E3005" s="121">
        <v>6025</v>
      </c>
    </row>
    <row r="3006" spans="1:5" ht="15">
      <c r="A3006" s="120" t="s">
        <v>333</v>
      </c>
      <c r="B3006" s="121">
        <v>21</v>
      </c>
      <c r="C3006" s="121">
        <v>21</v>
      </c>
      <c r="D3006" s="121">
        <v>4</v>
      </c>
      <c r="E3006" s="121">
        <v>1048</v>
      </c>
    </row>
    <row r="3007" spans="1:5" ht="15">
      <c r="A3007" s="120" t="s">
        <v>333</v>
      </c>
      <c r="B3007" s="121">
        <v>21</v>
      </c>
      <c r="C3007" s="121">
        <v>25</v>
      </c>
      <c r="D3007" s="121">
        <v>3</v>
      </c>
      <c r="E3007" s="121">
        <v>30232</v>
      </c>
    </row>
    <row r="3008" spans="1:5" ht="15">
      <c r="A3008" s="120" t="s">
        <v>333</v>
      </c>
      <c r="B3008" s="121">
        <v>21</v>
      </c>
      <c r="C3008" s="121">
        <v>25</v>
      </c>
      <c r="D3008" s="121">
        <v>4</v>
      </c>
      <c r="E3008" s="121">
        <v>20286</v>
      </c>
    </row>
    <row r="3009" spans="1:5" ht="15">
      <c r="A3009" s="120" t="s">
        <v>333</v>
      </c>
      <c r="B3009" s="121">
        <v>21</v>
      </c>
      <c r="C3009" s="121">
        <v>26</v>
      </c>
      <c r="D3009" s="121">
        <v>3</v>
      </c>
      <c r="E3009" s="121">
        <v>223500</v>
      </c>
    </row>
    <row r="3010" spans="1:5" ht="15">
      <c r="A3010" s="120" t="s">
        <v>333</v>
      </c>
      <c r="B3010" s="121">
        <v>21</v>
      </c>
      <c r="C3010" s="121">
        <v>26</v>
      </c>
      <c r="D3010" s="121">
        <v>4</v>
      </c>
      <c r="E3010" s="121">
        <v>91854</v>
      </c>
    </row>
    <row r="3011" spans="1:5" ht="15">
      <c r="A3011" s="120" t="s">
        <v>333</v>
      </c>
      <c r="B3011" s="121">
        <v>21</v>
      </c>
      <c r="C3011" s="121">
        <v>26</v>
      </c>
      <c r="D3011" s="121">
        <v>7</v>
      </c>
      <c r="E3011" s="121">
        <v>1300000</v>
      </c>
    </row>
    <row r="3012" spans="1:5" ht="15">
      <c r="A3012" s="120" t="s">
        <v>333</v>
      </c>
      <c r="B3012" s="121">
        <v>21</v>
      </c>
      <c r="C3012" s="121">
        <v>27</v>
      </c>
      <c r="D3012" s="121">
        <v>2</v>
      </c>
      <c r="E3012" s="121">
        <v>292663</v>
      </c>
    </row>
    <row r="3013" spans="1:5" ht="15">
      <c r="A3013" s="120" t="s">
        <v>333</v>
      </c>
      <c r="B3013" s="121">
        <v>21</v>
      </c>
      <c r="C3013" s="121">
        <v>27</v>
      </c>
      <c r="D3013" s="121">
        <v>3</v>
      </c>
      <c r="E3013" s="121">
        <v>283008</v>
      </c>
    </row>
    <row r="3014" spans="1:5" ht="15">
      <c r="A3014" s="120" t="s">
        <v>333</v>
      </c>
      <c r="B3014" s="121">
        <v>21</v>
      </c>
      <c r="C3014" s="121">
        <v>27</v>
      </c>
      <c r="D3014" s="121">
        <v>4</v>
      </c>
      <c r="E3014" s="121">
        <v>285193</v>
      </c>
    </row>
    <row r="3015" spans="1:5" ht="15">
      <c r="A3015" s="120" t="s">
        <v>333</v>
      </c>
      <c r="B3015" s="121">
        <v>21</v>
      </c>
      <c r="C3015" s="121">
        <v>27</v>
      </c>
      <c r="D3015" s="121">
        <v>5</v>
      </c>
      <c r="E3015" s="121">
        <v>3000</v>
      </c>
    </row>
    <row r="3016" spans="1:5" ht="15">
      <c r="A3016" s="120" t="s">
        <v>333</v>
      </c>
      <c r="B3016" s="121">
        <v>21</v>
      </c>
      <c r="C3016" s="121">
        <v>27</v>
      </c>
      <c r="D3016" s="121">
        <v>7</v>
      </c>
      <c r="E3016" s="121">
        <v>315000</v>
      </c>
    </row>
    <row r="3017" spans="1:5" ht="15">
      <c r="A3017" s="120" t="s">
        <v>333</v>
      </c>
      <c r="B3017" s="121">
        <v>21</v>
      </c>
      <c r="C3017" s="121">
        <v>29</v>
      </c>
      <c r="D3017" s="121">
        <v>7</v>
      </c>
      <c r="E3017" s="121">
        <v>520000</v>
      </c>
    </row>
    <row r="3018" spans="1:5" ht="15">
      <c r="A3018" s="120" t="s">
        <v>333</v>
      </c>
      <c r="B3018" s="121">
        <v>21</v>
      </c>
      <c r="C3018" s="121">
        <v>31</v>
      </c>
      <c r="D3018" s="121">
        <v>7</v>
      </c>
      <c r="E3018" s="121">
        <v>1000</v>
      </c>
    </row>
    <row r="3019" spans="1:5" ht="15">
      <c r="A3019" s="120" t="s">
        <v>333</v>
      </c>
      <c r="B3019" s="121">
        <v>21</v>
      </c>
      <c r="C3019" s="121">
        <v>34</v>
      </c>
      <c r="D3019" s="121">
        <v>2</v>
      </c>
      <c r="E3019" s="121">
        <v>4591</v>
      </c>
    </row>
    <row r="3020" spans="1:5" ht="15">
      <c r="A3020" s="120" t="s">
        <v>333</v>
      </c>
      <c r="B3020" s="121">
        <v>21</v>
      </c>
      <c r="C3020" s="121">
        <v>34</v>
      </c>
      <c r="D3020" s="121">
        <v>4</v>
      </c>
      <c r="E3020" s="121">
        <v>805</v>
      </c>
    </row>
    <row r="3021" spans="1:5" ht="15">
      <c r="A3021" s="120" t="s">
        <v>333</v>
      </c>
      <c r="B3021" s="121">
        <v>24</v>
      </c>
      <c r="C3021" s="121">
        <v>26</v>
      </c>
      <c r="D3021" s="121">
        <v>7</v>
      </c>
      <c r="E3021" s="121">
        <v>155477</v>
      </c>
    </row>
    <row r="3022" spans="1:5" ht="15">
      <c r="A3022" s="120" t="s">
        <v>333</v>
      </c>
      <c r="B3022" s="121">
        <v>24</v>
      </c>
      <c r="C3022" s="121">
        <v>27</v>
      </c>
      <c r="D3022" s="121">
        <v>3</v>
      </c>
      <c r="E3022" s="121">
        <v>9379</v>
      </c>
    </row>
    <row r="3023" spans="1:5" ht="15">
      <c r="A3023" s="120" t="s">
        <v>333</v>
      </c>
      <c r="B3023" s="121">
        <v>24</v>
      </c>
      <c r="C3023" s="121">
        <v>27</v>
      </c>
      <c r="D3023" s="121">
        <v>4</v>
      </c>
      <c r="E3023" s="121">
        <v>7193</v>
      </c>
    </row>
    <row r="3024" spans="1:5" ht="15">
      <c r="A3024" s="120" t="s">
        <v>353</v>
      </c>
      <c r="B3024" s="121">
        <v>21</v>
      </c>
      <c r="C3024" s="121">
        <v>21</v>
      </c>
      <c r="D3024" s="121">
        <v>2</v>
      </c>
      <c r="E3024" s="121">
        <v>3000</v>
      </c>
    </row>
    <row r="3025" spans="1:5" ht="15">
      <c r="A3025" s="120" t="s">
        <v>353</v>
      </c>
      <c r="B3025" s="121">
        <v>21</v>
      </c>
      <c r="C3025" s="121">
        <v>21</v>
      </c>
      <c r="D3025" s="121">
        <v>4</v>
      </c>
      <c r="E3025" s="121">
        <v>463</v>
      </c>
    </row>
    <row r="3026" spans="1:5" ht="15">
      <c r="A3026" s="120" t="s">
        <v>353</v>
      </c>
      <c r="B3026" s="121">
        <v>21</v>
      </c>
      <c r="C3026" s="121">
        <v>26</v>
      </c>
      <c r="D3026" s="121">
        <v>7</v>
      </c>
      <c r="E3026" s="121">
        <v>68220</v>
      </c>
    </row>
    <row r="3027" spans="1:5" ht="15">
      <c r="A3027" s="120" t="s">
        <v>353</v>
      </c>
      <c r="B3027" s="121">
        <v>21</v>
      </c>
      <c r="C3027" s="121">
        <v>27</v>
      </c>
      <c r="D3027" s="121">
        <v>3</v>
      </c>
      <c r="E3027" s="121">
        <v>54245</v>
      </c>
    </row>
    <row r="3028" spans="1:5" ht="15">
      <c r="A3028" s="120" t="s">
        <v>353</v>
      </c>
      <c r="B3028" s="121">
        <v>21</v>
      </c>
      <c r="C3028" s="121">
        <v>27</v>
      </c>
      <c r="D3028" s="121">
        <v>4</v>
      </c>
      <c r="E3028" s="121">
        <v>24297</v>
      </c>
    </row>
    <row r="3029" spans="1:5" ht="15">
      <c r="A3029" s="120" t="s">
        <v>353</v>
      </c>
      <c r="B3029" s="121">
        <v>21</v>
      </c>
      <c r="C3029" s="121">
        <v>27</v>
      </c>
      <c r="D3029" s="121">
        <v>5</v>
      </c>
      <c r="E3029" s="121">
        <v>27000</v>
      </c>
    </row>
    <row r="3030" spans="1:5" ht="15">
      <c r="A3030" s="120" t="s">
        <v>353</v>
      </c>
      <c r="B3030" s="121">
        <v>21</v>
      </c>
      <c r="C3030" s="121">
        <v>27</v>
      </c>
      <c r="D3030" s="121">
        <v>7</v>
      </c>
      <c r="E3030" s="121">
        <v>4000</v>
      </c>
    </row>
    <row r="3031" spans="1:5" ht="15">
      <c r="A3031" s="120" t="s">
        <v>353</v>
      </c>
      <c r="B3031" s="121">
        <v>24</v>
      </c>
      <c r="C3031" s="121">
        <v>26</v>
      </c>
      <c r="D3031" s="121">
        <v>7</v>
      </c>
      <c r="E3031" s="121">
        <v>11000</v>
      </c>
    </row>
    <row r="3032" spans="1:5" ht="15">
      <c r="A3032" s="120" t="s">
        <v>395</v>
      </c>
      <c r="B3032" s="121">
        <v>21</v>
      </c>
      <c r="C3032" s="121">
        <v>21</v>
      </c>
      <c r="D3032" s="121">
        <v>0</v>
      </c>
      <c r="E3032" s="121">
        <v>3500</v>
      </c>
    </row>
    <row r="3033" spans="1:5" ht="15">
      <c r="A3033" s="120" t="s">
        <v>395</v>
      </c>
      <c r="B3033" s="121">
        <v>21</v>
      </c>
      <c r="C3033" s="121">
        <v>21</v>
      </c>
      <c r="D3033" s="121">
        <v>2</v>
      </c>
      <c r="E3033" s="121">
        <v>148337</v>
      </c>
    </row>
    <row r="3034" spans="1:5" ht="15">
      <c r="A3034" s="120" t="s">
        <v>395</v>
      </c>
      <c r="B3034" s="121">
        <v>21</v>
      </c>
      <c r="C3034" s="121">
        <v>21</v>
      </c>
      <c r="D3034" s="121">
        <v>3</v>
      </c>
      <c r="E3034" s="121">
        <v>116186</v>
      </c>
    </row>
    <row r="3035" spans="1:5" ht="15">
      <c r="A3035" s="120" t="s">
        <v>395</v>
      </c>
      <c r="B3035" s="121">
        <v>21</v>
      </c>
      <c r="C3035" s="121">
        <v>21</v>
      </c>
      <c r="D3035" s="121">
        <v>4</v>
      </c>
      <c r="E3035" s="121">
        <v>91165</v>
      </c>
    </row>
    <row r="3036" spans="1:5" ht="15">
      <c r="A3036" s="120" t="s">
        <v>395</v>
      </c>
      <c r="B3036" s="121">
        <v>21</v>
      </c>
      <c r="C3036" s="121">
        <v>21</v>
      </c>
      <c r="D3036" s="121">
        <v>5</v>
      </c>
      <c r="E3036" s="121">
        <v>15327</v>
      </c>
    </row>
    <row r="3037" spans="1:5" ht="15">
      <c r="A3037" s="120" t="s">
        <v>395</v>
      </c>
      <c r="B3037" s="121">
        <v>21</v>
      </c>
      <c r="C3037" s="121">
        <v>21</v>
      </c>
      <c r="D3037" s="121">
        <v>7</v>
      </c>
      <c r="E3037" s="121">
        <v>73043</v>
      </c>
    </row>
    <row r="3038" spans="1:5" ht="15">
      <c r="A3038" s="120" t="s">
        <v>395</v>
      </c>
      <c r="B3038" s="121">
        <v>21</v>
      </c>
      <c r="C3038" s="121">
        <v>21</v>
      </c>
      <c r="D3038" s="121">
        <v>8</v>
      </c>
      <c r="E3038" s="121">
        <v>3280</v>
      </c>
    </row>
    <row r="3039" spans="1:5" ht="15">
      <c r="A3039" s="120" t="s">
        <v>395</v>
      </c>
      <c r="B3039" s="121">
        <v>21</v>
      </c>
      <c r="C3039" s="121">
        <v>25</v>
      </c>
      <c r="D3039" s="121">
        <v>3</v>
      </c>
      <c r="E3039" s="121">
        <v>146967</v>
      </c>
    </row>
    <row r="3040" spans="1:5" ht="15">
      <c r="A3040" s="120" t="s">
        <v>395</v>
      </c>
      <c r="B3040" s="121">
        <v>21</v>
      </c>
      <c r="C3040" s="121">
        <v>25</v>
      </c>
      <c r="D3040" s="121">
        <v>4</v>
      </c>
      <c r="E3040" s="121">
        <v>112119</v>
      </c>
    </row>
    <row r="3041" spans="1:5" ht="15">
      <c r="A3041" s="120" t="s">
        <v>395</v>
      </c>
      <c r="B3041" s="121">
        <v>21</v>
      </c>
      <c r="C3041" s="121">
        <v>25</v>
      </c>
      <c r="D3041" s="121">
        <v>5</v>
      </c>
      <c r="E3041" s="121">
        <v>3500</v>
      </c>
    </row>
    <row r="3042" spans="1:5" ht="15">
      <c r="A3042" s="120" t="s">
        <v>395</v>
      </c>
      <c r="B3042" s="121">
        <v>21</v>
      </c>
      <c r="C3042" s="121">
        <v>26</v>
      </c>
      <c r="D3042" s="121">
        <v>0</v>
      </c>
      <c r="E3042" s="121">
        <v>1900</v>
      </c>
    </row>
    <row r="3043" spans="1:5" ht="15">
      <c r="A3043" s="120" t="s">
        <v>395</v>
      </c>
      <c r="B3043" s="121">
        <v>21</v>
      </c>
      <c r="C3043" s="121">
        <v>26</v>
      </c>
      <c r="D3043" s="121">
        <v>2</v>
      </c>
      <c r="E3043" s="121">
        <v>1506556</v>
      </c>
    </row>
    <row r="3044" spans="1:5" ht="15">
      <c r="A3044" s="120" t="s">
        <v>395</v>
      </c>
      <c r="B3044" s="121">
        <v>21</v>
      </c>
      <c r="C3044" s="121">
        <v>26</v>
      </c>
      <c r="D3044" s="121">
        <v>3</v>
      </c>
      <c r="E3044" s="121">
        <v>55670</v>
      </c>
    </row>
    <row r="3045" spans="1:5" ht="15">
      <c r="A3045" s="120" t="s">
        <v>395</v>
      </c>
      <c r="B3045" s="121">
        <v>21</v>
      </c>
      <c r="C3045" s="121">
        <v>26</v>
      </c>
      <c r="D3045" s="121">
        <v>4</v>
      </c>
      <c r="E3045" s="121">
        <v>513055</v>
      </c>
    </row>
    <row r="3046" spans="1:5" ht="15">
      <c r="A3046" s="120" t="s">
        <v>395</v>
      </c>
      <c r="B3046" s="121">
        <v>21</v>
      </c>
      <c r="C3046" s="121">
        <v>26</v>
      </c>
      <c r="D3046" s="121">
        <v>5</v>
      </c>
      <c r="E3046" s="121">
        <v>20163</v>
      </c>
    </row>
    <row r="3047" spans="1:5" ht="15">
      <c r="A3047" s="120" t="s">
        <v>395</v>
      </c>
      <c r="B3047" s="121">
        <v>21</v>
      </c>
      <c r="C3047" s="121">
        <v>26</v>
      </c>
      <c r="D3047" s="121">
        <v>7</v>
      </c>
      <c r="E3047" s="121">
        <v>496996</v>
      </c>
    </row>
    <row r="3048" spans="1:5" ht="15">
      <c r="A3048" s="120" t="s">
        <v>395</v>
      </c>
      <c r="B3048" s="121">
        <v>21</v>
      </c>
      <c r="C3048" s="121">
        <v>26</v>
      </c>
      <c r="D3048" s="121">
        <v>8</v>
      </c>
      <c r="E3048" s="121">
        <v>22600</v>
      </c>
    </row>
    <row r="3049" spans="1:5" ht="15">
      <c r="A3049" s="120" t="s">
        <v>395</v>
      </c>
      <c r="B3049" s="121">
        <v>21</v>
      </c>
      <c r="C3049" s="121">
        <v>27</v>
      </c>
      <c r="D3049" s="121">
        <v>0</v>
      </c>
      <c r="E3049" s="121">
        <v>9005</v>
      </c>
    </row>
    <row r="3050" spans="1:5" ht="15">
      <c r="A3050" s="120" t="s">
        <v>395</v>
      </c>
      <c r="B3050" s="121">
        <v>21</v>
      </c>
      <c r="C3050" s="121">
        <v>27</v>
      </c>
      <c r="D3050" s="121">
        <v>2</v>
      </c>
      <c r="E3050" s="121">
        <v>2212749</v>
      </c>
    </row>
    <row r="3051" spans="1:5" ht="15">
      <c r="A3051" s="120" t="s">
        <v>395</v>
      </c>
      <c r="B3051" s="121">
        <v>21</v>
      </c>
      <c r="C3051" s="121">
        <v>27</v>
      </c>
      <c r="D3051" s="121">
        <v>3</v>
      </c>
      <c r="E3051" s="121">
        <v>629439</v>
      </c>
    </row>
    <row r="3052" spans="1:5" ht="15">
      <c r="A3052" s="120" t="s">
        <v>395</v>
      </c>
      <c r="B3052" s="121">
        <v>21</v>
      </c>
      <c r="C3052" s="121">
        <v>27</v>
      </c>
      <c r="D3052" s="121">
        <v>4</v>
      </c>
      <c r="E3052" s="121">
        <v>1107993</v>
      </c>
    </row>
    <row r="3053" spans="1:5" ht="15">
      <c r="A3053" s="120" t="s">
        <v>395</v>
      </c>
      <c r="B3053" s="121">
        <v>21</v>
      </c>
      <c r="C3053" s="121">
        <v>27</v>
      </c>
      <c r="D3053" s="121">
        <v>5</v>
      </c>
      <c r="E3053" s="121">
        <v>51618</v>
      </c>
    </row>
    <row r="3054" spans="1:5" ht="15">
      <c r="A3054" s="120" t="s">
        <v>395</v>
      </c>
      <c r="B3054" s="121">
        <v>21</v>
      </c>
      <c r="C3054" s="121">
        <v>27</v>
      </c>
      <c r="D3054" s="121">
        <v>7</v>
      </c>
      <c r="E3054" s="121">
        <v>98810</v>
      </c>
    </row>
    <row r="3055" spans="1:5" ht="15">
      <c r="A3055" s="120" t="s">
        <v>395</v>
      </c>
      <c r="B3055" s="121">
        <v>21</v>
      </c>
      <c r="C3055" s="121">
        <v>27</v>
      </c>
      <c r="D3055" s="121">
        <v>8</v>
      </c>
      <c r="E3055" s="121">
        <v>200</v>
      </c>
    </row>
    <row r="3056" spans="1:5" ht="15">
      <c r="A3056" s="120" t="s">
        <v>395</v>
      </c>
      <c r="B3056" s="121">
        <v>21</v>
      </c>
      <c r="C3056" s="121">
        <v>28</v>
      </c>
      <c r="D3056" s="121">
        <v>3</v>
      </c>
      <c r="E3056" s="121">
        <v>5340</v>
      </c>
    </row>
    <row r="3057" spans="1:5" ht="15">
      <c r="A3057" s="120" t="s">
        <v>395</v>
      </c>
      <c r="B3057" s="121">
        <v>21</v>
      </c>
      <c r="C3057" s="121">
        <v>28</v>
      </c>
      <c r="D3057" s="121">
        <v>4</v>
      </c>
      <c r="E3057" s="121">
        <v>850</v>
      </c>
    </row>
    <row r="3058" spans="1:5" ht="15">
      <c r="A3058" s="120" t="s">
        <v>395</v>
      </c>
      <c r="B3058" s="121">
        <v>21</v>
      </c>
      <c r="C3058" s="121">
        <v>28</v>
      </c>
      <c r="D3058" s="121">
        <v>7</v>
      </c>
      <c r="E3058" s="121">
        <v>3700</v>
      </c>
    </row>
    <row r="3059" spans="1:5" ht="15">
      <c r="A3059" s="120" t="s">
        <v>395</v>
      </c>
      <c r="B3059" s="121">
        <v>21</v>
      </c>
      <c r="C3059" s="121">
        <v>31</v>
      </c>
      <c r="D3059" s="121">
        <v>0</v>
      </c>
      <c r="E3059" s="121">
        <v>800</v>
      </c>
    </row>
    <row r="3060" spans="1:5" ht="15">
      <c r="A3060" s="120" t="s">
        <v>395</v>
      </c>
      <c r="B3060" s="121">
        <v>21</v>
      </c>
      <c r="C3060" s="121">
        <v>31</v>
      </c>
      <c r="D3060" s="121">
        <v>5</v>
      </c>
      <c r="E3060" s="121">
        <v>1850</v>
      </c>
    </row>
    <row r="3061" spans="1:5" ht="15">
      <c r="A3061" s="120" t="s">
        <v>395</v>
      </c>
      <c r="B3061" s="121">
        <v>21</v>
      </c>
      <c r="C3061" s="121">
        <v>31</v>
      </c>
      <c r="D3061" s="121">
        <v>7</v>
      </c>
      <c r="E3061" s="121">
        <v>54694</v>
      </c>
    </row>
    <row r="3062" spans="1:5" ht="15">
      <c r="A3062" s="120" t="s">
        <v>395</v>
      </c>
      <c r="B3062" s="121">
        <v>21</v>
      </c>
      <c r="C3062" s="121">
        <v>31</v>
      </c>
      <c r="D3062" s="121">
        <v>8</v>
      </c>
      <c r="E3062" s="121">
        <v>9525</v>
      </c>
    </row>
    <row r="3063" spans="1:5" ht="15">
      <c r="A3063" s="120" t="s">
        <v>395</v>
      </c>
      <c r="B3063" s="121">
        <v>21</v>
      </c>
      <c r="C3063" s="121">
        <v>33</v>
      </c>
      <c r="D3063" s="121">
        <v>5</v>
      </c>
      <c r="E3063" s="121">
        <v>400</v>
      </c>
    </row>
    <row r="3064" spans="1:5" ht="15">
      <c r="A3064" s="120" t="s">
        <v>395</v>
      </c>
      <c r="B3064" s="121">
        <v>21</v>
      </c>
      <c r="C3064" s="121">
        <v>33</v>
      </c>
      <c r="D3064" s="121">
        <v>7</v>
      </c>
      <c r="E3064" s="121">
        <v>382</v>
      </c>
    </row>
    <row r="3065" spans="1:5" ht="15">
      <c r="A3065" s="120" t="s">
        <v>395</v>
      </c>
      <c r="B3065" s="121">
        <v>21</v>
      </c>
      <c r="C3065" s="121">
        <v>34</v>
      </c>
      <c r="D3065" s="121">
        <v>2</v>
      </c>
      <c r="E3065" s="121">
        <v>63774</v>
      </c>
    </row>
    <row r="3066" spans="1:5" ht="15">
      <c r="A3066" s="120" t="s">
        <v>395</v>
      </c>
      <c r="B3066" s="121">
        <v>21</v>
      </c>
      <c r="C3066" s="121">
        <v>34</v>
      </c>
      <c r="D3066" s="121">
        <v>4</v>
      </c>
      <c r="E3066" s="121">
        <v>10099</v>
      </c>
    </row>
    <row r="3067" spans="1:5" ht="15">
      <c r="A3067" s="120" t="s">
        <v>395</v>
      </c>
      <c r="B3067" s="121">
        <v>24</v>
      </c>
      <c r="C3067" s="121">
        <v>21</v>
      </c>
      <c r="D3067" s="121">
        <v>7</v>
      </c>
      <c r="E3067" s="121">
        <v>16645</v>
      </c>
    </row>
    <row r="3068" spans="1:5" ht="15">
      <c r="A3068" s="120" t="s">
        <v>395</v>
      </c>
      <c r="B3068" s="121">
        <v>24</v>
      </c>
      <c r="C3068" s="121">
        <v>26</v>
      </c>
      <c r="D3068" s="121">
        <v>3</v>
      </c>
      <c r="E3068" s="121">
        <v>17645</v>
      </c>
    </row>
    <row r="3069" spans="1:5" ht="15">
      <c r="A3069" s="120" t="s">
        <v>395</v>
      </c>
      <c r="B3069" s="121">
        <v>24</v>
      </c>
      <c r="C3069" s="121">
        <v>26</v>
      </c>
      <c r="D3069" s="121">
        <v>4</v>
      </c>
      <c r="E3069" s="121">
        <v>10668</v>
      </c>
    </row>
    <row r="3070" spans="1:5" ht="15">
      <c r="A3070" s="120" t="s">
        <v>395</v>
      </c>
      <c r="B3070" s="121">
        <v>24</v>
      </c>
      <c r="C3070" s="121">
        <v>27</v>
      </c>
      <c r="D3070" s="121">
        <v>3</v>
      </c>
      <c r="E3070" s="121">
        <v>648147</v>
      </c>
    </row>
    <row r="3071" spans="1:5" ht="15">
      <c r="A3071" s="120" t="s">
        <v>395</v>
      </c>
      <c r="B3071" s="121">
        <v>24</v>
      </c>
      <c r="C3071" s="121">
        <v>27</v>
      </c>
      <c r="D3071" s="121">
        <v>4</v>
      </c>
      <c r="E3071" s="121">
        <v>415488</v>
      </c>
    </row>
    <row r="3072" spans="1:5" ht="15">
      <c r="A3072" s="120" t="s">
        <v>415</v>
      </c>
      <c r="B3072" s="121">
        <v>21</v>
      </c>
      <c r="C3072" s="121">
        <v>21</v>
      </c>
      <c r="D3072" s="121">
        <v>2</v>
      </c>
      <c r="E3072" s="121">
        <v>30823</v>
      </c>
    </row>
    <row r="3073" spans="1:5" ht="15">
      <c r="A3073" s="120" t="s">
        <v>415</v>
      </c>
      <c r="B3073" s="121">
        <v>21</v>
      </c>
      <c r="C3073" s="121">
        <v>21</v>
      </c>
      <c r="D3073" s="121">
        <v>4</v>
      </c>
      <c r="E3073" s="121">
        <v>9421</v>
      </c>
    </row>
    <row r="3074" spans="1:5" ht="15">
      <c r="A3074" s="120" t="s">
        <v>415</v>
      </c>
      <c r="B3074" s="121">
        <v>21</v>
      </c>
      <c r="C3074" s="121">
        <v>26</v>
      </c>
      <c r="D3074" s="121">
        <v>2</v>
      </c>
      <c r="E3074" s="121">
        <v>23158</v>
      </c>
    </row>
    <row r="3075" spans="1:5" ht="15">
      <c r="A3075" s="120" t="s">
        <v>415</v>
      </c>
      <c r="B3075" s="121">
        <v>21</v>
      </c>
      <c r="C3075" s="121">
        <v>26</v>
      </c>
      <c r="D3075" s="121">
        <v>4</v>
      </c>
      <c r="E3075" s="121">
        <v>3652</v>
      </c>
    </row>
    <row r="3076" spans="1:5" ht="15">
      <c r="A3076" s="120" t="s">
        <v>415</v>
      </c>
      <c r="B3076" s="121">
        <v>21</v>
      </c>
      <c r="C3076" s="121">
        <v>26</v>
      </c>
      <c r="D3076" s="121">
        <v>5</v>
      </c>
      <c r="E3076" s="121">
        <v>1250</v>
      </c>
    </row>
    <row r="3077" spans="1:5" ht="15">
      <c r="A3077" s="120" t="s">
        <v>415</v>
      </c>
      <c r="B3077" s="121">
        <v>21</v>
      </c>
      <c r="C3077" s="121">
        <v>26</v>
      </c>
      <c r="D3077" s="121">
        <v>7</v>
      </c>
      <c r="E3077" s="121">
        <v>125000</v>
      </c>
    </row>
    <row r="3078" spans="1:5" ht="15">
      <c r="A3078" s="120" t="s">
        <v>415</v>
      </c>
      <c r="B3078" s="121">
        <v>21</v>
      </c>
      <c r="C3078" s="121">
        <v>27</v>
      </c>
      <c r="D3078" s="121">
        <v>2</v>
      </c>
      <c r="E3078" s="121">
        <v>158378</v>
      </c>
    </row>
    <row r="3079" spans="1:5" ht="15">
      <c r="A3079" s="120" t="s">
        <v>415</v>
      </c>
      <c r="B3079" s="121">
        <v>21</v>
      </c>
      <c r="C3079" s="121">
        <v>27</v>
      </c>
      <c r="D3079" s="121">
        <v>3</v>
      </c>
      <c r="E3079" s="121">
        <v>213663</v>
      </c>
    </row>
    <row r="3080" spans="1:5" ht="15">
      <c r="A3080" s="120" t="s">
        <v>415</v>
      </c>
      <c r="B3080" s="121">
        <v>21</v>
      </c>
      <c r="C3080" s="121">
        <v>27</v>
      </c>
      <c r="D3080" s="121">
        <v>4</v>
      </c>
      <c r="E3080" s="121">
        <v>189953</v>
      </c>
    </row>
    <row r="3081" spans="1:5" ht="15">
      <c r="A3081" s="120" t="s">
        <v>415</v>
      </c>
      <c r="B3081" s="121">
        <v>21</v>
      </c>
      <c r="C3081" s="121">
        <v>27</v>
      </c>
      <c r="D3081" s="121">
        <v>5</v>
      </c>
      <c r="E3081" s="121">
        <v>10000</v>
      </c>
    </row>
    <row r="3082" spans="1:5" ht="15">
      <c r="A3082" s="120" t="s">
        <v>415</v>
      </c>
      <c r="B3082" s="121">
        <v>21</v>
      </c>
      <c r="C3082" s="121">
        <v>27</v>
      </c>
      <c r="D3082" s="121">
        <v>7</v>
      </c>
      <c r="E3082" s="121">
        <v>3150</v>
      </c>
    </row>
    <row r="3083" spans="1:5" ht="15">
      <c r="A3083" s="120" t="s">
        <v>415</v>
      </c>
      <c r="B3083" s="121">
        <v>21</v>
      </c>
      <c r="C3083" s="121">
        <v>27</v>
      </c>
      <c r="D3083" s="121">
        <v>8</v>
      </c>
      <c r="E3083" s="121">
        <v>1000</v>
      </c>
    </row>
    <row r="3084" spans="1:5" ht="15">
      <c r="A3084" s="120" t="s">
        <v>415</v>
      </c>
      <c r="B3084" s="121">
        <v>21</v>
      </c>
      <c r="C3084" s="121">
        <v>27</v>
      </c>
      <c r="D3084" s="121">
        <v>9</v>
      </c>
      <c r="E3084" s="121">
        <v>1000</v>
      </c>
    </row>
    <row r="3085" spans="1:5" ht="15">
      <c r="A3085" s="120" t="s">
        <v>415</v>
      </c>
      <c r="B3085" s="121">
        <v>21</v>
      </c>
      <c r="C3085" s="121">
        <v>34</v>
      </c>
      <c r="D3085" s="121">
        <v>4</v>
      </c>
      <c r="E3085" s="121">
        <v>1004</v>
      </c>
    </row>
    <row r="3086" spans="1:5" ht="15">
      <c r="A3086" s="120" t="s">
        <v>415</v>
      </c>
      <c r="B3086" s="121">
        <v>24</v>
      </c>
      <c r="C3086" s="121">
        <v>27</v>
      </c>
      <c r="D3086" s="121">
        <v>2</v>
      </c>
      <c r="E3086" s="121">
        <v>49964</v>
      </c>
    </row>
    <row r="3087" spans="1:5" ht="15">
      <c r="A3087" s="120" t="s">
        <v>415</v>
      </c>
      <c r="B3087" s="121">
        <v>24</v>
      </c>
      <c r="C3087" s="121">
        <v>27</v>
      </c>
      <c r="D3087" s="121">
        <v>4</v>
      </c>
      <c r="E3087" s="121">
        <v>21756</v>
      </c>
    </row>
    <row r="3088" spans="1:5" ht="15">
      <c r="A3088" s="120" t="s">
        <v>355</v>
      </c>
      <c r="B3088" s="121">
        <v>21</v>
      </c>
      <c r="C3088" s="121">
        <v>21</v>
      </c>
      <c r="D3088" s="121">
        <v>2</v>
      </c>
      <c r="E3088" s="121">
        <v>435635</v>
      </c>
    </row>
    <row r="3089" spans="1:5" ht="15">
      <c r="A3089" s="120" t="s">
        <v>355</v>
      </c>
      <c r="B3089" s="121">
        <v>21</v>
      </c>
      <c r="C3089" s="121">
        <v>21</v>
      </c>
      <c r="D3089" s="121">
        <v>3</v>
      </c>
      <c r="E3089" s="121">
        <v>138882</v>
      </c>
    </row>
    <row r="3090" spans="1:5" ht="15">
      <c r="A3090" s="120" t="s">
        <v>355</v>
      </c>
      <c r="B3090" s="121">
        <v>21</v>
      </c>
      <c r="C3090" s="121">
        <v>21</v>
      </c>
      <c r="D3090" s="121">
        <v>4</v>
      </c>
      <c r="E3090" s="121">
        <v>162789</v>
      </c>
    </row>
    <row r="3091" spans="1:5" ht="15">
      <c r="A3091" s="120" t="s">
        <v>355</v>
      </c>
      <c r="B3091" s="121">
        <v>21</v>
      </c>
      <c r="C3091" s="121">
        <v>21</v>
      </c>
      <c r="D3091" s="121">
        <v>7</v>
      </c>
      <c r="E3091" s="121">
        <v>2000</v>
      </c>
    </row>
    <row r="3092" spans="1:5" ht="15">
      <c r="A3092" s="120" t="s">
        <v>355</v>
      </c>
      <c r="B3092" s="121">
        <v>21</v>
      </c>
      <c r="C3092" s="121">
        <v>21</v>
      </c>
      <c r="D3092" s="121">
        <v>8</v>
      </c>
      <c r="E3092" s="121">
        <v>4500</v>
      </c>
    </row>
    <row r="3093" spans="1:5" ht="15">
      <c r="A3093" s="120" t="s">
        <v>355</v>
      </c>
      <c r="B3093" s="121">
        <v>21</v>
      </c>
      <c r="C3093" s="121">
        <v>25</v>
      </c>
      <c r="D3093" s="121">
        <v>3</v>
      </c>
      <c r="E3093" s="121">
        <v>325471</v>
      </c>
    </row>
    <row r="3094" spans="1:5" ht="15">
      <c r="A3094" s="120" t="s">
        <v>355</v>
      </c>
      <c r="B3094" s="121">
        <v>21</v>
      </c>
      <c r="C3094" s="121">
        <v>25</v>
      </c>
      <c r="D3094" s="121">
        <v>4</v>
      </c>
      <c r="E3094" s="121">
        <v>204960</v>
      </c>
    </row>
    <row r="3095" spans="1:5" ht="15">
      <c r="A3095" s="120" t="s">
        <v>355</v>
      </c>
      <c r="B3095" s="121">
        <v>21</v>
      </c>
      <c r="C3095" s="121">
        <v>26</v>
      </c>
      <c r="D3095" s="121">
        <v>2</v>
      </c>
      <c r="E3095" s="121">
        <v>10137752</v>
      </c>
    </row>
    <row r="3096" spans="1:5" ht="15">
      <c r="A3096" s="120" t="s">
        <v>355</v>
      </c>
      <c r="B3096" s="121">
        <v>21</v>
      </c>
      <c r="C3096" s="121">
        <v>26</v>
      </c>
      <c r="D3096" s="121">
        <v>3</v>
      </c>
      <c r="E3096" s="121">
        <v>468692</v>
      </c>
    </row>
    <row r="3097" spans="1:5" ht="15">
      <c r="A3097" s="120" t="s">
        <v>355</v>
      </c>
      <c r="B3097" s="121">
        <v>21</v>
      </c>
      <c r="C3097" s="121">
        <v>26</v>
      </c>
      <c r="D3097" s="121">
        <v>4</v>
      </c>
      <c r="E3097" s="121">
        <v>3251084</v>
      </c>
    </row>
    <row r="3098" spans="1:5" ht="15">
      <c r="A3098" s="120" t="s">
        <v>355</v>
      </c>
      <c r="B3098" s="121">
        <v>21</v>
      </c>
      <c r="C3098" s="121">
        <v>26</v>
      </c>
      <c r="D3098" s="121">
        <v>5</v>
      </c>
      <c r="E3098" s="121">
        <v>50650</v>
      </c>
    </row>
    <row r="3099" spans="1:5" ht="15">
      <c r="A3099" s="120" t="s">
        <v>355</v>
      </c>
      <c r="B3099" s="121">
        <v>21</v>
      </c>
      <c r="C3099" s="121">
        <v>26</v>
      </c>
      <c r="D3099" s="121">
        <v>7</v>
      </c>
      <c r="E3099" s="121">
        <v>733650</v>
      </c>
    </row>
    <row r="3100" spans="1:5" ht="15">
      <c r="A3100" s="120" t="s">
        <v>355</v>
      </c>
      <c r="B3100" s="121">
        <v>21</v>
      </c>
      <c r="C3100" s="121">
        <v>26</v>
      </c>
      <c r="D3100" s="121">
        <v>8</v>
      </c>
      <c r="E3100" s="121">
        <v>7500</v>
      </c>
    </row>
    <row r="3101" spans="1:5" ht="15">
      <c r="A3101" s="120" t="s">
        <v>355</v>
      </c>
      <c r="B3101" s="121">
        <v>21</v>
      </c>
      <c r="C3101" s="121">
        <v>27</v>
      </c>
      <c r="D3101" s="121">
        <v>0</v>
      </c>
      <c r="E3101" s="121">
        <v>10700</v>
      </c>
    </row>
    <row r="3102" spans="1:5" ht="15">
      <c r="A3102" s="120" t="s">
        <v>355</v>
      </c>
      <c r="B3102" s="121">
        <v>21</v>
      </c>
      <c r="C3102" s="121">
        <v>27</v>
      </c>
      <c r="D3102" s="121">
        <v>2</v>
      </c>
      <c r="E3102" s="121">
        <v>13585007</v>
      </c>
    </row>
    <row r="3103" spans="1:5" ht="15">
      <c r="A3103" s="120" t="s">
        <v>355</v>
      </c>
      <c r="B3103" s="121">
        <v>21</v>
      </c>
      <c r="C3103" s="121">
        <v>27</v>
      </c>
      <c r="D3103" s="121">
        <v>3</v>
      </c>
      <c r="E3103" s="121">
        <v>11305442</v>
      </c>
    </row>
    <row r="3104" spans="1:5" ht="15">
      <c r="A3104" s="120" t="s">
        <v>355</v>
      </c>
      <c r="B3104" s="121">
        <v>21</v>
      </c>
      <c r="C3104" s="121">
        <v>27</v>
      </c>
      <c r="D3104" s="121">
        <v>4</v>
      </c>
      <c r="E3104" s="121">
        <v>11167178</v>
      </c>
    </row>
    <row r="3105" spans="1:5" ht="15">
      <c r="A3105" s="120" t="s">
        <v>355</v>
      </c>
      <c r="B3105" s="121">
        <v>21</v>
      </c>
      <c r="C3105" s="121">
        <v>27</v>
      </c>
      <c r="D3105" s="121">
        <v>5</v>
      </c>
      <c r="E3105" s="121">
        <v>61450</v>
      </c>
    </row>
    <row r="3106" spans="1:5" ht="15">
      <c r="A3106" s="120" t="s">
        <v>355</v>
      </c>
      <c r="B3106" s="121">
        <v>21</v>
      </c>
      <c r="C3106" s="121">
        <v>27</v>
      </c>
      <c r="D3106" s="121">
        <v>7</v>
      </c>
      <c r="E3106" s="121">
        <v>2945300</v>
      </c>
    </row>
    <row r="3107" spans="1:5" ht="15">
      <c r="A3107" s="120" t="s">
        <v>355</v>
      </c>
      <c r="B3107" s="121">
        <v>21</v>
      </c>
      <c r="C3107" s="121">
        <v>27</v>
      </c>
      <c r="D3107" s="121">
        <v>8</v>
      </c>
      <c r="E3107" s="121">
        <v>14000</v>
      </c>
    </row>
    <row r="3108" spans="1:5" ht="15">
      <c r="A3108" s="120" t="s">
        <v>355</v>
      </c>
      <c r="B3108" s="121">
        <v>21</v>
      </c>
      <c r="C3108" s="121">
        <v>31</v>
      </c>
      <c r="D3108" s="121">
        <v>2</v>
      </c>
      <c r="E3108" s="121">
        <v>519395</v>
      </c>
    </row>
    <row r="3109" spans="1:5" ht="15">
      <c r="A3109" s="120" t="s">
        <v>355</v>
      </c>
      <c r="B3109" s="121">
        <v>21</v>
      </c>
      <c r="C3109" s="121">
        <v>31</v>
      </c>
      <c r="D3109" s="121">
        <v>4</v>
      </c>
      <c r="E3109" s="121">
        <v>84846</v>
      </c>
    </row>
    <row r="3110" spans="1:5" ht="15">
      <c r="A3110" s="120" t="s">
        <v>355</v>
      </c>
      <c r="B3110" s="121">
        <v>21</v>
      </c>
      <c r="C3110" s="121">
        <v>31</v>
      </c>
      <c r="D3110" s="121">
        <v>7</v>
      </c>
      <c r="E3110" s="121">
        <v>17500</v>
      </c>
    </row>
    <row r="3111" spans="1:5" ht="15">
      <c r="A3111" s="120" t="s">
        <v>355</v>
      </c>
      <c r="B3111" s="121">
        <v>21</v>
      </c>
      <c r="C3111" s="121">
        <v>32</v>
      </c>
      <c r="D3111" s="121">
        <v>5</v>
      </c>
      <c r="E3111" s="121">
        <v>10000</v>
      </c>
    </row>
    <row r="3112" spans="1:5" ht="15">
      <c r="A3112" s="120" t="s">
        <v>355</v>
      </c>
      <c r="B3112" s="121">
        <v>21</v>
      </c>
      <c r="C3112" s="121">
        <v>33</v>
      </c>
      <c r="D3112" s="121">
        <v>5</v>
      </c>
      <c r="E3112" s="121">
        <v>103160</v>
      </c>
    </row>
    <row r="3113" spans="1:5" ht="15">
      <c r="A3113" s="120" t="s">
        <v>355</v>
      </c>
      <c r="B3113" s="121">
        <v>21</v>
      </c>
      <c r="C3113" s="121">
        <v>33</v>
      </c>
      <c r="D3113" s="121">
        <v>7</v>
      </c>
      <c r="E3113" s="121">
        <v>75000</v>
      </c>
    </row>
    <row r="3114" spans="1:5" ht="15">
      <c r="A3114" s="120" t="s">
        <v>355</v>
      </c>
      <c r="B3114" s="121">
        <v>21</v>
      </c>
      <c r="C3114" s="121">
        <v>34</v>
      </c>
      <c r="D3114" s="121">
        <v>2</v>
      </c>
      <c r="E3114" s="121">
        <v>385020</v>
      </c>
    </row>
    <row r="3115" spans="1:5" ht="15">
      <c r="A3115" s="120" t="s">
        <v>355</v>
      </c>
      <c r="B3115" s="121">
        <v>21</v>
      </c>
      <c r="C3115" s="121">
        <v>34</v>
      </c>
      <c r="D3115" s="121">
        <v>4</v>
      </c>
      <c r="E3115" s="121">
        <v>62919</v>
      </c>
    </row>
    <row r="3116" spans="1:5" ht="15">
      <c r="A3116" s="120" t="s">
        <v>355</v>
      </c>
      <c r="B3116" s="121">
        <v>24</v>
      </c>
      <c r="C3116" s="121">
        <v>26</v>
      </c>
      <c r="D3116" s="121">
        <v>3</v>
      </c>
      <c r="E3116" s="121">
        <v>45921</v>
      </c>
    </row>
    <row r="3117" spans="1:5" ht="15">
      <c r="A3117" s="120" t="s">
        <v>355</v>
      </c>
      <c r="B3117" s="121">
        <v>24</v>
      </c>
      <c r="C3117" s="121">
        <v>26</v>
      </c>
      <c r="D3117" s="121">
        <v>4</v>
      </c>
      <c r="E3117" s="121">
        <v>23078</v>
      </c>
    </row>
    <row r="3118" spans="1:5" ht="15">
      <c r="A3118" s="120" t="s">
        <v>355</v>
      </c>
      <c r="B3118" s="121">
        <v>24</v>
      </c>
      <c r="C3118" s="121">
        <v>27</v>
      </c>
      <c r="D3118" s="121">
        <v>2</v>
      </c>
      <c r="E3118" s="121">
        <v>1529689</v>
      </c>
    </row>
    <row r="3119" spans="1:5" ht="15">
      <c r="A3119" s="120" t="s">
        <v>355</v>
      </c>
      <c r="B3119" s="121">
        <v>24</v>
      </c>
      <c r="C3119" s="121">
        <v>27</v>
      </c>
      <c r="D3119" s="121">
        <v>3</v>
      </c>
      <c r="E3119" s="121">
        <v>265126</v>
      </c>
    </row>
    <row r="3120" spans="1:5" ht="15">
      <c r="A3120" s="120" t="s">
        <v>355</v>
      </c>
      <c r="B3120" s="121">
        <v>24</v>
      </c>
      <c r="C3120" s="121">
        <v>27</v>
      </c>
      <c r="D3120" s="121">
        <v>4</v>
      </c>
      <c r="E3120" s="121">
        <v>619478</v>
      </c>
    </row>
    <row r="3121" spans="1:5" ht="15">
      <c r="A3121" s="120" t="s">
        <v>355</v>
      </c>
      <c r="B3121" s="121">
        <v>24</v>
      </c>
      <c r="C3121" s="121">
        <v>27</v>
      </c>
      <c r="D3121" s="121">
        <v>5</v>
      </c>
      <c r="E3121" s="121">
        <v>2500</v>
      </c>
    </row>
    <row r="3122" spans="1:5" ht="15">
      <c r="A3122" s="120" t="s">
        <v>355</v>
      </c>
      <c r="B3122" s="121">
        <v>24</v>
      </c>
      <c r="C3122" s="121">
        <v>27</v>
      </c>
      <c r="D3122" s="121">
        <v>7</v>
      </c>
      <c r="E3122" s="121">
        <v>740950</v>
      </c>
    </row>
    <row r="3123" spans="1:5" ht="15">
      <c r="A3123" s="120" t="s">
        <v>355</v>
      </c>
      <c r="B3123" s="121">
        <v>24</v>
      </c>
      <c r="C3123" s="121">
        <v>31</v>
      </c>
      <c r="D3123" s="121">
        <v>5</v>
      </c>
      <c r="E3123" s="121">
        <v>2500</v>
      </c>
    </row>
    <row r="3124" spans="1:5" ht="15">
      <c r="A3124" s="120" t="s">
        <v>355</v>
      </c>
      <c r="B3124" s="121">
        <v>24</v>
      </c>
      <c r="C3124" s="121">
        <v>31</v>
      </c>
      <c r="D3124" s="121">
        <v>7</v>
      </c>
      <c r="E3124" s="121">
        <v>2500</v>
      </c>
    </row>
    <row r="3125" spans="1:5" ht="15">
      <c r="A3125" s="120" t="s">
        <v>355</v>
      </c>
      <c r="B3125" s="121">
        <v>24</v>
      </c>
      <c r="C3125" s="121">
        <v>31</v>
      </c>
      <c r="D3125" s="121">
        <v>8</v>
      </c>
      <c r="E3125" s="121">
        <v>2500</v>
      </c>
    </row>
    <row r="3126" spans="1:5" ht="15">
      <c r="A3126" s="120" t="s">
        <v>335</v>
      </c>
      <c r="B3126" s="121">
        <v>21</v>
      </c>
      <c r="C3126" s="121">
        <v>27</v>
      </c>
      <c r="D3126" s="121">
        <v>7</v>
      </c>
      <c r="E3126" s="121">
        <v>628911</v>
      </c>
    </row>
    <row r="3127" spans="1:5" ht="15">
      <c r="A3127" s="120" t="s">
        <v>375</v>
      </c>
      <c r="B3127" s="121">
        <v>21</v>
      </c>
      <c r="C3127" s="121">
        <v>21</v>
      </c>
      <c r="D3127" s="121">
        <v>2</v>
      </c>
      <c r="E3127" s="121">
        <v>418188</v>
      </c>
    </row>
    <row r="3128" spans="1:5" ht="15">
      <c r="A3128" s="120" t="s">
        <v>375</v>
      </c>
      <c r="B3128" s="121">
        <v>21</v>
      </c>
      <c r="C3128" s="121">
        <v>21</v>
      </c>
      <c r="D3128" s="121">
        <v>3</v>
      </c>
      <c r="E3128" s="121">
        <v>60175</v>
      </c>
    </row>
    <row r="3129" spans="1:5" ht="15">
      <c r="A3129" s="120" t="s">
        <v>375</v>
      </c>
      <c r="B3129" s="121">
        <v>21</v>
      </c>
      <c r="C3129" s="121">
        <v>21</v>
      </c>
      <c r="D3129" s="121">
        <v>4</v>
      </c>
      <c r="E3129" s="121">
        <v>130661</v>
      </c>
    </row>
    <row r="3130" spans="1:5" ht="15">
      <c r="A3130" s="120" t="s">
        <v>375</v>
      </c>
      <c r="B3130" s="121">
        <v>21</v>
      </c>
      <c r="C3130" s="121">
        <v>21</v>
      </c>
      <c r="D3130" s="121">
        <v>5</v>
      </c>
      <c r="E3130" s="121">
        <v>1000</v>
      </c>
    </row>
    <row r="3131" spans="1:5" ht="15">
      <c r="A3131" s="120" t="s">
        <v>375</v>
      </c>
      <c r="B3131" s="121">
        <v>21</v>
      </c>
      <c r="C3131" s="121">
        <v>21</v>
      </c>
      <c r="D3131" s="121">
        <v>7</v>
      </c>
      <c r="E3131" s="121">
        <v>3000</v>
      </c>
    </row>
    <row r="3132" spans="1:5" ht="15">
      <c r="A3132" s="120" t="s">
        <v>375</v>
      </c>
      <c r="B3132" s="121">
        <v>21</v>
      </c>
      <c r="C3132" s="121">
        <v>23</v>
      </c>
      <c r="D3132" s="121">
        <v>3</v>
      </c>
      <c r="E3132" s="121">
        <v>31140</v>
      </c>
    </row>
    <row r="3133" spans="1:5" ht="15">
      <c r="A3133" s="120" t="s">
        <v>375</v>
      </c>
      <c r="B3133" s="121">
        <v>21</v>
      </c>
      <c r="C3133" s="121">
        <v>23</v>
      </c>
      <c r="D3133" s="121">
        <v>4</v>
      </c>
      <c r="E3133" s="121">
        <v>18855</v>
      </c>
    </row>
    <row r="3134" spans="1:5" ht="15">
      <c r="A3134" s="120" t="s">
        <v>375</v>
      </c>
      <c r="B3134" s="121">
        <v>21</v>
      </c>
      <c r="C3134" s="121">
        <v>24</v>
      </c>
      <c r="D3134" s="121">
        <v>2</v>
      </c>
      <c r="E3134" s="121">
        <v>9975</v>
      </c>
    </row>
    <row r="3135" spans="1:5" ht="15">
      <c r="A3135" s="120" t="s">
        <v>375</v>
      </c>
      <c r="B3135" s="121">
        <v>21</v>
      </c>
      <c r="C3135" s="121">
        <v>24</v>
      </c>
      <c r="D3135" s="121">
        <v>4</v>
      </c>
      <c r="E3135" s="121">
        <v>3212</v>
      </c>
    </row>
    <row r="3136" spans="1:5" ht="15">
      <c r="A3136" s="120" t="s">
        <v>375</v>
      </c>
      <c r="B3136" s="121">
        <v>21</v>
      </c>
      <c r="C3136" s="121">
        <v>25</v>
      </c>
      <c r="D3136" s="121">
        <v>8</v>
      </c>
      <c r="E3136" s="121">
        <v>250</v>
      </c>
    </row>
    <row r="3137" spans="1:5" ht="15">
      <c r="A3137" s="120" t="s">
        <v>375</v>
      </c>
      <c r="B3137" s="121">
        <v>21</v>
      </c>
      <c r="C3137" s="121">
        <v>26</v>
      </c>
      <c r="D3137" s="121">
        <v>2</v>
      </c>
      <c r="E3137" s="121">
        <v>3689709</v>
      </c>
    </row>
    <row r="3138" spans="1:5" ht="15">
      <c r="A3138" s="120" t="s">
        <v>375</v>
      </c>
      <c r="B3138" s="121">
        <v>21</v>
      </c>
      <c r="C3138" s="121">
        <v>26</v>
      </c>
      <c r="D3138" s="121">
        <v>3</v>
      </c>
      <c r="E3138" s="121">
        <v>136636</v>
      </c>
    </row>
    <row r="3139" spans="1:5" ht="15">
      <c r="A3139" s="120" t="s">
        <v>375</v>
      </c>
      <c r="B3139" s="121">
        <v>21</v>
      </c>
      <c r="C3139" s="121">
        <v>26</v>
      </c>
      <c r="D3139" s="121">
        <v>4</v>
      </c>
      <c r="E3139" s="121">
        <v>1343863</v>
      </c>
    </row>
    <row r="3140" spans="1:5" ht="15">
      <c r="A3140" s="120" t="s">
        <v>375</v>
      </c>
      <c r="B3140" s="121">
        <v>21</v>
      </c>
      <c r="C3140" s="121">
        <v>26</v>
      </c>
      <c r="D3140" s="121">
        <v>5</v>
      </c>
      <c r="E3140" s="121">
        <v>32500</v>
      </c>
    </row>
    <row r="3141" spans="1:5" ht="15">
      <c r="A3141" s="120" t="s">
        <v>375</v>
      </c>
      <c r="B3141" s="121">
        <v>21</v>
      </c>
      <c r="C3141" s="121">
        <v>26</v>
      </c>
      <c r="D3141" s="121">
        <v>7</v>
      </c>
      <c r="E3141" s="121">
        <v>1122200</v>
      </c>
    </row>
    <row r="3142" spans="1:5" ht="15">
      <c r="A3142" s="120" t="s">
        <v>375</v>
      </c>
      <c r="B3142" s="121">
        <v>21</v>
      </c>
      <c r="C3142" s="121">
        <v>26</v>
      </c>
      <c r="D3142" s="121">
        <v>8</v>
      </c>
      <c r="E3142" s="121">
        <v>2100</v>
      </c>
    </row>
    <row r="3143" spans="1:5" ht="15">
      <c r="A3143" s="120" t="s">
        <v>375</v>
      </c>
      <c r="B3143" s="121">
        <v>21</v>
      </c>
      <c r="C3143" s="121">
        <v>27</v>
      </c>
      <c r="D3143" s="121">
        <v>2</v>
      </c>
      <c r="E3143" s="121">
        <v>7645762</v>
      </c>
    </row>
    <row r="3144" spans="1:5" ht="15">
      <c r="A3144" s="120" t="s">
        <v>375</v>
      </c>
      <c r="B3144" s="121">
        <v>21</v>
      </c>
      <c r="C3144" s="121">
        <v>27</v>
      </c>
      <c r="D3144" s="121">
        <v>3</v>
      </c>
      <c r="E3144" s="121">
        <v>7817436</v>
      </c>
    </row>
    <row r="3145" spans="1:5" ht="15">
      <c r="A3145" s="120" t="s">
        <v>375</v>
      </c>
      <c r="B3145" s="121">
        <v>21</v>
      </c>
      <c r="C3145" s="121">
        <v>27</v>
      </c>
      <c r="D3145" s="121">
        <v>4</v>
      </c>
      <c r="E3145" s="121">
        <v>7860985</v>
      </c>
    </row>
    <row r="3146" spans="1:5" ht="15">
      <c r="A3146" s="120" t="s">
        <v>375</v>
      </c>
      <c r="B3146" s="121">
        <v>21</v>
      </c>
      <c r="C3146" s="121">
        <v>27</v>
      </c>
      <c r="D3146" s="121">
        <v>5</v>
      </c>
      <c r="E3146" s="121">
        <v>121000</v>
      </c>
    </row>
    <row r="3147" spans="1:5" ht="15">
      <c r="A3147" s="120" t="s">
        <v>375</v>
      </c>
      <c r="B3147" s="121">
        <v>21</v>
      </c>
      <c r="C3147" s="121">
        <v>27</v>
      </c>
      <c r="D3147" s="121">
        <v>7</v>
      </c>
      <c r="E3147" s="121">
        <v>2358655</v>
      </c>
    </row>
    <row r="3148" spans="1:5" ht="15">
      <c r="A3148" s="120" t="s">
        <v>375</v>
      </c>
      <c r="B3148" s="121">
        <v>21</v>
      </c>
      <c r="C3148" s="121">
        <v>27</v>
      </c>
      <c r="D3148" s="121">
        <v>8</v>
      </c>
      <c r="E3148" s="121">
        <v>6800</v>
      </c>
    </row>
    <row r="3149" spans="1:5" ht="15">
      <c r="A3149" s="120" t="s">
        <v>375</v>
      </c>
      <c r="B3149" s="121">
        <v>21</v>
      </c>
      <c r="C3149" s="121">
        <v>31</v>
      </c>
      <c r="D3149" s="121">
        <v>2</v>
      </c>
      <c r="E3149" s="121">
        <v>237405</v>
      </c>
    </row>
    <row r="3150" spans="1:5" ht="15">
      <c r="A3150" s="120" t="s">
        <v>375</v>
      </c>
      <c r="B3150" s="121">
        <v>21</v>
      </c>
      <c r="C3150" s="121">
        <v>31</v>
      </c>
      <c r="D3150" s="121">
        <v>4</v>
      </c>
      <c r="E3150" s="121">
        <v>35707</v>
      </c>
    </row>
    <row r="3151" spans="1:5" ht="15">
      <c r="A3151" s="120" t="s">
        <v>375</v>
      </c>
      <c r="B3151" s="121">
        <v>21</v>
      </c>
      <c r="C3151" s="121">
        <v>34</v>
      </c>
      <c r="D3151" s="121">
        <v>2</v>
      </c>
      <c r="E3151" s="121">
        <v>256476</v>
      </c>
    </row>
    <row r="3152" spans="1:5" ht="15">
      <c r="A3152" s="120" t="s">
        <v>375</v>
      </c>
      <c r="B3152" s="121">
        <v>21</v>
      </c>
      <c r="C3152" s="121">
        <v>34</v>
      </c>
      <c r="D3152" s="121">
        <v>4</v>
      </c>
      <c r="E3152" s="121">
        <v>38904</v>
      </c>
    </row>
    <row r="3153" spans="1:5" ht="15">
      <c r="A3153" s="120" t="s">
        <v>355</v>
      </c>
      <c r="B3153" s="121">
        <v>29</v>
      </c>
      <c r="C3153" s="121">
        <v>21</v>
      </c>
      <c r="D3153" s="121">
        <v>7</v>
      </c>
      <c r="E3153" s="121">
        <v>100000</v>
      </c>
    </row>
    <row r="3154" spans="1:5" ht="15">
      <c r="A3154" s="120" t="s">
        <v>375</v>
      </c>
      <c r="B3154" s="121">
        <v>24</v>
      </c>
      <c r="C3154" s="121">
        <v>21</v>
      </c>
      <c r="D3154" s="121">
        <v>2</v>
      </c>
      <c r="E3154" s="121">
        <v>96477</v>
      </c>
    </row>
    <row r="3155" spans="1:5" ht="15">
      <c r="A3155" s="120" t="s">
        <v>375</v>
      </c>
      <c r="B3155" s="121">
        <v>24</v>
      </c>
      <c r="C3155" s="121">
        <v>21</v>
      </c>
      <c r="D3155" s="121">
        <v>4</v>
      </c>
      <c r="E3155" s="121">
        <v>27245</v>
      </c>
    </row>
    <row r="3156" spans="1:5" ht="15">
      <c r="A3156" s="120" t="s">
        <v>375</v>
      </c>
      <c r="B3156" s="121">
        <v>24</v>
      </c>
      <c r="C3156" s="121">
        <v>24</v>
      </c>
      <c r="D3156" s="121">
        <v>2</v>
      </c>
      <c r="E3156" s="121">
        <v>9975</v>
      </c>
    </row>
    <row r="3157" spans="1:5" ht="15">
      <c r="A3157" s="120" t="s">
        <v>375</v>
      </c>
      <c r="B3157" s="121">
        <v>24</v>
      </c>
      <c r="C3157" s="121">
        <v>24</v>
      </c>
      <c r="D3157" s="121">
        <v>4</v>
      </c>
      <c r="E3157" s="121">
        <v>3212</v>
      </c>
    </row>
    <row r="3158" spans="1:5" ht="15">
      <c r="A3158" s="120" t="s">
        <v>375</v>
      </c>
      <c r="B3158" s="121">
        <v>24</v>
      </c>
      <c r="C3158" s="121">
        <v>27</v>
      </c>
      <c r="D3158" s="121">
        <v>2</v>
      </c>
      <c r="E3158" s="121">
        <v>988247</v>
      </c>
    </row>
    <row r="3159" spans="1:5" ht="15">
      <c r="A3159" s="120" t="s">
        <v>375</v>
      </c>
      <c r="B3159" s="121">
        <v>24</v>
      </c>
      <c r="C3159" s="121">
        <v>27</v>
      </c>
      <c r="D3159" s="121">
        <v>3</v>
      </c>
      <c r="E3159" s="121">
        <v>189562</v>
      </c>
    </row>
    <row r="3160" spans="1:5" ht="15">
      <c r="A3160" s="120" t="s">
        <v>375</v>
      </c>
      <c r="B3160" s="121">
        <v>24</v>
      </c>
      <c r="C3160" s="121">
        <v>27</v>
      </c>
      <c r="D3160" s="121">
        <v>4</v>
      </c>
      <c r="E3160" s="121">
        <v>449540</v>
      </c>
    </row>
    <row r="3161" spans="1:5" ht="15">
      <c r="A3161" s="120" t="s">
        <v>375</v>
      </c>
      <c r="B3161" s="121">
        <v>24</v>
      </c>
      <c r="C3161" s="121">
        <v>27</v>
      </c>
      <c r="D3161" s="121">
        <v>5</v>
      </c>
      <c r="E3161" s="121">
        <v>25750</v>
      </c>
    </row>
    <row r="3162" spans="1:5" ht="15">
      <c r="A3162" s="120" t="s">
        <v>375</v>
      </c>
      <c r="B3162" s="121">
        <v>24</v>
      </c>
      <c r="C3162" s="121">
        <v>27</v>
      </c>
      <c r="D3162" s="121">
        <v>7</v>
      </c>
      <c r="E3162" s="121">
        <v>329500</v>
      </c>
    </row>
    <row r="3163" spans="1:5" ht="15">
      <c r="A3163" s="120" t="s">
        <v>375</v>
      </c>
      <c r="B3163" s="121">
        <v>24</v>
      </c>
      <c r="C3163" s="121">
        <v>27</v>
      </c>
      <c r="D3163" s="121">
        <v>8</v>
      </c>
      <c r="E3163" s="121">
        <v>750</v>
      </c>
    </row>
    <row r="3164" spans="1:5" ht="15">
      <c r="A3164" s="120" t="s">
        <v>375</v>
      </c>
      <c r="B3164" s="121">
        <v>24</v>
      </c>
      <c r="C3164" s="121">
        <v>31</v>
      </c>
      <c r="D3164" s="121">
        <v>7</v>
      </c>
      <c r="E3164" s="121">
        <v>1000</v>
      </c>
    </row>
    <row r="3165" spans="1:5" ht="15">
      <c r="A3165" s="120" t="s">
        <v>417</v>
      </c>
      <c r="B3165" s="121">
        <v>21</v>
      </c>
      <c r="C3165" s="121">
        <v>21</v>
      </c>
      <c r="D3165" s="121">
        <v>2</v>
      </c>
      <c r="E3165" s="121">
        <v>160063</v>
      </c>
    </row>
    <row r="3166" spans="1:5" ht="15">
      <c r="A3166" s="120" t="s">
        <v>417</v>
      </c>
      <c r="B3166" s="121">
        <v>21</v>
      </c>
      <c r="C3166" s="121">
        <v>21</v>
      </c>
      <c r="D3166" s="121">
        <v>3</v>
      </c>
      <c r="E3166" s="121">
        <v>73837</v>
      </c>
    </row>
    <row r="3167" spans="1:5" ht="15">
      <c r="A3167" s="120" t="s">
        <v>417</v>
      </c>
      <c r="B3167" s="121">
        <v>21</v>
      </c>
      <c r="C3167" s="121">
        <v>21</v>
      </c>
      <c r="D3167" s="121">
        <v>4</v>
      </c>
      <c r="E3167" s="121">
        <v>75880</v>
      </c>
    </row>
    <row r="3168" spans="1:5" ht="15">
      <c r="A3168" s="120" t="s">
        <v>417</v>
      </c>
      <c r="B3168" s="121">
        <v>21</v>
      </c>
      <c r="C3168" s="121">
        <v>21</v>
      </c>
      <c r="D3168" s="121">
        <v>5</v>
      </c>
      <c r="E3168" s="121">
        <v>1000</v>
      </c>
    </row>
    <row r="3169" spans="1:5" ht="15">
      <c r="A3169" s="120" t="s">
        <v>417</v>
      </c>
      <c r="B3169" s="121">
        <v>21</v>
      </c>
      <c r="C3169" s="121">
        <v>21</v>
      </c>
      <c r="D3169" s="121">
        <v>7</v>
      </c>
      <c r="E3169" s="121">
        <v>12852</v>
      </c>
    </row>
    <row r="3170" spans="1:5" ht="15">
      <c r="A3170" s="120" t="s">
        <v>417</v>
      </c>
      <c r="B3170" s="121">
        <v>21</v>
      </c>
      <c r="C3170" s="121">
        <v>21</v>
      </c>
      <c r="D3170" s="121">
        <v>8</v>
      </c>
      <c r="E3170" s="121">
        <v>250</v>
      </c>
    </row>
    <row r="3171" spans="1:5" ht="15">
      <c r="A3171" s="120" t="s">
        <v>417</v>
      </c>
      <c r="B3171" s="121">
        <v>21</v>
      </c>
      <c r="C3171" s="121">
        <v>26</v>
      </c>
      <c r="D3171" s="121">
        <v>2</v>
      </c>
      <c r="E3171" s="121">
        <v>1340387</v>
      </c>
    </row>
    <row r="3172" spans="1:5" ht="15">
      <c r="A3172" s="120" t="s">
        <v>417</v>
      </c>
      <c r="B3172" s="121">
        <v>21</v>
      </c>
      <c r="C3172" s="121">
        <v>26</v>
      </c>
      <c r="D3172" s="121">
        <v>3</v>
      </c>
      <c r="E3172" s="121">
        <v>143501</v>
      </c>
    </row>
    <row r="3173" spans="1:5" ht="15">
      <c r="A3173" s="120" t="s">
        <v>417</v>
      </c>
      <c r="B3173" s="121">
        <v>21</v>
      </c>
      <c r="C3173" s="121">
        <v>26</v>
      </c>
      <c r="D3173" s="121">
        <v>4</v>
      </c>
      <c r="E3173" s="121">
        <v>490617</v>
      </c>
    </row>
    <row r="3174" spans="1:5" ht="15">
      <c r="A3174" s="120" t="s">
        <v>417</v>
      </c>
      <c r="B3174" s="121">
        <v>21</v>
      </c>
      <c r="C3174" s="121">
        <v>26</v>
      </c>
      <c r="D3174" s="121">
        <v>5</v>
      </c>
      <c r="E3174" s="121">
        <v>5000</v>
      </c>
    </row>
    <row r="3175" spans="1:5" ht="15">
      <c r="A3175" s="120" t="s">
        <v>417</v>
      </c>
      <c r="B3175" s="121">
        <v>21</v>
      </c>
      <c r="C3175" s="121">
        <v>26</v>
      </c>
      <c r="D3175" s="121">
        <v>7</v>
      </c>
      <c r="E3175" s="121">
        <v>485900</v>
      </c>
    </row>
    <row r="3176" spans="1:5" ht="15">
      <c r="A3176" s="120" t="s">
        <v>417</v>
      </c>
      <c r="B3176" s="121">
        <v>21</v>
      </c>
      <c r="C3176" s="121">
        <v>26</v>
      </c>
      <c r="D3176" s="121">
        <v>8</v>
      </c>
      <c r="E3176" s="121">
        <v>4000</v>
      </c>
    </row>
    <row r="3177" spans="1:5" ht="15">
      <c r="A3177" s="120" t="s">
        <v>417</v>
      </c>
      <c r="B3177" s="121">
        <v>21</v>
      </c>
      <c r="C3177" s="121">
        <v>27</v>
      </c>
      <c r="D3177" s="121">
        <v>2</v>
      </c>
      <c r="E3177" s="121">
        <v>1808941</v>
      </c>
    </row>
    <row r="3178" spans="1:5" ht="15">
      <c r="A3178" s="120" t="s">
        <v>417</v>
      </c>
      <c r="B3178" s="121">
        <v>21</v>
      </c>
      <c r="C3178" s="121">
        <v>27</v>
      </c>
      <c r="D3178" s="121">
        <v>3</v>
      </c>
      <c r="E3178" s="121">
        <v>2531211</v>
      </c>
    </row>
    <row r="3179" spans="1:5" ht="15">
      <c r="A3179" s="120" t="s">
        <v>417</v>
      </c>
      <c r="B3179" s="121">
        <v>21</v>
      </c>
      <c r="C3179" s="121">
        <v>27</v>
      </c>
      <c r="D3179" s="121">
        <v>4</v>
      </c>
      <c r="E3179" s="121">
        <v>2288645</v>
      </c>
    </row>
    <row r="3180" spans="1:5" ht="15">
      <c r="A3180" s="120" t="s">
        <v>417</v>
      </c>
      <c r="B3180" s="121">
        <v>21</v>
      </c>
      <c r="C3180" s="121">
        <v>27</v>
      </c>
      <c r="D3180" s="121">
        <v>5</v>
      </c>
      <c r="E3180" s="121">
        <v>10000</v>
      </c>
    </row>
    <row r="3181" spans="1:5" ht="15">
      <c r="A3181" s="120" t="s">
        <v>417</v>
      </c>
      <c r="B3181" s="121">
        <v>21</v>
      </c>
      <c r="C3181" s="121">
        <v>27</v>
      </c>
      <c r="D3181" s="121">
        <v>7</v>
      </c>
      <c r="E3181" s="121">
        <v>489850</v>
      </c>
    </row>
    <row r="3182" spans="1:5" ht="15">
      <c r="A3182" s="120" t="s">
        <v>417</v>
      </c>
      <c r="B3182" s="121">
        <v>21</v>
      </c>
      <c r="C3182" s="121">
        <v>27</v>
      </c>
      <c r="D3182" s="121">
        <v>8</v>
      </c>
      <c r="E3182" s="121">
        <v>9500</v>
      </c>
    </row>
    <row r="3183" spans="1:5" ht="15">
      <c r="A3183" s="120" t="s">
        <v>417</v>
      </c>
      <c r="B3183" s="121">
        <v>21</v>
      </c>
      <c r="C3183" s="121">
        <v>34</v>
      </c>
      <c r="D3183" s="121">
        <v>2</v>
      </c>
      <c r="E3183" s="121">
        <v>48325</v>
      </c>
    </row>
    <row r="3184" spans="1:5" ht="15">
      <c r="A3184" s="120" t="s">
        <v>417</v>
      </c>
      <c r="B3184" s="121">
        <v>21</v>
      </c>
      <c r="C3184" s="121">
        <v>34</v>
      </c>
      <c r="D3184" s="121">
        <v>4</v>
      </c>
      <c r="E3184" s="121">
        <v>8016</v>
      </c>
    </row>
    <row r="3185" spans="1:5" ht="15">
      <c r="A3185" s="120" t="s">
        <v>417</v>
      </c>
      <c r="B3185" s="121">
        <v>24</v>
      </c>
      <c r="C3185" s="121">
        <v>27</v>
      </c>
      <c r="D3185" s="121">
        <v>2</v>
      </c>
      <c r="E3185" s="121">
        <v>536463</v>
      </c>
    </row>
    <row r="3186" spans="1:5" ht="15">
      <c r="A3186" s="120" t="s">
        <v>417</v>
      </c>
      <c r="B3186" s="121">
        <v>24</v>
      </c>
      <c r="C3186" s="121">
        <v>27</v>
      </c>
      <c r="D3186" s="121">
        <v>4</v>
      </c>
      <c r="E3186" s="121">
        <v>181685</v>
      </c>
    </row>
    <row r="3187" spans="1:5" ht="15">
      <c r="A3187" s="120" t="s">
        <v>397</v>
      </c>
      <c r="B3187" s="121">
        <v>21</v>
      </c>
      <c r="C3187" s="121">
        <v>27</v>
      </c>
      <c r="D3187" s="121">
        <v>7</v>
      </c>
      <c r="E3187" s="121">
        <v>43214</v>
      </c>
    </row>
    <row r="3188" spans="1:5" ht="15">
      <c r="A3188" s="120" t="s">
        <v>377</v>
      </c>
      <c r="B3188" s="121">
        <v>21</v>
      </c>
      <c r="C3188" s="121">
        <v>21</v>
      </c>
      <c r="D3188" s="121">
        <v>2</v>
      </c>
      <c r="E3188" s="121">
        <v>141870</v>
      </c>
    </row>
    <row r="3189" spans="1:5" ht="15">
      <c r="A3189" s="120" t="s">
        <v>377</v>
      </c>
      <c r="B3189" s="121">
        <v>21</v>
      </c>
      <c r="C3189" s="121">
        <v>21</v>
      </c>
      <c r="D3189" s="121">
        <v>3</v>
      </c>
      <c r="E3189" s="121">
        <v>125267</v>
      </c>
    </row>
    <row r="3190" spans="1:5" ht="15">
      <c r="A3190" s="120" t="s">
        <v>377</v>
      </c>
      <c r="B3190" s="121">
        <v>21</v>
      </c>
      <c r="C3190" s="121">
        <v>21</v>
      </c>
      <c r="D3190" s="121">
        <v>4</v>
      </c>
      <c r="E3190" s="121">
        <v>96114</v>
      </c>
    </row>
    <row r="3191" spans="1:5" ht="15">
      <c r="A3191" s="120" t="s">
        <v>377</v>
      </c>
      <c r="B3191" s="121">
        <v>21</v>
      </c>
      <c r="C3191" s="121">
        <v>24</v>
      </c>
      <c r="D3191" s="121">
        <v>2</v>
      </c>
      <c r="E3191" s="121">
        <v>109225</v>
      </c>
    </row>
    <row r="3192" spans="1:5" ht="15">
      <c r="A3192" s="120" t="s">
        <v>377</v>
      </c>
      <c r="B3192" s="121">
        <v>21</v>
      </c>
      <c r="C3192" s="121">
        <v>24</v>
      </c>
      <c r="D3192" s="121">
        <v>4</v>
      </c>
      <c r="E3192" s="121">
        <v>33481</v>
      </c>
    </row>
    <row r="3193" spans="1:5" ht="15">
      <c r="A3193" s="120" t="s">
        <v>377</v>
      </c>
      <c r="B3193" s="121">
        <v>21</v>
      </c>
      <c r="C3193" s="121">
        <v>26</v>
      </c>
      <c r="D3193" s="121">
        <v>2</v>
      </c>
      <c r="E3193" s="121">
        <v>356631</v>
      </c>
    </row>
    <row r="3194" spans="1:5" ht="15">
      <c r="A3194" s="120" t="s">
        <v>377</v>
      </c>
      <c r="B3194" s="121">
        <v>21</v>
      </c>
      <c r="C3194" s="121">
        <v>26</v>
      </c>
      <c r="D3194" s="121">
        <v>4</v>
      </c>
      <c r="E3194" s="121">
        <v>121357</v>
      </c>
    </row>
    <row r="3195" spans="1:5" ht="15">
      <c r="A3195" s="120" t="s">
        <v>377</v>
      </c>
      <c r="B3195" s="121">
        <v>21</v>
      </c>
      <c r="C3195" s="121">
        <v>27</v>
      </c>
      <c r="D3195" s="121">
        <v>2</v>
      </c>
      <c r="E3195" s="121">
        <v>3532561</v>
      </c>
    </row>
    <row r="3196" spans="1:5" ht="15">
      <c r="A3196" s="120" t="s">
        <v>377</v>
      </c>
      <c r="B3196" s="121">
        <v>21</v>
      </c>
      <c r="C3196" s="121">
        <v>27</v>
      </c>
      <c r="D3196" s="121">
        <v>3</v>
      </c>
      <c r="E3196" s="121">
        <v>1185986</v>
      </c>
    </row>
    <row r="3197" spans="1:5" ht="15">
      <c r="A3197" s="120" t="s">
        <v>377</v>
      </c>
      <c r="B3197" s="121">
        <v>21</v>
      </c>
      <c r="C3197" s="121">
        <v>27</v>
      </c>
      <c r="D3197" s="121">
        <v>4</v>
      </c>
      <c r="E3197" s="121">
        <v>1955929</v>
      </c>
    </row>
    <row r="3198" spans="1:5" ht="15">
      <c r="A3198" s="120" t="s">
        <v>377</v>
      </c>
      <c r="B3198" s="121">
        <v>21</v>
      </c>
      <c r="C3198" s="121">
        <v>27</v>
      </c>
      <c r="D3198" s="121">
        <v>5</v>
      </c>
      <c r="E3198" s="121">
        <v>918621</v>
      </c>
    </row>
    <row r="3199" spans="1:5" ht="15">
      <c r="A3199" s="120" t="s">
        <v>377</v>
      </c>
      <c r="B3199" s="121">
        <v>21</v>
      </c>
      <c r="C3199" s="121">
        <v>27</v>
      </c>
      <c r="D3199" s="121">
        <v>7</v>
      </c>
      <c r="E3199" s="121">
        <v>4646721</v>
      </c>
    </row>
    <row r="3200" spans="1:5" ht="15">
      <c r="A3200" s="120" t="s">
        <v>377</v>
      </c>
      <c r="B3200" s="121">
        <v>21</v>
      </c>
      <c r="C3200" s="121">
        <v>31</v>
      </c>
      <c r="D3200" s="121">
        <v>2</v>
      </c>
      <c r="E3200" s="121">
        <v>32401</v>
      </c>
    </row>
    <row r="3201" spans="1:5" ht="15">
      <c r="A3201" s="120" t="s">
        <v>377</v>
      </c>
      <c r="B3201" s="121">
        <v>21</v>
      </c>
      <c r="C3201" s="121">
        <v>31</v>
      </c>
      <c r="D3201" s="121">
        <v>4</v>
      </c>
      <c r="E3201" s="121">
        <v>5232</v>
      </c>
    </row>
    <row r="3202" spans="1:5" ht="15">
      <c r="A3202" s="120" t="s">
        <v>377</v>
      </c>
      <c r="B3202" s="121">
        <v>21</v>
      </c>
      <c r="C3202" s="121">
        <v>34</v>
      </c>
      <c r="D3202" s="121">
        <v>2</v>
      </c>
      <c r="E3202" s="121">
        <v>26062</v>
      </c>
    </row>
    <row r="3203" spans="1:5" ht="15">
      <c r="A3203" s="120" t="s">
        <v>377</v>
      </c>
      <c r="B3203" s="121">
        <v>21</v>
      </c>
      <c r="C3203" s="121">
        <v>34</v>
      </c>
      <c r="D3203" s="121">
        <v>4</v>
      </c>
      <c r="E3203" s="121">
        <v>4286</v>
      </c>
    </row>
    <row r="3204" spans="1:5" ht="15">
      <c r="A3204" s="120" t="s">
        <v>337</v>
      </c>
      <c r="B3204" s="121">
        <v>21</v>
      </c>
      <c r="C3204" s="121">
        <v>21</v>
      </c>
      <c r="D3204" s="121">
        <v>2</v>
      </c>
      <c r="E3204" s="121">
        <v>26569</v>
      </c>
    </row>
    <row r="3205" spans="1:5" ht="15">
      <c r="A3205" s="120" t="s">
        <v>337</v>
      </c>
      <c r="B3205" s="121">
        <v>21</v>
      </c>
      <c r="C3205" s="121">
        <v>21</v>
      </c>
      <c r="D3205" s="121">
        <v>4</v>
      </c>
      <c r="E3205" s="121">
        <v>6564</v>
      </c>
    </row>
    <row r="3206" spans="1:5" ht="15">
      <c r="A3206" s="120" t="s">
        <v>397</v>
      </c>
      <c r="B3206" s="121">
        <v>24</v>
      </c>
      <c r="C3206" s="121">
        <v>31</v>
      </c>
      <c r="D3206" s="121">
        <v>2</v>
      </c>
      <c r="E3206" s="121">
        <v>540</v>
      </c>
    </row>
    <row r="3207" spans="1:5" ht="15">
      <c r="A3207" s="120" t="s">
        <v>397</v>
      </c>
      <c r="B3207" s="121">
        <v>24</v>
      </c>
      <c r="C3207" s="121">
        <v>31</v>
      </c>
      <c r="D3207" s="121">
        <v>4</v>
      </c>
      <c r="E3207" s="121">
        <v>98</v>
      </c>
    </row>
    <row r="3208" spans="1:5" ht="15">
      <c r="A3208" s="120" t="s">
        <v>397</v>
      </c>
      <c r="B3208" s="121">
        <v>24</v>
      </c>
      <c r="C3208" s="121">
        <v>31</v>
      </c>
      <c r="D3208" s="121">
        <v>7</v>
      </c>
      <c r="E3208" s="121">
        <v>2602</v>
      </c>
    </row>
    <row r="3209" spans="1:5" ht="15">
      <c r="A3209" s="120" t="s">
        <v>397</v>
      </c>
      <c r="B3209" s="121">
        <v>24</v>
      </c>
      <c r="C3209" s="121">
        <v>31</v>
      </c>
      <c r="D3209" s="121">
        <v>8</v>
      </c>
      <c r="E3209" s="121">
        <v>1334</v>
      </c>
    </row>
    <row r="3210" spans="1:5" ht="15">
      <c r="A3210" s="120" t="s">
        <v>337</v>
      </c>
      <c r="B3210" s="121">
        <v>21</v>
      </c>
      <c r="C3210" s="121">
        <v>26</v>
      </c>
      <c r="D3210" s="121">
        <v>7</v>
      </c>
      <c r="E3210" s="121">
        <v>299319</v>
      </c>
    </row>
    <row r="3211" spans="1:5" ht="15">
      <c r="A3211" s="120" t="s">
        <v>337</v>
      </c>
      <c r="B3211" s="121">
        <v>21</v>
      </c>
      <c r="C3211" s="121">
        <v>27</v>
      </c>
      <c r="D3211" s="121">
        <v>2</v>
      </c>
      <c r="E3211" s="121">
        <v>60854</v>
      </c>
    </row>
    <row r="3212" spans="1:5" ht="15">
      <c r="A3212" s="120" t="s">
        <v>337</v>
      </c>
      <c r="B3212" s="121">
        <v>21</v>
      </c>
      <c r="C3212" s="121">
        <v>27</v>
      </c>
      <c r="D3212" s="121">
        <v>3</v>
      </c>
      <c r="E3212" s="121">
        <v>159908</v>
      </c>
    </row>
    <row r="3213" spans="1:5" ht="15">
      <c r="A3213" s="120" t="s">
        <v>337</v>
      </c>
      <c r="B3213" s="121">
        <v>21</v>
      </c>
      <c r="C3213" s="121">
        <v>27</v>
      </c>
      <c r="D3213" s="121">
        <v>4</v>
      </c>
      <c r="E3213" s="121">
        <v>130894</v>
      </c>
    </row>
    <row r="3214" spans="1:5" ht="15">
      <c r="A3214" s="120" t="s">
        <v>337</v>
      </c>
      <c r="B3214" s="121">
        <v>21</v>
      </c>
      <c r="C3214" s="121">
        <v>27</v>
      </c>
      <c r="D3214" s="121">
        <v>5</v>
      </c>
      <c r="E3214" s="121">
        <v>1500</v>
      </c>
    </row>
    <row r="3215" spans="1:5" ht="15">
      <c r="A3215" s="120" t="s">
        <v>337</v>
      </c>
      <c r="B3215" s="121">
        <v>21</v>
      </c>
      <c r="C3215" s="121">
        <v>27</v>
      </c>
      <c r="D3215" s="121">
        <v>8</v>
      </c>
      <c r="E3215" s="121">
        <v>1000</v>
      </c>
    </row>
    <row r="3216" spans="1:5" ht="15">
      <c r="A3216" s="120" t="s">
        <v>337</v>
      </c>
      <c r="B3216" s="121">
        <v>21</v>
      </c>
      <c r="C3216" s="121">
        <v>31</v>
      </c>
      <c r="D3216" s="121">
        <v>7</v>
      </c>
      <c r="E3216" s="121">
        <v>2000</v>
      </c>
    </row>
    <row r="3217" spans="1:5" ht="15">
      <c r="A3217" s="120" t="s">
        <v>337</v>
      </c>
      <c r="B3217" s="121">
        <v>21</v>
      </c>
      <c r="C3217" s="121">
        <v>32</v>
      </c>
      <c r="D3217" s="121">
        <v>5</v>
      </c>
      <c r="E3217" s="121">
        <v>2889</v>
      </c>
    </row>
    <row r="3218" spans="1:5" ht="15">
      <c r="A3218" s="120" t="s">
        <v>337</v>
      </c>
      <c r="B3218" s="121">
        <v>21</v>
      </c>
      <c r="C3218" s="121">
        <v>33</v>
      </c>
      <c r="D3218" s="121">
        <v>5</v>
      </c>
      <c r="E3218" s="121">
        <v>12388</v>
      </c>
    </row>
    <row r="3219" spans="1:5" ht="15">
      <c r="A3219" s="120" t="s">
        <v>337</v>
      </c>
      <c r="B3219" s="121">
        <v>21</v>
      </c>
      <c r="C3219" s="121">
        <v>34</v>
      </c>
      <c r="D3219" s="121">
        <v>2</v>
      </c>
      <c r="E3219" s="121">
        <v>778</v>
      </c>
    </row>
    <row r="3220" spans="1:5" ht="15">
      <c r="A3220" s="120" t="s">
        <v>337</v>
      </c>
      <c r="B3220" s="121">
        <v>21</v>
      </c>
      <c r="C3220" s="121">
        <v>34</v>
      </c>
      <c r="D3220" s="121">
        <v>4</v>
      </c>
      <c r="E3220" s="121">
        <v>157</v>
      </c>
    </row>
    <row r="3221" spans="1:5" ht="15">
      <c r="A3221" s="120" t="s">
        <v>337</v>
      </c>
      <c r="B3221" s="121">
        <v>24</v>
      </c>
      <c r="C3221" s="121">
        <v>26</v>
      </c>
      <c r="D3221" s="121">
        <v>7</v>
      </c>
      <c r="E3221" s="121">
        <v>18140</v>
      </c>
    </row>
    <row r="3222" spans="1:5" ht="15">
      <c r="A3222" s="120" t="s">
        <v>337</v>
      </c>
      <c r="B3222" s="121">
        <v>24</v>
      </c>
      <c r="C3222" s="121">
        <v>27</v>
      </c>
      <c r="D3222" s="121">
        <v>3</v>
      </c>
      <c r="E3222" s="121">
        <v>20940</v>
      </c>
    </row>
    <row r="3223" spans="1:5" ht="15">
      <c r="A3223" s="120" t="s">
        <v>337</v>
      </c>
      <c r="B3223" s="121">
        <v>24</v>
      </c>
      <c r="C3223" s="121">
        <v>27</v>
      </c>
      <c r="D3223" s="121">
        <v>4</v>
      </c>
      <c r="E3223" s="121">
        <v>14381</v>
      </c>
    </row>
    <row r="3224" spans="1:5" ht="15">
      <c r="A3224" s="120" t="s">
        <v>337</v>
      </c>
      <c r="B3224" s="121">
        <v>24</v>
      </c>
      <c r="C3224" s="121">
        <v>31</v>
      </c>
      <c r="D3224" s="121">
        <v>7</v>
      </c>
      <c r="E3224" s="121">
        <v>4693</v>
      </c>
    </row>
    <row r="3225" spans="1:5" ht="15">
      <c r="A3225" s="120" t="s">
        <v>377</v>
      </c>
      <c r="B3225" s="121">
        <v>24</v>
      </c>
      <c r="C3225" s="121">
        <v>27</v>
      </c>
      <c r="D3225" s="121">
        <v>2</v>
      </c>
      <c r="E3225" s="121">
        <v>693205</v>
      </c>
    </row>
    <row r="3226" spans="1:5" ht="15">
      <c r="A3226" s="120" t="s">
        <v>377</v>
      </c>
      <c r="B3226" s="121">
        <v>24</v>
      </c>
      <c r="C3226" s="121">
        <v>27</v>
      </c>
      <c r="D3226" s="121">
        <v>3</v>
      </c>
      <c r="E3226" s="121">
        <v>13468</v>
      </c>
    </row>
    <row r="3227" spans="1:5" ht="15">
      <c r="A3227" s="120" t="s">
        <v>377</v>
      </c>
      <c r="B3227" s="121">
        <v>24</v>
      </c>
      <c r="C3227" s="121">
        <v>27</v>
      </c>
      <c r="D3227" s="121">
        <v>4</v>
      </c>
      <c r="E3227" s="121">
        <v>265526</v>
      </c>
    </row>
    <row r="3228" spans="1:5" ht="15">
      <c r="A3228" s="120" t="s">
        <v>337</v>
      </c>
      <c r="B3228" s="121">
        <v>29</v>
      </c>
      <c r="C3228" s="121">
        <v>26</v>
      </c>
      <c r="D3228" s="121">
        <v>7</v>
      </c>
      <c r="E3228" s="121">
        <v>13150</v>
      </c>
    </row>
    <row r="3229" spans="1:5" ht="15">
      <c r="A3229" s="120" t="s">
        <v>337</v>
      </c>
      <c r="B3229" s="121">
        <v>29</v>
      </c>
      <c r="C3229" s="121">
        <v>29</v>
      </c>
      <c r="D3229" s="121">
        <v>7</v>
      </c>
      <c r="E3229" s="121">
        <v>6200</v>
      </c>
    </row>
    <row r="3230" spans="1:5" ht="15">
      <c r="A3230" s="120" t="s">
        <v>419</v>
      </c>
      <c r="B3230" s="121">
        <v>21</v>
      </c>
      <c r="C3230" s="121">
        <v>21</v>
      </c>
      <c r="D3230" s="121">
        <v>2</v>
      </c>
      <c r="E3230" s="121">
        <v>93202</v>
      </c>
    </row>
    <row r="3231" spans="1:5" ht="15">
      <c r="A3231" s="120" t="s">
        <v>419</v>
      </c>
      <c r="B3231" s="121">
        <v>21</v>
      </c>
      <c r="C3231" s="121">
        <v>21</v>
      </c>
      <c r="D3231" s="121">
        <v>3</v>
      </c>
      <c r="E3231" s="121">
        <v>28928</v>
      </c>
    </row>
    <row r="3232" spans="1:5" ht="15">
      <c r="A3232" s="120" t="s">
        <v>419</v>
      </c>
      <c r="B3232" s="121">
        <v>21</v>
      </c>
      <c r="C3232" s="121">
        <v>21</v>
      </c>
      <c r="D3232" s="121">
        <v>4</v>
      </c>
      <c r="E3232" s="121">
        <v>29078</v>
      </c>
    </row>
    <row r="3233" spans="1:5" ht="15">
      <c r="A3233" s="120" t="s">
        <v>419</v>
      </c>
      <c r="B3233" s="121">
        <v>21</v>
      </c>
      <c r="C3233" s="121">
        <v>21</v>
      </c>
      <c r="D3233" s="121">
        <v>5</v>
      </c>
      <c r="E3233" s="121">
        <v>300</v>
      </c>
    </row>
    <row r="3234" spans="1:5" ht="15">
      <c r="A3234" s="120" t="s">
        <v>419</v>
      </c>
      <c r="B3234" s="121">
        <v>21</v>
      </c>
      <c r="C3234" s="121">
        <v>21</v>
      </c>
      <c r="D3234" s="121">
        <v>7</v>
      </c>
      <c r="E3234" s="121">
        <v>250</v>
      </c>
    </row>
    <row r="3235" spans="1:5" ht="15">
      <c r="A3235" s="120" t="s">
        <v>419</v>
      </c>
      <c r="B3235" s="121">
        <v>21</v>
      </c>
      <c r="C3235" s="121">
        <v>26</v>
      </c>
      <c r="D3235" s="121">
        <v>2</v>
      </c>
      <c r="E3235" s="121">
        <v>466026</v>
      </c>
    </row>
    <row r="3236" spans="1:5" ht="15">
      <c r="A3236" s="120" t="s">
        <v>419</v>
      </c>
      <c r="B3236" s="121">
        <v>21</v>
      </c>
      <c r="C3236" s="121">
        <v>26</v>
      </c>
      <c r="D3236" s="121">
        <v>4</v>
      </c>
      <c r="E3236" s="121">
        <v>153022</v>
      </c>
    </row>
    <row r="3237" spans="1:5" ht="15">
      <c r="A3237" s="120" t="s">
        <v>419</v>
      </c>
      <c r="B3237" s="121">
        <v>21</v>
      </c>
      <c r="C3237" s="121">
        <v>26</v>
      </c>
      <c r="D3237" s="121">
        <v>5</v>
      </c>
      <c r="E3237" s="121">
        <v>5200</v>
      </c>
    </row>
    <row r="3238" spans="1:5" ht="15">
      <c r="A3238" s="120" t="s">
        <v>419</v>
      </c>
      <c r="B3238" s="121">
        <v>21</v>
      </c>
      <c r="C3238" s="121">
        <v>26</v>
      </c>
      <c r="D3238" s="121">
        <v>7</v>
      </c>
      <c r="E3238" s="121">
        <v>165538</v>
      </c>
    </row>
    <row r="3239" spans="1:5" ht="15">
      <c r="A3239" s="120" t="s">
        <v>419</v>
      </c>
      <c r="B3239" s="121">
        <v>21</v>
      </c>
      <c r="C3239" s="121">
        <v>27</v>
      </c>
      <c r="D3239" s="121">
        <v>2</v>
      </c>
      <c r="E3239" s="121">
        <v>522260</v>
      </c>
    </row>
    <row r="3240" spans="1:5" ht="15">
      <c r="A3240" s="120" t="s">
        <v>419</v>
      </c>
      <c r="B3240" s="121">
        <v>21</v>
      </c>
      <c r="C3240" s="121">
        <v>27</v>
      </c>
      <c r="D3240" s="121">
        <v>3</v>
      </c>
      <c r="E3240" s="121">
        <v>789182</v>
      </c>
    </row>
    <row r="3241" spans="1:5" ht="15">
      <c r="A3241" s="120" t="s">
        <v>419</v>
      </c>
      <c r="B3241" s="121">
        <v>21</v>
      </c>
      <c r="C3241" s="121">
        <v>27</v>
      </c>
      <c r="D3241" s="121">
        <v>4</v>
      </c>
      <c r="E3241" s="121">
        <v>653602</v>
      </c>
    </row>
    <row r="3242" spans="1:5" ht="15">
      <c r="A3242" s="120" t="s">
        <v>419</v>
      </c>
      <c r="B3242" s="121">
        <v>21</v>
      </c>
      <c r="C3242" s="121">
        <v>27</v>
      </c>
      <c r="D3242" s="121">
        <v>5</v>
      </c>
      <c r="E3242" s="121">
        <v>13500</v>
      </c>
    </row>
    <row r="3243" spans="1:5" ht="15">
      <c r="A3243" s="120" t="s">
        <v>419</v>
      </c>
      <c r="B3243" s="121">
        <v>21</v>
      </c>
      <c r="C3243" s="121">
        <v>27</v>
      </c>
      <c r="D3243" s="121">
        <v>7</v>
      </c>
      <c r="E3243" s="121">
        <v>125000</v>
      </c>
    </row>
    <row r="3244" spans="1:5" ht="15">
      <c r="A3244" s="120" t="s">
        <v>419</v>
      </c>
      <c r="B3244" s="121">
        <v>21</v>
      </c>
      <c r="C3244" s="121">
        <v>27</v>
      </c>
      <c r="D3244" s="121">
        <v>8</v>
      </c>
      <c r="E3244" s="121">
        <v>1000</v>
      </c>
    </row>
    <row r="3245" spans="1:5" ht="15">
      <c r="A3245" s="120" t="s">
        <v>419</v>
      </c>
      <c r="B3245" s="121">
        <v>21</v>
      </c>
      <c r="C3245" s="121">
        <v>31</v>
      </c>
      <c r="D3245" s="121">
        <v>2</v>
      </c>
      <c r="E3245" s="121">
        <v>15837</v>
      </c>
    </row>
    <row r="3246" spans="1:5" ht="15">
      <c r="A3246" s="120" t="s">
        <v>419</v>
      </c>
      <c r="B3246" s="121">
        <v>21</v>
      </c>
      <c r="C3246" s="121">
        <v>31</v>
      </c>
      <c r="D3246" s="121">
        <v>4</v>
      </c>
      <c r="E3246" s="121">
        <v>2585</v>
      </c>
    </row>
    <row r="3247" spans="1:5" ht="15">
      <c r="A3247" s="120" t="s">
        <v>419</v>
      </c>
      <c r="B3247" s="121">
        <v>21</v>
      </c>
      <c r="C3247" s="121">
        <v>31</v>
      </c>
      <c r="D3247" s="121">
        <v>7</v>
      </c>
      <c r="E3247" s="121">
        <v>1500</v>
      </c>
    </row>
    <row r="3248" spans="1:5" ht="15">
      <c r="A3248" s="120" t="s">
        <v>419</v>
      </c>
      <c r="B3248" s="121">
        <v>21</v>
      </c>
      <c r="C3248" s="121">
        <v>34</v>
      </c>
      <c r="D3248" s="121">
        <v>2</v>
      </c>
      <c r="E3248" s="121">
        <v>15837</v>
      </c>
    </row>
    <row r="3249" spans="1:5" ht="15">
      <c r="A3249" s="120" t="s">
        <v>419</v>
      </c>
      <c r="B3249" s="121">
        <v>21</v>
      </c>
      <c r="C3249" s="121">
        <v>34</v>
      </c>
      <c r="D3249" s="121">
        <v>4</v>
      </c>
      <c r="E3249" s="121">
        <v>4867</v>
      </c>
    </row>
    <row r="3250" spans="1:5" ht="15">
      <c r="A3250" s="120" t="s">
        <v>419</v>
      </c>
      <c r="B3250" s="121">
        <v>24</v>
      </c>
      <c r="C3250" s="121">
        <v>27</v>
      </c>
      <c r="D3250" s="121">
        <v>2</v>
      </c>
      <c r="E3250" s="121">
        <v>224688</v>
      </c>
    </row>
    <row r="3251" spans="1:5" ht="15">
      <c r="A3251" s="120" t="s">
        <v>419</v>
      </c>
      <c r="B3251" s="121">
        <v>24</v>
      </c>
      <c r="C3251" s="121">
        <v>27</v>
      </c>
      <c r="D3251" s="121">
        <v>4</v>
      </c>
      <c r="E3251" s="121">
        <v>89078</v>
      </c>
    </row>
    <row r="3252" spans="1:5" ht="15">
      <c r="A3252" s="120" t="s">
        <v>419</v>
      </c>
      <c r="B3252" s="121">
        <v>24</v>
      </c>
      <c r="C3252" s="121">
        <v>31</v>
      </c>
      <c r="D3252" s="121">
        <v>2</v>
      </c>
      <c r="E3252" s="121">
        <v>7490</v>
      </c>
    </row>
    <row r="3253" spans="1:5" ht="15">
      <c r="A3253" s="120" t="s">
        <v>419</v>
      </c>
      <c r="B3253" s="121">
        <v>24</v>
      </c>
      <c r="C3253" s="121">
        <v>31</v>
      </c>
      <c r="D3253" s="121">
        <v>4</v>
      </c>
      <c r="E3253" s="121">
        <v>2423</v>
      </c>
    </row>
    <row r="3254" spans="1:5" ht="15">
      <c r="A3254" s="120" t="s">
        <v>379</v>
      </c>
      <c r="B3254" s="121">
        <v>21</v>
      </c>
      <c r="C3254" s="121">
        <v>21</v>
      </c>
      <c r="D3254" s="121">
        <v>2</v>
      </c>
      <c r="E3254" s="121">
        <v>31973</v>
      </c>
    </row>
    <row r="3255" spans="1:5" ht="15">
      <c r="A3255" s="120" t="s">
        <v>379</v>
      </c>
      <c r="B3255" s="121">
        <v>21</v>
      </c>
      <c r="C3255" s="121">
        <v>21</v>
      </c>
      <c r="D3255" s="121">
        <v>4</v>
      </c>
      <c r="E3255" s="121">
        <v>8194</v>
      </c>
    </row>
    <row r="3256" spans="1:5" ht="15">
      <c r="A3256" s="120" t="s">
        <v>379</v>
      </c>
      <c r="B3256" s="121">
        <v>21</v>
      </c>
      <c r="C3256" s="121">
        <v>26</v>
      </c>
      <c r="D3256" s="121">
        <v>7</v>
      </c>
      <c r="E3256" s="121">
        <v>30000</v>
      </c>
    </row>
    <row r="3257" spans="1:5" ht="15">
      <c r="A3257" s="120" t="s">
        <v>379</v>
      </c>
      <c r="B3257" s="121">
        <v>21</v>
      </c>
      <c r="C3257" s="121">
        <v>27</v>
      </c>
      <c r="D3257" s="121">
        <v>2</v>
      </c>
      <c r="E3257" s="121">
        <v>408255</v>
      </c>
    </row>
    <row r="3258" spans="1:5" ht="15">
      <c r="A3258" s="120" t="s">
        <v>379</v>
      </c>
      <c r="B3258" s="121">
        <v>21</v>
      </c>
      <c r="C3258" s="121">
        <v>27</v>
      </c>
      <c r="D3258" s="121">
        <v>3</v>
      </c>
      <c r="E3258" s="121">
        <v>443617</v>
      </c>
    </row>
    <row r="3259" spans="1:5" ht="15">
      <c r="A3259" s="120" t="s">
        <v>379</v>
      </c>
      <c r="B3259" s="121">
        <v>21</v>
      </c>
      <c r="C3259" s="121">
        <v>27</v>
      </c>
      <c r="D3259" s="121">
        <v>4</v>
      </c>
      <c r="E3259" s="121">
        <v>478115</v>
      </c>
    </row>
    <row r="3260" spans="1:5" ht="15">
      <c r="A3260" s="120" t="s">
        <v>379</v>
      </c>
      <c r="B3260" s="121">
        <v>21</v>
      </c>
      <c r="C3260" s="121">
        <v>27</v>
      </c>
      <c r="D3260" s="121">
        <v>5</v>
      </c>
      <c r="E3260" s="121">
        <v>4750</v>
      </c>
    </row>
    <row r="3261" spans="1:5" ht="15">
      <c r="A3261" s="120" t="s">
        <v>379</v>
      </c>
      <c r="B3261" s="121">
        <v>21</v>
      </c>
      <c r="C3261" s="121">
        <v>27</v>
      </c>
      <c r="D3261" s="121">
        <v>7</v>
      </c>
      <c r="E3261" s="121">
        <v>917000</v>
      </c>
    </row>
    <row r="3262" spans="1:5" ht="15">
      <c r="A3262" s="120" t="s">
        <v>379</v>
      </c>
      <c r="B3262" s="121">
        <v>21</v>
      </c>
      <c r="C3262" s="121">
        <v>33</v>
      </c>
      <c r="D3262" s="121">
        <v>5</v>
      </c>
      <c r="E3262" s="121">
        <v>15000</v>
      </c>
    </row>
    <row r="3263" spans="1:5" ht="15">
      <c r="A3263" s="120" t="s">
        <v>379</v>
      </c>
      <c r="B3263" s="121">
        <v>21</v>
      </c>
      <c r="C3263" s="121">
        <v>34</v>
      </c>
      <c r="D3263" s="121">
        <v>2</v>
      </c>
      <c r="E3263" s="121">
        <v>6791</v>
      </c>
    </row>
    <row r="3264" spans="1:5" ht="15">
      <c r="A3264" s="120" t="s">
        <v>379</v>
      </c>
      <c r="B3264" s="121">
        <v>21</v>
      </c>
      <c r="C3264" s="121">
        <v>34</v>
      </c>
      <c r="D3264" s="121">
        <v>4</v>
      </c>
      <c r="E3264" s="121">
        <v>2581</v>
      </c>
    </row>
    <row r="3265" spans="1:5" ht="15">
      <c r="A3265" s="120" t="s">
        <v>379</v>
      </c>
      <c r="B3265" s="121">
        <v>24</v>
      </c>
      <c r="C3265" s="121">
        <v>27</v>
      </c>
      <c r="D3265" s="121">
        <v>3</v>
      </c>
      <c r="E3265" s="121">
        <v>4733</v>
      </c>
    </row>
    <row r="3266" spans="1:5" ht="15">
      <c r="A3266" s="120" t="s">
        <v>379</v>
      </c>
      <c r="B3266" s="121">
        <v>24</v>
      </c>
      <c r="C3266" s="121">
        <v>27</v>
      </c>
      <c r="D3266" s="121">
        <v>4</v>
      </c>
      <c r="E3266" s="121">
        <v>3926</v>
      </c>
    </row>
    <row r="3267" spans="1:5" ht="15">
      <c r="A3267" s="120" t="s">
        <v>379</v>
      </c>
      <c r="B3267" s="121">
        <v>24</v>
      </c>
      <c r="C3267" s="121">
        <v>27</v>
      </c>
      <c r="D3267" s="121">
        <v>7</v>
      </c>
      <c r="E3267" s="121">
        <v>201169</v>
      </c>
    </row>
    <row r="3268" spans="1:5" ht="15">
      <c r="A3268" s="120" t="s">
        <v>339</v>
      </c>
      <c r="B3268" s="121">
        <v>21</v>
      </c>
      <c r="C3268" s="121">
        <v>21</v>
      </c>
      <c r="D3268" s="121">
        <v>2</v>
      </c>
      <c r="E3268" s="121">
        <v>17500</v>
      </c>
    </row>
    <row r="3269" spans="1:5" ht="15">
      <c r="A3269" s="120" t="s">
        <v>339</v>
      </c>
      <c r="B3269" s="121">
        <v>21</v>
      </c>
      <c r="C3269" s="121">
        <v>21</v>
      </c>
      <c r="D3269" s="121">
        <v>3</v>
      </c>
      <c r="E3269" s="121">
        <v>38936</v>
      </c>
    </row>
    <row r="3270" spans="1:5" ht="15">
      <c r="A3270" s="120" t="s">
        <v>339</v>
      </c>
      <c r="B3270" s="121">
        <v>21</v>
      </c>
      <c r="C3270" s="121">
        <v>21</v>
      </c>
      <c r="D3270" s="121">
        <v>4</v>
      </c>
      <c r="E3270" s="121">
        <v>21894</v>
      </c>
    </row>
    <row r="3271" spans="1:5" ht="15">
      <c r="A3271" s="120" t="s">
        <v>339</v>
      </c>
      <c r="B3271" s="121">
        <v>21</v>
      </c>
      <c r="C3271" s="121">
        <v>26</v>
      </c>
      <c r="D3271" s="121">
        <v>2</v>
      </c>
      <c r="E3271" s="121">
        <v>276439</v>
      </c>
    </row>
    <row r="3272" spans="1:5" ht="15">
      <c r="A3272" s="120" t="s">
        <v>339</v>
      </c>
      <c r="B3272" s="121">
        <v>21</v>
      </c>
      <c r="C3272" s="121">
        <v>26</v>
      </c>
      <c r="D3272" s="121">
        <v>3</v>
      </c>
      <c r="E3272" s="121">
        <v>15927</v>
      </c>
    </row>
    <row r="3273" spans="1:5" ht="15">
      <c r="A3273" s="120" t="s">
        <v>339</v>
      </c>
      <c r="B3273" s="121">
        <v>21</v>
      </c>
      <c r="C3273" s="121">
        <v>26</v>
      </c>
      <c r="D3273" s="121">
        <v>4</v>
      </c>
      <c r="E3273" s="121">
        <v>102572</v>
      </c>
    </row>
    <row r="3274" spans="1:5" ht="15">
      <c r="A3274" s="120" t="s">
        <v>339</v>
      </c>
      <c r="B3274" s="121">
        <v>21</v>
      </c>
      <c r="C3274" s="121">
        <v>26</v>
      </c>
      <c r="D3274" s="121">
        <v>7</v>
      </c>
      <c r="E3274" s="121">
        <v>104481</v>
      </c>
    </row>
    <row r="3275" spans="1:5" ht="15">
      <c r="A3275" s="120" t="s">
        <v>339</v>
      </c>
      <c r="B3275" s="121">
        <v>21</v>
      </c>
      <c r="C3275" s="121">
        <v>27</v>
      </c>
      <c r="D3275" s="121">
        <v>2</v>
      </c>
      <c r="E3275" s="121">
        <v>844072</v>
      </c>
    </row>
    <row r="3276" spans="1:5" ht="15">
      <c r="A3276" s="120" t="s">
        <v>339</v>
      </c>
      <c r="B3276" s="121">
        <v>21</v>
      </c>
      <c r="C3276" s="121">
        <v>27</v>
      </c>
      <c r="D3276" s="121">
        <v>3</v>
      </c>
      <c r="E3276" s="121">
        <v>485732</v>
      </c>
    </row>
    <row r="3277" spans="1:5" ht="15">
      <c r="A3277" s="120" t="s">
        <v>339</v>
      </c>
      <c r="B3277" s="121">
        <v>21</v>
      </c>
      <c r="C3277" s="121">
        <v>27</v>
      </c>
      <c r="D3277" s="121">
        <v>4</v>
      </c>
      <c r="E3277" s="121">
        <v>624561</v>
      </c>
    </row>
    <row r="3278" spans="1:5" ht="15">
      <c r="A3278" s="120" t="s">
        <v>339</v>
      </c>
      <c r="B3278" s="121">
        <v>21</v>
      </c>
      <c r="C3278" s="121">
        <v>27</v>
      </c>
      <c r="D3278" s="121">
        <v>5</v>
      </c>
      <c r="E3278" s="121">
        <v>37093</v>
      </c>
    </row>
    <row r="3279" spans="1:5" ht="15">
      <c r="A3279" s="120" t="s">
        <v>339</v>
      </c>
      <c r="B3279" s="121">
        <v>21</v>
      </c>
      <c r="C3279" s="121">
        <v>27</v>
      </c>
      <c r="D3279" s="121">
        <v>7</v>
      </c>
      <c r="E3279" s="121">
        <v>25848</v>
      </c>
    </row>
    <row r="3280" spans="1:5" ht="15">
      <c r="A3280" s="120" t="s">
        <v>339</v>
      </c>
      <c r="B3280" s="121">
        <v>21</v>
      </c>
      <c r="C3280" s="121">
        <v>27</v>
      </c>
      <c r="D3280" s="121">
        <v>8</v>
      </c>
      <c r="E3280" s="121">
        <v>3803</v>
      </c>
    </row>
    <row r="3281" spans="1:5" ht="15">
      <c r="A3281" s="120" t="s">
        <v>339</v>
      </c>
      <c r="B3281" s="121">
        <v>21</v>
      </c>
      <c r="C3281" s="121">
        <v>34</v>
      </c>
      <c r="D3281" s="121">
        <v>2</v>
      </c>
      <c r="E3281" s="121">
        <v>18118</v>
      </c>
    </row>
    <row r="3282" spans="1:5" ht="15">
      <c r="A3282" s="120" t="s">
        <v>339</v>
      </c>
      <c r="B3282" s="121">
        <v>24</v>
      </c>
      <c r="C3282" s="121">
        <v>26</v>
      </c>
      <c r="D3282" s="121">
        <v>3</v>
      </c>
      <c r="E3282" s="121">
        <v>15333</v>
      </c>
    </row>
    <row r="3283" spans="1:5" ht="15">
      <c r="A3283" s="120" t="s">
        <v>339</v>
      </c>
      <c r="B3283" s="121">
        <v>24</v>
      </c>
      <c r="C3283" s="121">
        <v>26</v>
      </c>
      <c r="D3283" s="121">
        <v>4</v>
      </c>
      <c r="E3283" s="121">
        <v>10090</v>
      </c>
    </row>
    <row r="3284" spans="1:5" ht="15">
      <c r="A3284" s="120" t="s">
        <v>339</v>
      </c>
      <c r="B3284" s="121">
        <v>24</v>
      </c>
      <c r="C3284" s="121">
        <v>27</v>
      </c>
      <c r="D3284" s="121">
        <v>2</v>
      </c>
      <c r="E3284" s="121">
        <v>78280</v>
      </c>
    </row>
    <row r="3285" spans="1:5" ht="15">
      <c r="A3285" s="120" t="s">
        <v>339</v>
      </c>
      <c r="B3285" s="121">
        <v>24</v>
      </c>
      <c r="C3285" s="121">
        <v>27</v>
      </c>
      <c r="D3285" s="121">
        <v>3</v>
      </c>
      <c r="E3285" s="121">
        <v>105239</v>
      </c>
    </row>
    <row r="3286" spans="1:5" ht="15">
      <c r="A3286" s="120" t="s">
        <v>339</v>
      </c>
      <c r="B3286" s="121">
        <v>24</v>
      </c>
      <c r="C3286" s="121">
        <v>27</v>
      </c>
      <c r="D3286" s="121">
        <v>4</v>
      </c>
      <c r="E3286" s="121">
        <v>102548</v>
      </c>
    </row>
    <row r="3287" spans="1:5" ht="15">
      <c r="A3287" s="120" t="s">
        <v>339</v>
      </c>
      <c r="B3287" s="121">
        <v>24</v>
      </c>
      <c r="C3287" s="121">
        <v>27</v>
      </c>
      <c r="D3287" s="121">
        <v>5</v>
      </c>
      <c r="E3287" s="121">
        <v>1214</v>
      </c>
    </row>
    <row r="3288" spans="1:5" ht="15">
      <c r="A3288" s="120" t="s">
        <v>339</v>
      </c>
      <c r="B3288" s="121">
        <v>24</v>
      </c>
      <c r="C3288" s="121">
        <v>27</v>
      </c>
      <c r="D3288" s="121">
        <v>7</v>
      </c>
      <c r="E3288" s="121">
        <v>500</v>
      </c>
    </row>
    <row r="3289" spans="1:5" ht="15">
      <c r="A3289" s="120" t="s">
        <v>339</v>
      </c>
      <c r="B3289" s="121">
        <v>24</v>
      </c>
      <c r="C3289" s="121">
        <v>27</v>
      </c>
      <c r="D3289" s="121">
        <v>8</v>
      </c>
      <c r="E3289" s="121">
        <v>10155</v>
      </c>
    </row>
    <row r="3290" spans="1:5" ht="15">
      <c r="A3290" s="120" t="s">
        <v>339</v>
      </c>
      <c r="B3290" s="121">
        <v>24</v>
      </c>
      <c r="C3290" s="121">
        <v>31</v>
      </c>
      <c r="D3290" s="121">
        <v>3</v>
      </c>
      <c r="E3290" s="121">
        <v>4025</v>
      </c>
    </row>
    <row r="3291" spans="1:5" ht="15">
      <c r="A3291" s="120" t="s">
        <v>339</v>
      </c>
      <c r="B3291" s="121">
        <v>24</v>
      </c>
      <c r="C3291" s="121">
        <v>31</v>
      </c>
      <c r="D3291" s="121">
        <v>5</v>
      </c>
      <c r="E3291" s="121">
        <v>500</v>
      </c>
    </row>
    <row r="3292" spans="1:5" ht="15">
      <c r="A3292" s="120" t="s">
        <v>339</v>
      </c>
      <c r="B3292" s="121">
        <v>24</v>
      </c>
      <c r="C3292" s="121">
        <v>31</v>
      </c>
      <c r="D3292" s="121">
        <v>7</v>
      </c>
      <c r="E3292" s="121">
        <v>500</v>
      </c>
    </row>
    <row r="3293" spans="1:5" ht="15">
      <c r="A3293" s="120" t="s">
        <v>339</v>
      </c>
      <c r="B3293" s="121">
        <v>24</v>
      </c>
      <c r="C3293" s="121">
        <v>31</v>
      </c>
      <c r="D3293" s="121">
        <v>8</v>
      </c>
      <c r="E3293" s="121">
        <v>500</v>
      </c>
    </row>
    <row r="3294" spans="1:5" ht="15">
      <c r="A3294" s="120" t="s">
        <v>399</v>
      </c>
      <c r="B3294" s="121">
        <v>21</v>
      </c>
      <c r="C3294" s="121">
        <v>26</v>
      </c>
      <c r="D3294" s="121">
        <v>7</v>
      </c>
      <c r="E3294" s="121">
        <v>50000</v>
      </c>
    </row>
    <row r="3295" spans="1:5" ht="15">
      <c r="A3295" s="120" t="s">
        <v>399</v>
      </c>
      <c r="B3295" s="121">
        <v>21</v>
      </c>
      <c r="C3295" s="121">
        <v>27</v>
      </c>
      <c r="D3295" s="121">
        <v>2</v>
      </c>
      <c r="E3295" s="121">
        <v>82861</v>
      </c>
    </row>
    <row r="3296" spans="1:5" ht="15">
      <c r="A3296" s="120" t="s">
        <v>399</v>
      </c>
      <c r="B3296" s="121">
        <v>21</v>
      </c>
      <c r="C3296" s="121">
        <v>27</v>
      </c>
      <c r="D3296" s="121">
        <v>3</v>
      </c>
      <c r="E3296" s="121">
        <v>122994</v>
      </c>
    </row>
    <row r="3297" spans="1:5" ht="15">
      <c r="A3297" s="120" t="s">
        <v>399</v>
      </c>
      <c r="B3297" s="121">
        <v>21</v>
      </c>
      <c r="C3297" s="121">
        <v>27</v>
      </c>
      <c r="D3297" s="121">
        <v>4</v>
      </c>
      <c r="E3297" s="121">
        <v>97239</v>
      </c>
    </row>
    <row r="3298" spans="1:5" ht="15">
      <c r="A3298" s="120" t="s">
        <v>399</v>
      </c>
      <c r="B3298" s="121">
        <v>21</v>
      </c>
      <c r="C3298" s="121">
        <v>27</v>
      </c>
      <c r="D3298" s="121">
        <v>5</v>
      </c>
      <c r="E3298" s="121">
        <v>2250</v>
      </c>
    </row>
    <row r="3299" spans="1:5" ht="15">
      <c r="A3299" s="120" t="s">
        <v>399</v>
      </c>
      <c r="B3299" s="121">
        <v>21</v>
      </c>
      <c r="C3299" s="121">
        <v>31</v>
      </c>
      <c r="D3299" s="121">
        <v>7</v>
      </c>
      <c r="E3299" s="121">
        <v>1500</v>
      </c>
    </row>
    <row r="3300" spans="1:5" ht="15">
      <c r="A3300" s="120" t="s">
        <v>399</v>
      </c>
      <c r="B3300" s="121">
        <v>24</v>
      </c>
      <c r="C3300" s="121">
        <v>26</v>
      </c>
      <c r="D3300" s="121">
        <v>7</v>
      </c>
      <c r="E3300" s="121">
        <v>47926</v>
      </c>
    </row>
    <row r="3301" spans="1:5" ht="15">
      <c r="A3301" s="120" t="s">
        <v>357</v>
      </c>
      <c r="B3301" s="121">
        <v>21</v>
      </c>
      <c r="C3301" s="121">
        <v>21</v>
      </c>
      <c r="D3301" s="121">
        <v>2</v>
      </c>
      <c r="E3301" s="121">
        <v>22929</v>
      </c>
    </row>
    <row r="3302" spans="1:5" ht="15">
      <c r="A3302" s="120" t="s">
        <v>357</v>
      </c>
      <c r="B3302" s="121">
        <v>21</v>
      </c>
      <c r="C3302" s="121">
        <v>21</v>
      </c>
      <c r="D3302" s="121">
        <v>4</v>
      </c>
      <c r="E3302" s="121">
        <v>8456</v>
      </c>
    </row>
    <row r="3303" spans="1:5" ht="15">
      <c r="A3303" s="120" t="s">
        <v>357</v>
      </c>
      <c r="B3303" s="121">
        <v>21</v>
      </c>
      <c r="C3303" s="121">
        <v>26</v>
      </c>
      <c r="D3303" s="121">
        <v>2</v>
      </c>
      <c r="E3303" s="121">
        <v>48835</v>
      </c>
    </row>
    <row r="3304" spans="1:5" ht="15">
      <c r="A3304" s="120" t="s">
        <v>357</v>
      </c>
      <c r="B3304" s="121">
        <v>21</v>
      </c>
      <c r="C3304" s="121">
        <v>26</v>
      </c>
      <c r="D3304" s="121">
        <v>4</v>
      </c>
      <c r="E3304" s="121">
        <v>18992</v>
      </c>
    </row>
    <row r="3305" spans="1:5" ht="15">
      <c r="A3305" s="120" t="s">
        <v>357</v>
      </c>
      <c r="B3305" s="121">
        <v>21</v>
      </c>
      <c r="C3305" s="121">
        <v>27</v>
      </c>
      <c r="D3305" s="121">
        <v>2</v>
      </c>
      <c r="E3305" s="121">
        <v>123674</v>
      </c>
    </row>
    <row r="3306" spans="1:5" ht="15">
      <c r="A3306" s="120" t="s">
        <v>357</v>
      </c>
      <c r="B3306" s="121">
        <v>21</v>
      </c>
      <c r="C3306" s="121">
        <v>27</v>
      </c>
      <c r="D3306" s="121">
        <v>3</v>
      </c>
      <c r="E3306" s="121">
        <v>138243</v>
      </c>
    </row>
    <row r="3307" spans="1:5" ht="15">
      <c r="A3307" s="120" t="s">
        <v>357</v>
      </c>
      <c r="B3307" s="121">
        <v>21</v>
      </c>
      <c r="C3307" s="121">
        <v>27</v>
      </c>
      <c r="D3307" s="121">
        <v>4</v>
      </c>
      <c r="E3307" s="121">
        <v>169969</v>
      </c>
    </row>
    <row r="3308" spans="1:5" ht="15">
      <c r="A3308" s="120" t="s">
        <v>357</v>
      </c>
      <c r="B3308" s="121">
        <v>21</v>
      </c>
      <c r="C3308" s="121">
        <v>27</v>
      </c>
      <c r="D3308" s="121">
        <v>5</v>
      </c>
      <c r="E3308" s="121">
        <v>57025</v>
      </c>
    </row>
    <row r="3309" spans="1:5" ht="15">
      <c r="A3309" s="120" t="s">
        <v>357</v>
      </c>
      <c r="B3309" s="121">
        <v>21</v>
      </c>
      <c r="C3309" s="121">
        <v>27</v>
      </c>
      <c r="D3309" s="121">
        <v>7</v>
      </c>
      <c r="E3309" s="121">
        <v>5381</v>
      </c>
    </row>
    <row r="3310" spans="1:5" ht="15">
      <c r="A3310" s="120" t="s">
        <v>357</v>
      </c>
      <c r="B3310" s="121">
        <v>21</v>
      </c>
      <c r="C3310" s="121">
        <v>27</v>
      </c>
      <c r="D3310" s="121">
        <v>8</v>
      </c>
      <c r="E3310" s="121">
        <v>1140</v>
      </c>
    </row>
    <row r="3311" spans="1:5" ht="15">
      <c r="A3311" s="120" t="s">
        <v>357</v>
      </c>
      <c r="B3311" s="121">
        <v>21</v>
      </c>
      <c r="C3311" s="121">
        <v>33</v>
      </c>
      <c r="D3311" s="121">
        <v>5</v>
      </c>
      <c r="E3311" s="121">
        <v>20000</v>
      </c>
    </row>
    <row r="3312" spans="1:5" ht="15">
      <c r="A3312" s="120" t="s">
        <v>357</v>
      </c>
      <c r="B3312" s="121">
        <v>24</v>
      </c>
      <c r="C3312" s="121">
        <v>26</v>
      </c>
      <c r="D3312" s="121">
        <v>7</v>
      </c>
      <c r="E3312" s="121">
        <v>54744</v>
      </c>
    </row>
    <row r="3313" spans="1:5" ht="15">
      <c r="A3313" s="120" t="s">
        <v>421</v>
      </c>
      <c r="B3313" s="121">
        <v>21</v>
      </c>
      <c r="C3313" s="121">
        <v>26</v>
      </c>
      <c r="D3313" s="121">
        <v>7</v>
      </c>
      <c r="E3313" s="121">
        <v>125000</v>
      </c>
    </row>
    <row r="3314" spans="1:5" ht="15">
      <c r="A3314" s="120" t="s">
        <v>421</v>
      </c>
      <c r="B3314" s="121">
        <v>21</v>
      </c>
      <c r="C3314" s="121">
        <v>27</v>
      </c>
      <c r="D3314" s="121">
        <v>2</v>
      </c>
      <c r="E3314" s="121">
        <v>156573</v>
      </c>
    </row>
    <row r="3315" spans="1:5" ht="15">
      <c r="A3315" s="120" t="s">
        <v>421</v>
      </c>
      <c r="B3315" s="121">
        <v>21</v>
      </c>
      <c r="C3315" s="121">
        <v>27</v>
      </c>
      <c r="D3315" s="121">
        <v>3</v>
      </c>
      <c r="E3315" s="121">
        <v>59112</v>
      </c>
    </row>
    <row r="3316" spans="1:5" ht="15">
      <c r="A3316" s="120" t="s">
        <v>421</v>
      </c>
      <c r="B3316" s="121">
        <v>21</v>
      </c>
      <c r="C3316" s="121">
        <v>27</v>
      </c>
      <c r="D3316" s="121">
        <v>4</v>
      </c>
      <c r="E3316" s="121">
        <v>96498</v>
      </c>
    </row>
    <row r="3317" spans="1:5" ht="15">
      <c r="A3317" s="120" t="s">
        <v>421</v>
      </c>
      <c r="B3317" s="121">
        <v>21</v>
      </c>
      <c r="C3317" s="121">
        <v>27</v>
      </c>
      <c r="D3317" s="121">
        <v>5</v>
      </c>
      <c r="E3317" s="121">
        <v>17500</v>
      </c>
    </row>
    <row r="3318" spans="1:5" ht="15">
      <c r="A3318" s="120" t="s">
        <v>421</v>
      </c>
      <c r="B3318" s="121">
        <v>21</v>
      </c>
      <c r="C3318" s="121">
        <v>27</v>
      </c>
      <c r="D3318" s="121">
        <v>7</v>
      </c>
      <c r="E3318" s="121">
        <v>35000</v>
      </c>
    </row>
    <row r="3319" spans="1:5" ht="15">
      <c r="A3319" s="120" t="s">
        <v>421</v>
      </c>
      <c r="B3319" s="121">
        <v>21</v>
      </c>
      <c r="C3319" s="121">
        <v>31</v>
      </c>
      <c r="D3319" s="121">
        <v>2</v>
      </c>
      <c r="E3319" s="121">
        <v>2752</v>
      </c>
    </row>
    <row r="3320" spans="1:5" ht="15">
      <c r="A3320" s="120" t="s">
        <v>421</v>
      </c>
      <c r="B3320" s="121">
        <v>21</v>
      </c>
      <c r="C3320" s="121">
        <v>31</v>
      </c>
      <c r="D3320" s="121">
        <v>4</v>
      </c>
      <c r="E3320" s="121">
        <v>385</v>
      </c>
    </row>
    <row r="3321" spans="1:5" ht="15">
      <c r="A3321" s="120" t="s">
        <v>421</v>
      </c>
      <c r="B3321" s="121">
        <v>21</v>
      </c>
      <c r="C3321" s="121">
        <v>31</v>
      </c>
      <c r="D3321" s="121">
        <v>8</v>
      </c>
      <c r="E3321" s="121">
        <v>1000</v>
      </c>
    </row>
    <row r="3322" spans="1:5" ht="15">
      <c r="A3322" s="120" t="s">
        <v>421</v>
      </c>
      <c r="B3322" s="121">
        <v>21</v>
      </c>
      <c r="C3322" s="121">
        <v>34</v>
      </c>
      <c r="D3322" s="121">
        <v>2</v>
      </c>
      <c r="E3322" s="121">
        <v>901</v>
      </c>
    </row>
    <row r="3323" spans="1:5" ht="15">
      <c r="A3323" s="120" t="s">
        <v>421</v>
      </c>
      <c r="B3323" s="121">
        <v>21</v>
      </c>
      <c r="C3323" s="121">
        <v>34</v>
      </c>
      <c r="D3323" s="121">
        <v>4</v>
      </c>
      <c r="E3323" s="121">
        <v>211</v>
      </c>
    </row>
    <row r="3324" spans="1:5" ht="15">
      <c r="A3324" s="120" t="s">
        <v>381</v>
      </c>
      <c r="B3324" s="121">
        <v>21</v>
      </c>
      <c r="C3324" s="121">
        <v>21</v>
      </c>
      <c r="D3324" s="121">
        <v>2</v>
      </c>
      <c r="E3324" s="121">
        <v>7380</v>
      </c>
    </row>
    <row r="3325" spans="1:5" ht="15">
      <c r="A3325" s="120" t="s">
        <v>381</v>
      </c>
      <c r="B3325" s="121">
        <v>21</v>
      </c>
      <c r="C3325" s="121">
        <v>21</v>
      </c>
      <c r="D3325" s="121">
        <v>4</v>
      </c>
      <c r="E3325" s="121">
        <v>3434</v>
      </c>
    </row>
    <row r="3326" spans="1:5" ht="15">
      <c r="A3326" s="120" t="s">
        <v>381</v>
      </c>
      <c r="B3326" s="121">
        <v>21</v>
      </c>
      <c r="C3326" s="121">
        <v>26</v>
      </c>
      <c r="D3326" s="121">
        <v>7</v>
      </c>
      <c r="E3326" s="121">
        <v>7000</v>
      </c>
    </row>
    <row r="3327" spans="1:5" ht="15">
      <c r="A3327" s="120" t="s">
        <v>381</v>
      </c>
      <c r="B3327" s="121">
        <v>21</v>
      </c>
      <c r="C3327" s="121">
        <v>27</v>
      </c>
      <c r="D3327" s="121">
        <v>2</v>
      </c>
      <c r="E3327" s="121">
        <v>63444</v>
      </c>
    </row>
    <row r="3328" spans="1:5" ht="15">
      <c r="A3328" s="120" t="s">
        <v>381</v>
      </c>
      <c r="B3328" s="121">
        <v>21</v>
      </c>
      <c r="C3328" s="121">
        <v>27</v>
      </c>
      <c r="D3328" s="121">
        <v>3</v>
      </c>
      <c r="E3328" s="121">
        <v>13130</v>
      </c>
    </row>
    <row r="3329" spans="1:5" ht="15">
      <c r="A3329" s="120" t="s">
        <v>381</v>
      </c>
      <c r="B3329" s="121">
        <v>21</v>
      </c>
      <c r="C3329" s="121">
        <v>27</v>
      </c>
      <c r="D3329" s="121">
        <v>4</v>
      </c>
      <c r="E3329" s="121">
        <v>35296</v>
      </c>
    </row>
    <row r="3330" spans="1:5" ht="15">
      <c r="A3330" s="120" t="s">
        <v>381</v>
      </c>
      <c r="B3330" s="121">
        <v>24</v>
      </c>
      <c r="C3330" s="121">
        <v>26</v>
      </c>
      <c r="D3330" s="121">
        <v>7</v>
      </c>
      <c r="E3330" s="121">
        <v>13025</v>
      </c>
    </row>
    <row r="3331" spans="1:5" ht="15">
      <c r="A3331" s="120" t="s">
        <v>421</v>
      </c>
      <c r="B3331" s="121">
        <v>24</v>
      </c>
      <c r="C3331" s="121">
        <v>26</v>
      </c>
      <c r="D3331" s="121">
        <v>7</v>
      </c>
      <c r="E3331" s="121">
        <v>55000</v>
      </c>
    </row>
    <row r="3332" spans="1:5" ht="15">
      <c r="A3332" s="120" t="s">
        <v>239</v>
      </c>
      <c r="B3332" s="121">
        <v>24</v>
      </c>
      <c r="C3332" s="121">
        <v>21</v>
      </c>
      <c r="D3332" s="121">
        <v>3</v>
      </c>
      <c r="E3332" s="121">
        <v>48838</v>
      </c>
    </row>
    <row r="3333" spans="1:5" ht="15">
      <c r="A3333" s="120" t="s">
        <v>239</v>
      </c>
      <c r="B3333" s="121">
        <v>24</v>
      </c>
      <c r="C3333" s="121">
        <v>21</v>
      </c>
      <c r="D3333" s="121">
        <v>4</v>
      </c>
      <c r="E3333" s="121">
        <v>24226</v>
      </c>
    </row>
    <row r="3334" spans="1:5" ht="15">
      <c r="A3334" s="120" t="s">
        <v>239</v>
      </c>
      <c r="B3334" s="121">
        <v>24</v>
      </c>
      <c r="C3334" s="121">
        <v>21</v>
      </c>
      <c r="D3334" s="121">
        <v>5</v>
      </c>
      <c r="E3334" s="121">
        <v>3000</v>
      </c>
    </row>
    <row r="3335" spans="1:5" ht="15">
      <c r="A3335" s="120" t="s">
        <v>239</v>
      </c>
      <c r="B3335" s="121">
        <v>24</v>
      </c>
      <c r="C3335" s="121">
        <v>21</v>
      </c>
      <c r="D3335" s="121">
        <v>7</v>
      </c>
      <c r="E3335" s="121">
        <v>3000</v>
      </c>
    </row>
    <row r="3336" spans="1:5" ht="15">
      <c r="A3336" s="120" t="s">
        <v>239</v>
      </c>
      <c r="B3336" s="121">
        <v>24</v>
      </c>
      <c r="C3336" s="121">
        <v>26</v>
      </c>
      <c r="D3336" s="121">
        <v>2</v>
      </c>
      <c r="E3336" s="121">
        <v>2000</v>
      </c>
    </row>
    <row r="3337" spans="1:5" ht="15">
      <c r="A3337" s="120" t="s">
        <v>239</v>
      </c>
      <c r="B3337" s="121">
        <v>24</v>
      </c>
      <c r="C3337" s="121">
        <v>26</v>
      </c>
      <c r="D3337" s="121">
        <v>3</v>
      </c>
      <c r="E3337" s="121">
        <v>81009</v>
      </c>
    </row>
    <row r="3338" spans="1:5" ht="15">
      <c r="A3338" s="120" t="s">
        <v>239</v>
      </c>
      <c r="B3338" s="121">
        <v>24</v>
      </c>
      <c r="C3338" s="121">
        <v>26</v>
      </c>
      <c r="D3338" s="121">
        <v>4</v>
      </c>
      <c r="E3338" s="121">
        <v>61554</v>
      </c>
    </row>
    <row r="3339" spans="1:5" ht="15">
      <c r="A3339" s="120" t="s">
        <v>341</v>
      </c>
      <c r="B3339" s="121">
        <v>21</v>
      </c>
      <c r="C3339" s="121">
        <v>21</v>
      </c>
      <c r="D3339" s="121">
        <v>2</v>
      </c>
      <c r="E3339" s="121">
        <v>142223</v>
      </c>
    </row>
    <row r="3340" spans="1:5" ht="15">
      <c r="A3340" s="120" t="s">
        <v>341</v>
      </c>
      <c r="B3340" s="121">
        <v>21</v>
      </c>
      <c r="C3340" s="121">
        <v>21</v>
      </c>
      <c r="D3340" s="121">
        <v>3</v>
      </c>
      <c r="E3340" s="121">
        <v>27812</v>
      </c>
    </row>
    <row r="3341" spans="1:5" ht="15">
      <c r="A3341" s="120" t="s">
        <v>341</v>
      </c>
      <c r="B3341" s="121">
        <v>21</v>
      </c>
      <c r="C3341" s="121">
        <v>21</v>
      </c>
      <c r="D3341" s="121">
        <v>4</v>
      </c>
      <c r="E3341" s="121">
        <v>49532</v>
      </c>
    </row>
    <row r="3342" spans="1:5" ht="15">
      <c r="A3342" s="120" t="s">
        <v>341</v>
      </c>
      <c r="B3342" s="121">
        <v>21</v>
      </c>
      <c r="C3342" s="121">
        <v>21</v>
      </c>
      <c r="D3342" s="121">
        <v>5</v>
      </c>
      <c r="E3342" s="121">
        <v>350</v>
      </c>
    </row>
    <row r="3343" spans="1:5" ht="15">
      <c r="A3343" s="120" t="s">
        <v>341</v>
      </c>
      <c r="B3343" s="121">
        <v>21</v>
      </c>
      <c r="C3343" s="121">
        <v>21</v>
      </c>
      <c r="D3343" s="121">
        <v>7</v>
      </c>
      <c r="E3343" s="121">
        <v>1200</v>
      </c>
    </row>
    <row r="3344" spans="1:5" ht="15">
      <c r="A3344" s="120" t="s">
        <v>341</v>
      </c>
      <c r="B3344" s="121">
        <v>21</v>
      </c>
      <c r="C3344" s="121">
        <v>26</v>
      </c>
      <c r="D3344" s="121">
        <v>2</v>
      </c>
      <c r="E3344" s="121">
        <v>190804</v>
      </c>
    </row>
    <row r="3345" spans="1:5" ht="15">
      <c r="A3345" s="120" t="s">
        <v>341</v>
      </c>
      <c r="B3345" s="121">
        <v>21</v>
      </c>
      <c r="C3345" s="121">
        <v>26</v>
      </c>
      <c r="D3345" s="121">
        <v>3</v>
      </c>
      <c r="E3345" s="121">
        <v>44689</v>
      </c>
    </row>
    <row r="3346" spans="1:5" ht="15">
      <c r="A3346" s="120" t="s">
        <v>341</v>
      </c>
      <c r="B3346" s="121">
        <v>21</v>
      </c>
      <c r="C3346" s="121">
        <v>26</v>
      </c>
      <c r="D3346" s="121">
        <v>4</v>
      </c>
      <c r="E3346" s="121">
        <v>101264</v>
      </c>
    </row>
    <row r="3347" spans="1:5" ht="15">
      <c r="A3347" s="120" t="s">
        <v>341</v>
      </c>
      <c r="B3347" s="121">
        <v>21</v>
      </c>
      <c r="C3347" s="121">
        <v>26</v>
      </c>
      <c r="D3347" s="121">
        <v>5</v>
      </c>
      <c r="E3347" s="121">
        <v>5500</v>
      </c>
    </row>
    <row r="3348" spans="1:5" ht="15">
      <c r="A3348" s="120" t="s">
        <v>341</v>
      </c>
      <c r="B3348" s="121">
        <v>21</v>
      </c>
      <c r="C3348" s="121">
        <v>26</v>
      </c>
      <c r="D3348" s="121">
        <v>7</v>
      </c>
      <c r="E3348" s="121">
        <v>122250</v>
      </c>
    </row>
    <row r="3349" spans="1:5" ht="15">
      <c r="A3349" s="120" t="s">
        <v>341</v>
      </c>
      <c r="B3349" s="121">
        <v>21</v>
      </c>
      <c r="C3349" s="121">
        <v>26</v>
      </c>
      <c r="D3349" s="121">
        <v>8</v>
      </c>
      <c r="E3349" s="121">
        <v>1000</v>
      </c>
    </row>
    <row r="3350" spans="1:5" ht="15">
      <c r="A3350" s="120" t="s">
        <v>341</v>
      </c>
      <c r="B3350" s="121">
        <v>21</v>
      </c>
      <c r="C3350" s="121">
        <v>27</v>
      </c>
      <c r="D3350" s="121">
        <v>2</v>
      </c>
      <c r="E3350" s="121">
        <v>983450</v>
      </c>
    </row>
    <row r="3351" spans="1:5" ht="15">
      <c r="A3351" s="120" t="s">
        <v>341</v>
      </c>
      <c r="B3351" s="121">
        <v>21</v>
      </c>
      <c r="C3351" s="121">
        <v>27</v>
      </c>
      <c r="D3351" s="121">
        <v>3</v>
      </c>
      <c r="E3351" s="121">
        <v>289183</v>
      </c>
    </row>
    <row r="3352" spans="1:5" ht="15">
      <c r="A3352" s="120" t="s">
        <v>341</v>
      </c>
      <c r="B3352" s="121">
        <v>21</v>
      </c>
      <c r="C3352" s="121">
        <v>27</v>
      </c>
      <c r="D3352" s="121">
        <v>4</v>
      </c>
      <c r="E3352" s="121">
        <v>537913</v>
      </c>
    </row>
    <row r="3353" spans="1:5" ht="15">
      <c r="A3353" s="120" t="s">
        <v>341</v>
      </c>
      <c r="B3353" s="121">
        <v>21</v>
      </c>
      <c r="C3353" s="121">
        <v>27</v>
      </c>
      <c r="D3353" s="121">
        <v>5</v>
      </c>
      <c r="E3353" s="121">
        <v>9100</v>
      </c>
    </row>
    <row r="3354" spans="1:5" ht="15">
      <c r="A3354" s="120" t="s">
        <v>341</v>
      </c>
      <c r="B3354" s="121">
        <v>21</v>
      </c>
      <c r="C3354" s="121">
        <v>27</v>
      </c>
      <c r="D3354" s="121">
        <v>7</v>
      </c>
      <c r="E3354" s="121">
        <v>80250</v>
      </c>
    </row>
    <row r="3355" spans="1:5" ht="15">
      <c r="A3355" s="120" t="s">
        <v>341</v>
      </c>
      <c r="B3355" s="121">
        <v>21</v>
      </c>
      <c r="C3355" s="121">
        <v>27</v>
      </c>
      <c r="D3355" s="121">
        <v>8</v>
      </c>
      <c r="E3355" s="121">
        <v>3500</v>
      </c>
    </row>
    <row r="3356" spans="1:5" ht="15">
      <c r="A3356" s="120" t="s">
        <v>341</v>
      </c>
      <c r="B3356" s="121">
        <v>21</v>
      </c>
      <c r="C3356" s="121">
        <v>28</v>
      </c>
      <c r="D3356" s="121">
        <v>2</v>
      </c>
      <c r="E3356" s="121">
        <v>1085</v>
      </c>
    </row>
    <row r="3357" spans="1:5" ht="15">
      <c r="A3357" s="120" t="s">
        <v>341</v>
      </c>
      <c r="B3357" s="121">
        <v>21</v>
      </c>
      <c r="C3357" s="121">
        <v>28</v>
      </c>
      <c r="D3357" s="121">
        <v>4</v>
      </c>
      <c r="E3357" s="121">
        <v>171</v>
      </c>
    </row>
    <row r="3358" spans="1:5" ht="15">
      <c r="A3358" s="120" t="s">
        <v>341</v>
      </c>
      <c r="B3358" s="121">
        <v>21</v>
      </c>
      <c r="C3358" s="121">
        <v>31</v>
      </c>
      <c r="D3358" s="121">
        <v>5</v>
      </c>
      <c r="E3358" s="121">
        <v>1500</v>
      </c>
    </row>
    <row r="3359" spans="1:5" ht="15">
      <c r="A3359" s="120" t="s">
        <v>341</v>
      </c>
      <c r="B3359" s="121">
        <v>21</v>
      </c>
      <c r="C3359" s="121">
        <v>31</v>
      </c>
      <c r="D3359" s="121">
        <v>7</v>
      </c>
      <c r="E3359" s="121">
        <v>1000</v>
      </c>
    </row>
    <row r="3360" spans="1:5" ht="15">
      <c r="A3360" s="120" t="s">
        <v>341</v>
      </c>
      <c r="B3360" s="121">
        <v>24</v>
      </c>
      <c r="C3360" s="121">
        <v>26</v>
      </c>
      <c r="D3360" s="121">
        <v>2</v>
      </c>
      <c r="E3360" s="121">
        <v>156809</v>
      </c>
    </row>
    <row r="3361" spans="1:5" ht="15">
      <c r="A3361" s="120" t="s">
        <v>341</v>
      </c>
      <c r="B3361" s="121">
        <v>24</v>
      </c>
      <c r="C3361" s="121">
        <v>26</v>
      </c>
      <c r="D3361" s="121">
        <v>4</v>
      </c>
      <c r="E3361" s="121">
        <v>56992</v>
      </c>
    </row>
    <row r="3362" spans="1:5" ht="15">
      <c r="A3362" s="120" t="s">
        <v>341</v>
      </c>
      <c r="B3362" s="121">
        <v>24</v>
      </c>
      <c r="C3362" s="121">
        <v>27</v>
      </c>
      <c r="D3362" s="121">
        <v>2</v>
      </c>
      <c r="E3362" s="121">
        <v>93688</v>
      </c>
    </row>
    <row r="3363" spans="1:5" ht="15">
      <c r="A3363" s="120" t="s">
        <v>341</v>
      </c>
      <c r="B3363" s="121">
        <v>24</v>
      </c>
      <c r="C3363" s="121">
        <v>27</v>
      </c>
      <c r="D3363" s="121">
        <v>4</v>
      </c>
      <c r="E3363" s="121">
        <v>30887</v>
      </c>
    </row>
    <row r="3364" spans="1:5" ht="15">
      <c r="A3364" s="120" t="s">
        <v>401</v>
      </c>
      <c r="B3364" s="121">
        <v>21</v>
      </c>
      <c r="C3364" s="121">
        <v>21</v>
      </c>
      <c r="D3364" s="121">
        <v>2</v>
      </c>
      <c r="E3364" s="121">
        <v>691718</v>
      </c>
    </row>
    <row r="3365" spans="1:5" ht="15">
      <c r="A3365" s="120" t="s">
        <v>401</v>
      </c>
      <c r="B3365" s="121">
        <v>21</v>
      </c>
      <c r="C3365" s="121">
        <v>21</v>
      </c>
      <c r="D3365" s="121">
        <v>3</v>
      </c>
      <c r="E3365" s="121">
        <v>298643</v>
      </c>
    </row>
    <row r="3366" spans="1:5" ht="15">
      <c r="A3366" s="120" t="s">
        <v>401</v>
      </c>
      <c r="B3366" s="121">
        <v>21</v>
      </c>
      <c r="C3366" s="121">
        <v>21</v>
      </c>
      <c r="D3366" s="121">
        <v>4</v>
      </c>
      <c r="E3366" s="121">
        <v>336959</v>
      </c>
    </row>
    <row r="3367" spans="1:5" ht="15">
      <c r="A3367" s="120" t="s">
        <v>401</v>
      </c>
      <c r="B3367" s="121">
        <v>21</v>
      </c>
      <c r="C3367" s="121">
        <v>21</v>
      </c>
      <c r="D3367" s="121">
        <v>5</v>
      </c>
      <c r="E3367" s="121">
        <v>34854</v>
      </c>
    </row>
    <row r="3368" spans="1:5" ht="15">
      <c r="A3368" s="120" t="s">
        <v>401</v>
      </c>
      <c r="B3368" s="121">
        <v>21</v>
      </c>
      <c r="C3368" s="121">
        <v>21</v>
      </c>
      <c r="D3368" s="121">
        <v>7</v>
      </c>
      <c r="E3368" s="121">
        <v>8000</v>
      </c>
    </row>
    <row r="3369" spans="1:5" ht="15">
      <c r="A3369" s="120" t="s">
        <v>401</v>
      </c>
      <c r="B3369" s="121">
        <v>21</v>
      </c>
      <c r="C3369" s="121">
        <v>21</v>
      </c>
      <c r="D3369" s="121">
        <v>8</v>
      </c>
      <c r="E3369" s="121">
        <v>4000</v>
      </c>
    </row>
    <row r="3370" spans="1:5" ht="15">
      <c r="A3370" s="120" t="s">
        <v>401</v>
      </c>
      <c r="B3370" s="121">
        <v>21</v>
      </c>
      <c r="C3370" s="121">
        <v>25</v>
      </c>
      <c r="D3370" s="121">
        <v>3</v>
      </c>
      <c r="E3370" s="121">
        <v>1173485</v>
      </c>
    </row>
    <row r="3371" spans="1:5" ht="15">
      <c r="A3371" s="120" t="s">
        <v>401</v>
      </c>
      <c r="B3371" s="121">
        <v>21</v>
      </c>
      <c r="C3371" s="121">
        <v>25</v>
      </c>
      <c r="D3371" s="121">
        <v>4</v>
      </c>
      <c r="E3371" s="121">
        <v>729687</v>
      </c>
    </row>
    <row r="3372" spans="1:5" ht="15">
      <c r="A3372" s="120" t="s">
        <v>401</v>
      </c>
      <c r="B3372" s="121">
        <v>21</v>
      </c>
      <c r="C3372" s="121">
        <v>26</v>
      </c>
      <c r="D3372" s="121">
        <v>2</v>
      </c>
      <c r="E3372" s="121">
        <v>3485906</v>
      </c>
    </row>
    <row r="3373" spans="1:5" ht="15">
      <c r="A3373" s="120" t="s">
        <v>401</v>
      </c>
      <c r="B3373" s="121">
        <v>21</v>
      </c>
      <c r="C3373" s="121">
        <v>26</v>
      </c>
      <c r="D3373" s="121">
        <v>3</v>
      </c>
      <c r="E3373" s="121">
        <v>551127</v>
      </c>
    </row>
    <row r="3374" spans="1:5" ht="15">
      <c r="A3374" s="120" t="s">
        <v>401</v>
      </c>
      <c r="B3374" s="121">
        <v>21</v>
      </c>
      <c r="C3374" s="121">
        <v>26</v>
      </c>
      <c r="D3374" s="121">
        <v>4</v>
      </c>
      <c r="E3374" s="121">
        <v>1452930</v>
      </c>
    </row>
    <row r="3375" spans="1:5" ht="15">
      <c r="A3375" s="120" t="s">
        <v>401</v>
      </c>
      <c r="B3375" s="121">
        <v>21</v>
      </c>
      <c r="C3375" s="121">
        <v>26</v>
      </c>
      <c r="D3375" s="121">
        <v>5</v>
      </c>
      <c r="E3375" s="121">
        <v>72800</v>
      </c>
    </row>
    <row r="3376" spans="1:5" ht="15">
      <c r="A3376" s="120" t="s">
        <v>401</v>
      </c>
      <c r="B3376" s="121">
        <v>21</v>
      </c>
      <c r="C3376" s="121">
        <v>26</v>
      </c>
      <c r="D3376" s="121">
        <v>7</v>
      </c>
      <c r="E3376" s="121">
        <v>619851</v>
      </c>
    </row>
    <row r="3377" spans="1:5" ht="15">
      <c r="A3377" s="120" t="s">
        <v>401</v>
      </c>
      <c r="B3377" s="121">
        <v>21</v>
      </c>
      <c r="C3377" s="121">
        <v>26</v>
      </c>
      <c r="D3377" s="121">
        <v>8</v>
      </c>
      <c r="E3377" s="121">
        <v>19400</v>
      </c>
    </row>
    <row r="3378" spans="1:5" ht="15">
      <c r="A3378" s="120" t="s">
        <v>401</v>
      </c>
      <c r="B3378" s="121">
        <v>21</v>
      </c>
      <c r="C3378" s="121">
        <v>27</v>
      </c>
      <c r="D3378" s="121">
        <v>2</v>
      </c>
      <c r="E3378" s="121">
        <v>12668658</v>
      </c>
    </row>
    <row r="3379" spans="1:5" ht="15">
      <c r="A3379" s="120" t="s">
        <v>401</v>
      </c>
      <c r="B3379" s="121">
        <v>21</v>
      </c>
      <c r="C3379" s="121">
        <v>27</v>
      </c>
      <c r="D3379" s="121">
        <v>3</v>
      </c>
      <c r="E3379" s="121">
        <v>6784349</v>
      </c>
    </row>
    <row r="3380" spans="1:5" ht="15">
      <c r="A3380" s="120" t="s">
        <v>401</v>
      </c>
      <c r="B3380" s="121">
        <v>21</v>
      </c>
      <c r="C3380" s="121">
        <v>27</v>
      </c>
      <c r="D3380" s="121">
        <v>4</v>
      </c>
      <c r="E3380" s="121">
        <v>8902351</v>
      </c>
    </row>
    <row r="3381" spans="1:5" ht="15">
      <c r="A3381" s="120" t="s">
        <v>401</v>
      </c>
      <c r="B3381" s="121">
        <v>21</v>
      </c>
      <c r="C3381" s="121">
        <v>27</v>
      </c>
      <c r="D3381" s="121">
        <v>5</v>
      </c>
      <c r="E3381" s="121">
        <v>1335634</v>
      </c>
    </row>
    <row r="3382" spans="1:5" ht="15">
      <c r="A3382" s="120" t="s">
        <v>401</v>
      </c>
      <c r="B3382" s="121">
        <v>21</v>
      </c>
      <c r="C3382" s="121">
        <v>27</v>
      </c>
      <c r="D3382" s="121">
        <v>7</v>
      </c>
      <c r="E3382" s="121">
        <v>310461</v>
      </c>
    </row>
    <row r="3383" spans="1:5" ht="15">
      <c r="A3383" s="120" t="s">
        <v>401</v>
      </c>
      <c r="B3383" s="121">
        <v>21</v>
      </c>
      <c r="C3383" s="121">
        <v>27</v>
      </c>
      <c r="D3383" s="121">
        <v>8</v>
      </c>
      <c r="E3383" s="121">
        <v>17000</v>
      </c>
    </row>
    <row r="3384" spans="1:5" ht="15">
      <c r="A3384" s="120" t="s">
        <v>401</v>
      </c>
      <c r="B3384" s="121">
        <v>21</v>
      </c>
      <c r="C3384" s="121">
        <v>31</v>
      </c>
      <c r="D3384" s="121">
        <v>2</v>
      </c>
      <c r="E3384" s="121">
        <v>53628</v>
      </c>
    </row>
    <row r="3385" spans="1:5" ht="15">
      <c r="A3385" s="120" t="s">
        <v>401</v>
      </c>
      <c r="B3385" s="121">
        <v>21</v>
      </c>
      <c r="C3385" s="121">
        <v>31</v>
      </c>
      <c r="D3385" s="121">
        <v>3</v>
      </c>
      <c r="E3385" s="121">
        <v>26814</v>
      </c>
    </row>
    <row r="3386" spans="1:5" ht="15">
      <c r="A3386" s="120" t="s">
        <v>401</v>
      </c>
      <c r="B3386" s="121">
        <v>21</v>
      </c>
      <c r="C3386" s="121">
        <v>31</v>
      </c>
      <c r="D3386" s="121">
        <v>7</v>
      </c>
      <c r="E3386" s="121">
        <v>10000</v>
      </c>
    </row>
    <row r="3387" spans="1:5" ht="15">
      <c r="A3387" s="120" t="s">
        <v>401</v>
      </c>
      <c r="B3387" s="121">
        <v>21</v>
      </c>
      <c r="C3387" s="121">
        <v>31</v>
      </c>
      <c r="D3387" s="121">
        <v>8</v>
      </c>
      <c r="E3387" s="121">
        <v>5000</v>
      </c>
    </row>
    <row r="3388" spans="1:5" ht="15">
      <c r="A3388" s="120" t="s">
        <v>401</v>
      </c>
      <c r="B3388" s="121">
        <v>24</v>
      </c>
      <c r="C3388" s="121">
        <v>27</v>
      </c>
      <c r="D3388" s="121">
        <v>2</v>
      </c>
      <c r="E3388" s="121">
        <v>1599241</v>
      </c>
    </row>
    <row r="3389" spans="1:5" ht="15">
      <c r="A3389" s="120" t="s">
        <v>401</v>
      </c>
      <c r="B3389" s="121">
        <v>24</v>
      </c>
      <c r="C3389" s="121">
        <v>27</v>
      </c>
      <c r="D3389" s="121">
        <v>3</v>
      </c>
      <c r="E3389" s="121">
        <v>1499185</v>
      </c>
    </row>
    <row r="3390" spans="1:5" ht="15">
      <c r="A3390" s="120" t="s">
        <v>401</v>
      </c>
      <c r="B3390" s="121">
        <v>24</v>
      </c>
      <c r="C3390" s="121">
        <v>27</v>
      </c>
      <c r="D3390" s="121">
        <v>4</v>
      </c>
      <c r="E3390" s="121">
        <v>1524939</v>
      </c>
    </row>
    <row r="3391" spans="1:5" ht="15">
      <c r="A3391" s="120" t="s">
        <v>359</v>
      </c>
      <c r="B3391" s="121">
        <v>21</v>
      </c>
      <c r="C3391" s="121">
        <v>21</v>
      </c>
      <c r="D3391" s="121">
        <v>0</v>
      </c>
      <c r="E3391" s="121">
        <v>3000</v>
      </c>
    </row>
    <row r="3392" spans="1:5" ht="15">
      <c r="A3392" s="120" t="s">
        <v>359</v>
      </c>
      <c r="B3392" s="121">
        <v>21</v>
      </c>
      <c r="C3392" s="121">
        <v>21</v>
      </c>
      <c r="D3392" s="121">
        <v>2</v>
      </c>
      <c r="E3392" s="121">
        <v>1849748</v>
      </c>
    </row>
    <row r="3393" spans="1:5" ht="15">
      <c r="A3393" s="120" t="s">
        <v>359</v>
      </c>
      <c r="B3393" s="121">
        <v>21</v>
      </c>
      <c r="C3393" s="121">
        <v>21</v>
      </c>
      <c r="D3393" s="121">
        <v>3</v>
      </c>
      <c r="E3393" s="121">
        <v>672400</v>
      </c>
    </row>
    <row r="3394" spans="1:5" ht="15">
      <c r="A3394" s="120" t="s">
        <v>359</v>
      </c>
      <c r="B3394" s="121">
        <v>21</v>
      </c>
      <c r="C3394" s="121">
        <v>21</v>
      </c>
      <c r="D3394" s="121">
        <v>4</v>
      </c>
      <c r="E3394" s="121">
        <v>660949</v>
      </c>
    </row>
    <row r="3395" spans="1:5" ht="15">
      <c r="A3395" s="120" t="s">
        <v>359</v>
      </c>
      <c r="B3395" s="121">
        <v>21</v>
      </c>
      <c r="C3395" s="121">
        <v>21</v>
      </c>
      <c r="D3395" s="121">
        <v>5</v>
      </c>
      <c r="E3395" s="121">
        <v>7750</v>
      </c>
    </row>
    <row r="3396" spans="1:5" ht="15">
      <c r="A3396" s="120" t="s">
        <v>359</v>
      </c>
      <c r="B3396" s="121">
        <v>21</v>
      </c>
      <c r="C3396" s="121">
        <v>21</v>
      </c>
      <c r="D3396" s="121">
        <v>7</v>
      </c>
      <c r="E3396" s="121">
        <v>275097</v>
      </c>
    </row>
    <row r="3397" spans="1:5" ht="15">
      <c r="A3397" s="120" t="s">
        <v>359</v>
      </c>
      <c r="B3397" s="121">
        <v>21</v>
      </c>
      <c r="C3397" s="121">
        <v>21</v>
      </c>
      <c r="D3397" s="121">
        <v>8</v>
      </c>
      <c r="E3397" s="121">
        <v>57000</v>
      </c>
    </row>
    <row r="3398" spans="1:5" ht="15">
      <c r="A3398" s="120" t="s">
        <v>359</v>
      </c>
      <c r="B3398" s="121">
        <v>21</v>
      </c>
      <c r="C3398" s="121">
        <v>23</v>
      </c>
      <c r="D3398" s="121">
        <v>2</v>
      </c>
      <c r="E3398" s="121">
        <v>10230</v>
      </c>
    </row>
    <row r="3399" spans="1:5" ht="15">
      <c r="A3399" s="120" t="s">
        <v>359</v>
      </c>
      <c r="B3399" s="121">
        <v>21</v>
      </c>
      <c r="C3399" s="121">
        <v>23</v>
      </c>
      <c r="D3399" s="121">
        <v>4</v>
      </c>
      <c r="E3399" s="121">
        <v>1638</v>
      </c>
    </row>
    <row r="3400" spans="1:5" ht="15">
      <c r="A3400" s="120" t="s">
        <v>359</v>
      </c>
      <c r="B3400" s="121">
        <v>21</v>
      </c>
      <c r="C3400" s="121">
        <v>24</v>
      </c>
      <c r="D3400" s="121">
        <v>7</v>
      </c>
      <c r="E3400" s="121">
        <v>10000</v>
      </c>
    </row>
    <row r="3401" spans="1:5" ht="15">
      <c r="A3401" s="120" t="s">
        <v>359</v>
      </c>
      <c r="B3401" s="121">
        <v>21</v>
      </c>
      <c r="C3401" s="121">
        <v>26</v>
      </c>
      <c r="D3401" s="121">
        <v>2</v>
      </c>
      <c r="E3401" s="121">
        <v>11570672</v>
      </c>
    </row>
    <row r="3402" spans="1:5" ht="15">
      <c r="A3402" s="120" t="s">
        <v>359</v>
      </c>
      <c r="B3402" s="121">
        <v>21</v>
      </c>
      <c r="C3402" s="121">
        <v>26</v>
      </c>
      <c r="D3402" s="121">
        <v>3</v>
      </c>
      <c r="E3402" s="121">
        <v>1804581</v>
      </c>
    </row>
    <row r="3403" spans="1:5" ht="15">
      <c r="A3403" s="120" t="s">
        <v>359</v>
      </c>
      <c r="B3403" s="121">
        <v>21</v>
      </c>
      <c r="C3403" s="121">
        <v>26</v>
      </c>
      <c r="D3403" s="121">
        <v>4</v>
      </c>
      <c r="E3403" s="121">
        <v>4118305</v>
      </c>
    </row>
    <row r="3404" spans="1:5" ht="15">
      <c r="A3404" s="120" t="s">
        <v>359</v>
      </c>
      <c r="B3404" s="121">
        <v>21</v>
      </c>
      <c r="C3404" s="121">
        <v>26</v>
      </c>
      <c r="D3404" s="121">
        <v>5</v>
      </c>
      <c r="E3404" s="121">
        <v>77294</v>
      </c>
    </row>
    <row r="3405" spans="1:5" ht="15">
      <c r="A3405" s="120" t="s">
        <v>359</v>
      </c>
      <c r="B3405" s="121">
        <v>21</v>
      </c>
      <c r="C3405" s="121">
        <v>26</v>
      </c>
      <c r="D3405" s="121">
        <v>7</v>
      </c>
      <c r="E3405" s="121">
        <v>643801</v>
      </c>
    </row>
    <row r="3406" spans="1:5" ht="15">
      <c r="A3406" s="120" t="s">
        <v>359</v>
      </c>
      <c r="B3406" s="121">
        <v>21</v>
      </c>
      <c r="C3406" s="121">
        <v>26</v>
      </c>
      <c r="D3406" s="121">
        <v>8</v>
      </c>
      <c r="E3406" s="121">
        <v>10000</v>
      </c>
    </row>
    <row r="3407" spans="1:5" ht="15">
      <c r="A3407" s="120" t="s">
        <v>359</v>
      </c>
      <c r="B3407" s="121">
        <v>21</v>
      </c>
      <c r="C3407" s="121">
        <v>27</v>
      </c>
      <c r="D3407" s="121">
        <v>0</v>
      </c>
      <c r="E3407" s="121">
        <v>145000</v>
      </c>
    </row>
    <row r="3408" spans="1:5" ht="15">
      <c r="A3408" s="120" t="s">
        <v>359</v>
      </c>
      <c r="B3408" s="121">
        <v>21</v>
      </c>
      <c r="C3408" s="121">
        <v>27</v>
      </c>
      <c r="D3408" s="121">
        <v>2</v>
      </c>
      <c r="E3408" s="121">
        <v>16956757</v>
      </c>
    </row>
    <row r="3409" spans="1:5" ht="15">
      <c r="A3409" s="120" t="s">
        <v>359</v>
      </c>
      <c r="B3409" s="121">
        <v>21</v>
      </c>
      <c r="C3409" s="121">
        <v>27</v>
      </c>
      <c r="D3409" s="121">
        <v>3</v>
      </c>
      <c r="E3409" s="121">
        <v>23160074</v>
      </c>
    </row>
    <row r="3410" spans="1:5" ht="15">
      <c r="A3410" s="120" t="s">
        <v>359</v>
      </c>
      <c r="B3410" s="121">
        <v>21</v>
      </c>
      <c r="C3410" s="121">
        <v>27</v>
      </c>
      <c r="D3410" s="121">
        <v>4</v>
      </c>
      <c r="E3410" s="121">
        <v>15668431</v>
      </c>
    </row>
    <row r="3411" spans="1:5" ht="15">
      <c r="A3411" s="120" t="s">
        <v>359</v>
      </c>
      <c r="B3411" s="121">
        <v>21</v>
      </c>
      <c r="C3411" s="121">
        <v>27</v>
      </c>
      <c r="D3411" s="121">
        <v>5</v>
      </c>
      <c r="E3411" s="121">
        <v>66617</v>
      </c>
    </row>
    <row r="3412" spans="1:5" ht="15">
      <c r="A3412" s="120" t="s">
        <v>359</v>
      </c>
      <c r="B3412" s="121">
        <v>21</v>
      </c>
      <c r="C3412" s="121">
        <v>27</v>
      </c>
      <c r="D3412" s="121">
        <v>7</v>
      </c>
      <c r="E3412" s="121">
        <v>5953000</v>
      </c>
    </row>
    <row r="3413" spans="1:5" ht="15">
      <c r="A3413" s="120" t="s">
        <v>359</v>
      </c>
      <c r="B3413" s="121">
        <v>21</v>
      </c>
      <c r="C3413" s="121">
        <v>27</v>
      </c>
      <c r="D3413" s="121">
        <v>8</v>
      </c>
      <c r="E3413" s="121">
        <v>7000</v>
      </c>
    </row>
    <row r="3414" spans="1:5" ht="15">
      <c r="A3414" s="120" t="s">
        <v>359</v>
      </c>
      <c r="B3414" s="121">
        <v>21</v>
      </c>
      <c r="C3414" s="121">
        <v>29</v>
      </c>
      <c r="D3414" s="121">
        <v>7</v>
      </c>
      <c r="E3414" s="121">
        <v>240000</v>
      </c>
    </row>
    <row r="3415" spans="1:5" ht="15">
      <c r="A3415" s="120" t="s">
        <v>359</v>
      </c>
      <c r="B3415" s="121">
        <v>21</v>
      </c>
      <c r="C3415" s="121">
        <v>31</v>
      </c>
      <c r="D3415" s="121">
        <v>2</v>
      </c>
      <c r="E3415" s="121">
        <v>124070</v>
      </c>
    </row>
    <row r="3416" spans="1:5" ht="15">
      <c r="A3416" s="120" t="s">
        <v>359</v>
      </c>
      <c r="B3416" s="121">
        <v>21</v>
      </c>
      <c r="C3416" s="121">
        <v>31</v>
      </c>
      <c r="D3416" s="121">
        <v>3</v>
      </c>
      <c r="E3416" s="121">
        <v>42648</v>
      </c>
    </row>
    <row r="3417" spans="1:5" ht="15">
      <c r="A3417" s="120" t="s">
        <v>359</v>
      </c>
      <c r="B3417" s="121">
        <v>21</v>
      </c>
      <c r="C3417" s="121">
        <v>31</v>
      </c>
      <c r="D3417" s="121">
        <v>4</v>
      </c>
      <c r="E3417" s="121">
        <v>25829</v>
      </c>
    </row>
    <row r="3418" spans="1:5" ht="15">
      <c r="A3418" s="120" t="s">
        <v>359</v>
      </c>
      <c r="B3418" s="121">
        <v>21</v>
      </c>
      <c r="C3418" s="121">
        <v>31</v>
      </c>
      <c r="D3418" s="121">
        <v>5</v>
      </c>
      <c r="E3418" s="121">
        <v>8000</v>
      </c>
    </row>
    <row r="3419" spans="1:5" ht="15">
      <c r="A3419" s="120" t="s">
        <v>359</v>
      </c>
      <c r="B3419" s="121">
        <v>21</v>
      </c>
      <c r="C3419" s="121">
        <v>31</v>
      </c>
      <c r="D3419" s="121">
        <v>7</v>
      </c>
      <c r="E3419" s="121">
        <v>13479</v>
      </c>
    </row>
    <row r="3420" spans="1:5" ht="15">
      <c r="A3420" s="120" t="s">
        <v>359</v>
      </c>
      <c r="B3420" s="121">
        <v>21</v>
      </c>
      <c r="C3420" s="121">
        <v>33</v>
      </c>
      <c r="D3420" s="121">
        <v>5</v>
      </c>
      <c r="E3420" s="121">
        <v>18150</v>
      </c>
    </row>
    <row r="3421" spans="1:5" ht="15">
      <c r="A3421" s="120" t="s">
        <v>359</v>
      </c>
      <c r="B3421" s="121">
        <v>21</v>
      </c>
      <c r="C3421" s="121">
        <v>33</v>
      </c>
      <c r="D3421" s="121">
        <v>7</v>
      </c>
      <c r="E3421" s="121">
        <v>62024</v>
      </c>
    </row>
    <row r="3422" spans="1:5" ht="15">
      <c r="A3422" s="120" t="s">
        <v>359</v>
      </c>
      <c r="B3422" s="121">
        <v>21</v>
      </c>
      <c r="C3422" s="121">
        <v>34</v>
      </c>
      <c r="D3422" s="121">
        <v>2</v>
      </c>
      <c r="E3422" s="121">
        <v>422845</v>
      </c>
    </row>
    <row r="3423" spans="1:5" ht="15">
      <c r="A3423" s="120" t="s">
        <v>359</v>
      </c>
      <c r="B3423" s="121">
        <v>21</v>
      </c>
      <c r="C3423" s="121">
        <v>34</v>
      </c>
      <c r="D3423" s="121">
        <v>4</v>
      </c>
      <c r="E3423" s="121">
        <v>67503</v>
      </c>
    </row>
    <row r="3424" spans="1:5" ht="15">
      <c r="A3424" s="120" t="s">
        <v>359</v>
      </c>
      <c r="B3424" s="121">
        <v>24</v>
      </c>
      <c r="C3424" s="121">
        <v>26</v>
      </c>
      <c r="D3424" s="121">
        <v>2</v>
      </c>
      <c r="E3424" s="121">
        <v>890672</v>
      </c>
    </row>
    <row r="3425" spans="1:5" ht="15">
      <c r="A3425" s="120" t="s">
        <v>359</v>
      </c>
      <c r="B3425" s="121">
        <v>24</v>
      </c>
      <c r="C3425" s="121">
        <v>26</v>
      </c>
      <c r="D3425" s="121">
        <v>4</v>
      </c>
      <c r="E3425" s="121">
        <v>252502</v>
      </c>
    </row>
    <row r="3426" spans="1:5" ht="15">
      <c r="A3426" s="120" t="s">
        <v>359</v>
      </c>
      <c r="B3426" s="121">
        <v>24</v>
      </c>
      <c r="C3426" s="121">
        <v>27</v>
      </c>
      <c r="D3426" s="121">
        <v>2</v>
      </c>
      <c r="E3426" s="121">
        <v>1608663</v>
      </c>
    </row>
    <row r="3427" spans="1:5" ht="15">
      <c r="A3427" s="120" t="s">
        <v>359</v>
      </c>
      <c r="B3427" s="121">
        <v>24</v>
      </c>
      <c r="C3427" s="121">
        <v>27</v>
      </c>
      <c r="D3427" s="121">
        <v>3</v>
      </c>
      <c r="E3427" s="121">
        <v>968958</v>
      </c>
    </row>
    <row r="3428" spans="1:5" ht="15">
      <c r="A3428" s="120" t="s">
        <v>359</v>
      </c>
      <c r="B3428" s="121">
        <v>24</v>
      </c>
      <c r="C3428" s="121">
        <v>27</v>
      </c>
      <c r="D3428" s="121">
        <v>4</v>
      </c>
      <c r="E3428" s="121">
        <v>942863</v>
      </c>
    </row>
    <row r="3429" spans="1:5" ht="15">
      <c r="A3429" s="120" t="s">
        <v>359</v>
      </c>
      <c r="B3429" s="121">
        <v>24</v>
      </c>
      <c r="C3429" s="121">
        <v>27</v>
      </c>
      <c r="D3429" s="121">
        <v>5</v>
      </c>
      <c r="E3429" s="121">
        <v>69275</v>
      </c>
    </row>
    <row r="3430" spans="1:5" ht="15">
      <c r="A3430" s="120" t="s">
        <v>359</v>
      </c>
      <c r="B3430" s="121">
        <v>24</v>
      </c>
      <c r="C3430" s="121">
        <v>27</v>
      </c>
      <c r="D3430" s="121">
        <v>7</v>
      </c>
      <c r="E3430" s="121">
        <v>800000</v>
      </c>
    </row>
    <row r="3431" spans="1:5" ht="15">
      <c r="A3431" s="120" t="s">
        <v>359</v>
      </c>
      <c r="B3431" s="121">
        <v>24</v>
      </c>
      <c r="C3431" s="121">
        <v>29</v>
      </c>
      <c r="D3431" s="121">
        <v>7</v>
      </c>
      <c r="E3431" s="121">
        <v>200000</v>
      </c>
    </row>
    <row r="3432" spans="1:5" ht="15">
      <c r="A3432" s="120" t="s">
        <v>359</v>
      </c>
      <c r="B3432" s="121">
        <v>24</v>
      </c>
      <c r="C3432" s="121">
        <v>31</v>
      </c>
      <c r="D3432" s="121">
        <v>2</v>
      </c>
      <c r="E3432" s="121">
        <v>38565</v>
      </c>
    </row>
    <row r="3433" spans="1:5" ht="15">
      <c r="A3433" s="120" t="s">
        <v>359</v>
      </c>
      <c r="B3433" s="121">
        <v>24</v>
      </c>
      <c r="C3433" s="121">
        <v>31</v>
      </c>
      <c r="D3433" s="121">
        <v>4</v>
      </c>
      <c r="E3433" s="121">
        <v>6065</v>
      </c>
    </row>
    <row r="3434" spans="1:5" ht="15">
      <c r="A3434" s="120" t="s">
        <v>239</v>
      </c>
      <c r="B3434" s="121">
        <v>24</v>
      </c>
      <c r="C3434" s="121">
        <v>26</v>
      </c>
      <c r="D3434" s="121">
        <v>5</v>
      </c>
      <c r="E3434" s="121">
        <v>50000</v>
      </c>
    </row>
    <row r="3435" spans="1:5" ht="15">
      <c r="A3435" s="120" t="s">
        <v>239</v>
      </c>
      <c r="B3435" s="121">
        <v>24</v>
      </c>
      <c r="C3435" s="121">
        <v>26</v>
      </c>
      <c r="D3435" s="121">
        <v>7</v>
      </c>
      <c r="E3435" s="121">
        <v>40200</v>
      </c>
    </row>
    <row r="3436" spans="1:5" ht="15">
      <c r="A3436" s="120" t="s">
        <v>239</v>
      </c>
      <c r="B3436" s="121">
        <v>24</v>
      </c>
      <c r="C3436" s="121">
        <v>27</v>
      </c>
      <c r="D3436" s="121">
        <v>0</v>
      </c>
      <c r="E3436" s="121">
        <v>2500</v>
      </c>
    </row>
    <row r="3437" spans="1:5" ht="15">
      <c r="A3437" s="120" t="s">
        <v>239</v>
      </c>
      <c r="B3437" s="121">
        <v>24</v>
      </c>
      <c r="C3437" s="121">
        <v>27</v>
      </c>
      <c r="D3437" s="121">
        <v>2</v>
      </c>
      <c r="E3437" s="121">
        <v>1251866</v>
      </c>
    </row>
    <row r="3438" spans="1:5" ht="15">
      <c r="A3438" s="120" t="s">
        <v>239</v>
      </c>
      <c r="B3438" s="121">
        <v>24</v>
      </c>
      <c r="C3438" s="121">
        <v>27</v>
      </c>
      <c r="D3438" s="121">
        <v>3</v>
      </c>
      <c r="E3438" s="121">
        <v>274819</v>
      </c>
    </row>
    <row r="3439" spans="1:5" ht="15">
      <c r="A3439" s="120" t="s">
        <v>239</v>
      </c>
      <c r="B3439" s="121">
        <v>24</v>
      </c>
      <c r="C3439" s="121">
        <v>27</v>
      </c>
      <c r="D3439" s="121">
        <v>4</v>
      </c>
      <c r="E3439" s="121">
        <v>573236</v>
      </c>
    </row>
    <row r="3440" spans="1:5" ht="15">
      <c r="A3440" s="120" t="s">
        <v>239</v>
      </c>
      <c r="B3440" s="121">
        <v>24</v>
      </c>
      <c r="C3440" s="121">
        <v>27</v>
      </c>
      <c r="D3440" s="121">
        <v>5</v>
      </c>
      <c r="E3440" s="121">
        <v>25000</v>
      </c>
    </row>
    <row r="3441" spans="1:5" ht="15">
      <c r="A3441" s="120" t="s">
        <v>239</v>
      </c>
      <c r="B3441" s="121">
        <v>24</v>
      </c>
      <c r="C3441" s="121">
        <v>27</v>
      </c>
      <c r="D3441" s="121">
        <v>7</v>
      </c>
      <c r="E3441" s="121">
        <v>1325500</v>
      </c>
    </row>
    <row r="3442" spans="1:5" ht="15">
      <c r="A3442" s="120" t="s">
        <v>239</v>
      </c>
      <c r="B3442" s="121">
        <v>24</v>
      </c>
      <c r="C3442" s="121">
        <v>27</v>
      </c>
      <c r="D3442" s="121">
        <v>8</v>
      </c>
      <c r="E3442" s="121">
        <v>1500</v>
      </c>
    </row>
    <row r="3443" spans="1:5" ht="15">
      <c r="A3443" s="120" t="s">
        <v>239</v>
      </c>
      <c r="B3443" s="121">
        <v>24</v>
      </c>
      <c r="C3443" s="121">
        <v>31</v>
      </c>
      <c r="D3443" s="121">
        <v>2</v>
      </c>
      <c r="E3443" s="121">
        <v>43057</v>
      </c>
    </row>
    <row r="3444" spans="1:5" ht="15">
      <c r="A3444" s="120" t="s">
        <v>239</v>
      </c>
      <c r="B3444" s="121">
        <v>24</v>
      </c>
      <c r="C3444" s="121">
        <v>31</v>
      </c>
      <c r="D3444" s="121">
        <v>4</v>
      </c>
      <c r="E3444" s="121">
        <v>7673</v>
      </c>
    </row>
    <row r="3445" spans="1:5" ht="15">
      <c r="A3445" s="120" t="s">
        <v>239</v>
      </c>
      <c r="B3445" s="121">
        <v>24</v>
      </c>
      <c r="C3445" s="121">
        <v>31</v>
      </c>
      <c r="D3445" s="121">
        <v>7</v>
      </c>
      <c r="E3445" s="121">
        <v>22200</v>
      </c>
    </row>
    <row r="3446" spans="1:5" ht="15">
      <c r="A3446" s="120" t="s">
        <v>239</v>
      </c>
      <c r="B3446" s="121">
        <v>24</v>
      </c>
      <c r="C3446" s="121">
        <v>31</v>
      </c>
      <c r="D3446" s="121">
        <v>8</v>
      </c>
      <c r="E3446" s="121">
        <v>10946</v>
      </c>
    </row>
    <row r="3447" spans="1:5" ht="15">
      <c r="A3447" s="120" t="s">
        <v>239</v>
      </c>
      <c r="B3447" s="121">
        <v>24</v>
      </c>
      <c r="C3447" s="121">
        <v>32</v>
      </c>
      <c r="D3447" s="121">
        <v>5</v>
      </c>
      <c r="E3447" s="121">
        <v>5000</v>
      </c>
    </row>
    <row r="3448" spans="1:5" ht="15">
      <c r="A3448" s="120" t="s">
        <v>239</v>
      </c>
      <c r="B3448" s="121">
        <v>24</v>
      </c>
      <c r="C3448" s="121">
        <v>33</v>
      </c>
      <c r="D3448" s="121">
        <v>5</v>
      </c>
      <c r="E3448" s="121">
        <v>15000</v>
      </c>
    </row>
    <row r="3449" spans="1:5" ht="15">
      <c r="A3449" s="120" t="s">
        <v>239</v>
      </c>
      <c r="B3449" s="121">
        <v>24</v>
      </c>
      <c r="C3449" s="121">
        <v>33</v>
      </c>
      <c r="D3449" s="121">
        <v>7</v>
      </c>
      <c r="E3449" s="121">
        <v>5000</v>
      </c>
    </row>
    <row r="3450" spans="1:5" ht="15">
      <c r="A3450" s="120" t="s">
        <v>425</v>
      </c>
      <c r="B3450" s="121">
        <v>21</v>
      </c>
      <c r="C3450" s="121">
        <v>21</v>
      </c>
      <c r="D3450" s="121">
        <v>2</v>
      </c>
      <c r="E3450" s="121">
        <v>168136</v>
      </c>
    </row>
    <row r="3451" spans="1:5" ht="15">
      <c r="A3451" s="120" t="s">
        <v>425</v>
      </c>
      <c r="B3451" s="121">
        <v>21</v>
      </c>
      <c r="C3451" s="121">
        <v>21</v>
      </c>
      <c r="D3451" s="121">
        <v>3</v>
      </c>
      <c r="E3451" s="121">
        <v>121301</v>
      </c>
    </row>
    <row r="3452" spans="1:5" ht="15">
      <c r="A3452" s="120" t="s">
        <v>425</v>
      </c>
      <c r="B3452" s="121">
        <v>21</v>
      </c>
      <c r="C3452" s="121">
        <v>21</v>
      </c>
      <c r="D3452" s="121">
        <v>4</v>
      </c>
      <c r="E3452" s="121">
        <v>121048</v>
      </c>
    </row>
    <row r="3453" spans="1:5" ht="15">
      <c r="A3453" s="120" t="s">
        <v>425</v>
      </c>
      <c r="B3453" s="121">
        <v>21</v>
      </c>
      <c r="C3453" s="121">
        <v>21</v>
      </c>
      <c r="D3453" s="121">
        <v>5</v>
      </c>
      <c r="E3453" s="121">
        <v>515</v>
      </c>
    </row>
    <row r="3454" spans="1:5" ht="15">
      <c r="A3454" s="120" t="s">
        <v>425</v>
      </c>
      <c r="B3454" s="121">
        <v>21</v>
      </c>
      <c r="C3454" s="121">
        <v>21</v>
      </c>
      <c r="D3454" s="121">
        <v>7</v>
      </c>
      <c r="E3454" s="121">
        <v>20600</v>
      </c>
    </row>
    <row r="3455" spans="1:5" ht="15">
      <c r="A3455" s="120" t="s">
        <v>425</v>
      </c>
      <c r="B3455" s="121">
        <v>21</v>
      </c>
      <c r="C3455" s="121">
        <v>21</v>
      </c>
      <c r="D3455" s="121">
        <v>8</v>
      </c>
      <c r="E3455" s="121">
        <v>1030</v>
      </c>
    </row>
    <row r="3456" spans="1:5" ht="15">
      <c r="A3456" s="120" t="s">
        <v>425</v>
      </c>
      <c r="B3456" s="121">
        <v>21</v>
      </c>
      <c r="C3456" s="121">
        <v>26</v>
      </c>
      <c r="D3456" s="121">
        <v>2</v>
      </c>
      <c r="E3456" s="121">
        <v>358935</v>
      </c>
    </row>
    <row r="3457" spans="1:5" ht="15">
      <c r="A3457" s="120" t="s">
        <v>425</v>
      </c>
      <c r="B3457" s="121">
        <v>21</v>
      </c>
      <c r="C3457" s="121">
        <v>26</v>
      </c>
      <c r="D3457" s="121">
        <v>3</v>
      </c>
      <c r="E3457" s="121">
        <v>68558</v>
      </c>
    </row>
    <row r="3458" spans="1:5" ht="15">
      <c r="A3458" s="120" t="s">
        <v>425</v>
      </c>
      <c r="B3458" s="121">
        <v>21</v>
      </c>
      <c r="C3458" s="121">
        <v>26</v>
      </c>
      <c r="D3458" s="121">
        <v>4</v>
      </c>
      <c r="E3458" s="121">
        <v>174487</v>
      </c>
    </row>
    <row r="3459" spans="1:5" ht="15">
      <c r="A3459" s="120" t="s">
        <v>425</v>
      </c>
      <c r="B3459" s="121">
        <v>21</v>
      </c>
      <c r="C3459" s="121">
        <v>26</v>
      </c>
      <c r="D3459" s="121">
        <v>7</v>
      </c>
      <c r="E3459" s="121">
        <v>566500</v>
      </c>
    </row>
    <row r="3460" spans="1:5" ht="15">
      <c r="A3460" s="120" t="s">
        <v>425</v>
      </c>
      <c r="B3460" s="121">
        <v>21</v>
      </c>
      <c r="C3460" s="121">
        <v>27</v>
      </c>
      <c r="D3460" s="121">
        <v>2</v>
      </c>
      <c r="E3460" s="121">
        <v>1305110</v>
      </c>
    </row>
    <row r="3461" spans="1:5" ht="15">
      <c r="A3461" s="120" t="s">
        <v>425</v>
      </c>
      <c r="B3461" s="121">
        <v>21</v>
      </c>
      <c r="C3461" s="121">
        <v>27</v>
      </c>
      <c r="D3461" s="121">
        <v>3</v>
      </c>
      <c r="E3461" s="121">
        <v>740914</v>
      </c>
    </row>
    <row r="3462" spans="1:5" ht="15">
      <c r="A3462" s="120" t="s">
        <v>425</v>
      </c>
      <c r="B3462" s="121">
        <v>21</v>
      </c>
      <c r="C3462" s="121">
        <v>27</v>
      </c>
      <c r="D3462" s="121">
        <v>4</v>
      </c>
      <c r="E3462" s="121">
        <v>910986</v>
      </c>
    </row>
    <row r="3463" spans="1:5" ht="15">
      <c r="A3463" s="120" t="s">
        <v>425</v>
      </c>
      <c r="B3463" s="121">
        <v>21</v>
      </c>
      <c r="C3463" s="121">
        <v>27</v>
      </c>
      <c r="D3463" s="121">
        <v>5</v>
      </c>
      <c r="E3463" s="121">
        <v>18540</v>
      </c>
    </row>
    <row r="3464" spans="1:5" ht="15">
      <c r="A3464" s="120" t="s">
        <v>425</v>
      </c>
      <c r="B3464" s="121">
        <v>21</v>
      </c>
      <c r="C3464" s="121">
        <v>27</v>
      </c>
      <c r="D3464" s="121">
        <v>7</v>
      </c>
      <c r="E3464" s="121">
        <v>275010</v>
      </c>
    </row>
    <row r="3465" spans="1:5" ht="15">
      <c r="A3465" s="120" t="s">
        <v>425</v>
      </c>
      <c r="B3465" s="121">
        <v>21</v>
      </c>
      <c r="C3465" s="121">
        <v>27</v>
      </c>
      <c r="D3465" s="121">
        <v>8</v>
      </c>
      <c r="E3465" s="121">
        <v>2000</v>
      </c>
    </row>
    <row r="3466" spans="1:5" ht="15">
      <c r="A3466" s="120" t="s">
        <v>425</v>
      </c>
      <c r="B3466" s="121">
        <v>21</v>
      </c>
      <c r="C3466" s="121">
        <v>31</v>
      </c>
      <c r="D3466" s="121">
        <v>7</v>
      </c>
      <c r="E3466" s="121">
        <v>1030</v>
      </c>
    </row>
    <row r="3467" spans="1:5" ht="15">
      <c r="A3467" s="120" t="s">
        <v>425</v>
      </c>
      <c r="B3467" s="121">
        <v>24</v>
      </c>
      <c r="C3467" s="121">
        <v>27</v>
      </c>
      <c r="D3467" s="121">
        <v>2</v>
      </c>
      <c r="E3467" s="121">
        <v>111906</v>
      </c>
    </row>
    <row r="3468" spans="1:5" ht="15">
      <c r="A3468" s="120" t="s">
        <v>425</v>
      </c>
      <c r="B3468" s="121">
        <v>24</v>
      </c>
      <c r="C3468" s="121">
        <v>27</v>
      </c>
      <c r="D3468" s="121">
        <v>3</v>
      </c>
      <c r="E3468" s="121">
        <v>262485</v>
      </c>
    </row>
    <row r="3469" spans="1:5" ht="15">
      <c r="A3469" s="120" t="s">
        <v>425</v>
      </c>
      <c r="B3469" s="121">
        <v>24</v>
      </c>
      <c r="C3469" s="121">
        <v>27</v>
      </c>
      <c r="D3469" s="121">
        <v>4</v>
      </c>
      <c r="E3469" s="121">
        <v>243399</v>
      </c>
    </row>
    <row r="3470" spans="1:5" ht="15">
      <c r="A3470" s="120" t="s">
        <v>425</v>
      </c>
      <c r="B3470" s="121">
        <v>24</v>
      </c>
      <c r="C3470" s="121">
        <v>27</v>
      </c>
      <c r="D3470" s="121">
        <v>5</v>
      </c>
      <c r="E3470" s="121">
        <v>15000</v>
      </c>
    </row>
    <row r="3471" spans="1:5" ht="15">
      <c r="A3471" s="120" t="s">
        <v>425</v>
      </c>
      <c r="B3471" s="121">
        <v>24</v>
      </c>
      <c r="C3471" s="121">
        <v>27</v>
      </c>
      <c r="D3471" s="121">
        <v>7</v>
      </c>
      <c r="E3471" s="121">
        <v>15000</v>
      </c>
    </row>
    <row r="3472" spans="1:5" ht="15">
      <c r="A3472" s="120" t="s">
        <v>425</v>
      </c>
      <c r="B3472" s="121">
        <v>24</v>
      </c>
      <c r="C3472" s="121">
        <v>27</v>
      </c>
      <c r="D3472" s="121">
        <v>8</v>
      </c>
      <c r="E3472" s="121">
        <v>12360</v>
      </c>
    </row>
    <row r="3473" spans="1:5" ht="15">
      <c r="A3473" s="120" t="s">
        <v>383</v>
      </c>
      <c r="B3473" s="121">
        <v>21</v>
      </c>
      <c r="C3473" s="121">
        <v>21</v>
      </c>
      <c r="D3473" s="121">
        <v>2</v>
      </c>
      <c r="E3473" s="121">
        <v>106515</v>
      </c>
    </row>
    <row r="3474" spans="1:5" ht="15">
      <c r="A3474" s="120" t="s">
        <v>383</v>
      </c>
      <c r="B3474" s="121">
        <v>21</v>
      </c>
      <c r="C3474" s="121">
        <v>21</v>
      </c>
      <c r="D3474" s="121">
        <v>4</v>
      </c>
      <c r="E3474" s="121">
        <v>28478</v>
      </c>
    </row>
    <row r="3475" spans="1:5" ht="15">
      <c r="A3475" s="120" t="s">
        <v>383</v>
      </c>
      <c r="B3475" s="121">
        <v>21</v>
      </c>
      <c r="C3475" s="121">
        <v>26</v>
      </c>
      <c r="D3475" s="121">
        <v>2</v>
      </c>
      <c r="E3475" s="121">
        <v>126488</v>
      </c>
    </row>
    <row r="3476" spans="1:5" ht="15">
      <c r="A3476" s="120" t="s">
        <v>383</v>
      </c>
      <c r="B3476" s="121">
        <v>21</v>
      </c>
      <c r="C3476" s="121">
        <v>26</v>
      </c>
      <c r="D3476" s="121">
        <v>3</v>
      </c>
      <c r="E3476" s="121">
        <v>14651</v>
      </c>
    </row>
    <row r="3477" spans="1:5" ht="15">
      <c r="A3477" s="120" t="s">
        <v>383</v>
      </c>
      <c r="B3477" s="121">
        <v>21</v>
      </c>
      <c r="C3477" s="121">
        <v>26</v>
      </c>
      <c r="D3477" s="121">
        <v>4</v>
      </c>
      <c r="E3477" s="121">
        <v>40430</v>
      </c>
    </row>
    <row r="3478" spans="1:5" ht="15">
      <c r="A3478" s="120" t="s">
        <v>383</v>
      </c>
      <c r="B3478" s="121">
        <v>21</v>
      </c>
      <c r="C3478" s="121">
        <v>26</v>
      </c>
      <c r="D3478" s="121">
        <v>5</v>
      </c>
      <c r="E3478" s="121">
        <v>4000</v>
      </c>
    </row>
    <row r="3479" spans="1:5" ht="15">
      <c r="A3479" s="120" t="s">
        <v>383</v>
      </c>
      <c r="B3479" s="121">
        <v>21</v>
      </c>
      <c r="C3479" s="121">
        <v>26</v>
      </c>
      <c r="D3479" s="121">
        <v>7</v>
      </c>
      <c r="E3479" s="121">
        <v>300000</v>
      </c>
    </row>
    <row r="3480" spans="1:5" ht="15">
      <c r="A3480" s="120" t="s">
        <v>383</v>
      </c>
      <c r="B3480" s="121">
        <v>21</v>
      </c>
      <c r="C3480" s="121">
        <v>27</v>
      </c>
      <c r="D3480" s="121">
        <v>2</v>
      </c>
      <c r="E3480" s="121">
        <v>594158</v>
      </c>
    </row>
    <row r="3481" spans="1:5" ht="15">
      <c r="A3481" s="120" t="s">
        <v>383</v>
      </c>
      <c r="B3481" s="121">
        <v>21</v>
      </c>
      <c r="C3481" s="121">
        <v>27</v>
      </c>
      <c r="D3481" s="121">
        <v>3</v>
      </c>
      <c r="E3481" s="121">
        <v>659077</v>
      </c>
    </row>
    <row r="3482" spans="1:5" ht="15">
      <c r="A3482" s="120" t="s">
        <v>383</v>
      </c>
      <c r="B3482" s="121">
        <v>21</v>
      </c>
      <c r="C3482" s="121">
        <v>27</v>
      </c>
      <c r="D3482" s="121">
        <v>4</v>
      </c>
      <c r="E3482" s="121">
        <v>508284</v>
      </c>
    </row>
    <row r="3483" spans="1:5" ht="15">
      <c r="A3483" s="120" t="s">
        <v>383</v>
      </c>
      <c r="B3483" s="121">
        <v>21</v>
      </c>
      <c r="C3483" s="121">
        <v>27</v>
      </c>
      <c r="D3483" s="121">
        <v>5</v>
      </c>
      <c r="E3483" s="121">
        <v>10000</v>
      </c>
    </row>
    <row r="3484" spans="1:5" ht="15">
      <c r="A3484" s="120" t="s">
        <v>383</v>
      </c>
      <c r="B3484" s="121">
        <v>21</v>
      </c>
      <c r="C3484" s="121">
        <v>27</v>
      </c>
      <c r="D3484" s="121">
        <v>7</v>
      </c>
      <c r="E3484" s="121">
        <v>8000</v>
      </c>
    </row>
    <row r="3485" spans="1:5" ht="15">
      <c r="A3485" s="120" t="s">
        <v>383</v>
      </c>
      <c r="B3485" s="121">
        <v>21</v>
      </c>
      <c r="C3485" s="121">
        <v>31</v>
      </c>
      <c r="D3485" s="121">
        <v>2</v>
      </c>
      <c r="E3485" s="121">
        <v>9017</v>
      </c>
    </row>
    <row r="3486" spans="1:5" ht="15">
      <c r="A3486" s="120" t="s">
        <v>383</v>
      </c>
      <c r="B3486" s="121">
        <v>21</v>
      </c>
      <c r="C3486" s="121">
        <v>31</v>
      </c>
      <c r="D3486" s="121">
        <v>4</v>
      </c>
      <c r="E3486" s="121">
        <v>2935</v>
      </c>
    </row>
    <row r="3487" spans="1:5" ht="15">
      <c r="A3487" s="120" t="s">
        <v>383</v>
      </c>
      <c r="B3487" s="121">
        <v>21</v>
      </c>
      <c r="C3487" s="121">
        <v>31</v>
      </c>
      <c r="D3487" s="121">
        <v>7</v>
      </c>
      <c r="E3487" s="121">
        <v>3000</v>
      </c>
    </row>
    <row r="3488" spans="1:5" ht="15">
      <c r="A3488" s="120" t="s">
        <v>383</v>
      </c>
      <c r="B3488" s="121">
        <v>21</v>
      </c>
      <c r="C3488" s="121">
        <v>31</v>
      </c>
      <c r="D3488" s="121">
        <v>8</v>
      </c>
      <c r="E3488" s="121">
        <v>1000</v>
      </c>
    </row>
    <row r="3489" spans="1:5" ht="15">
      <c r="A3489" s="120" t="s">
        <v>383</v>
      </c>
      <c r="B3489" s="121">
        <v>24</v>
      </c>
      <c r="C3489" s="121">
        <v>27</v>
      </c>
      <c r="D3489" s="121">
        <v>2</v>
      </c>
      <c r="E3489" s="121">
        <v>119830</v>
      </c>
    </row>
    <row r="3490" spans="1:5" ht="15">
      <c r="A3490" s="120" t="s">
        <v>383</v>
      </c>
      <c r="B3490" s="121">
        <v>24</v>
      </c>
      <c r="C3490" s="121">
        <v>27</v>
      </c>
      <c r="D3490" s="121">
        <v>4</v>
      </c>
      <c r="E3490" s="121">
        <v>37389</v>
      </c>
    </row>
    <row r="3491" spans="1:5" ht="15">
      <c r="A3491" s="120" t="s">
        <v>383</v>
      </c>
      <c r="B3491" s="121">
        <v>24</v>
      </c>
      <c r="C3491" s="121">
        <v>31</v>
      </c>
      <c r="D3491" s="121">
        <v>2</v>
      </c>
      <c r="E3491" s="121">
        <v>1925</v>
      </c>
    </row>
    <row r="3492" spans="1:5" ht="15">
      <c r="A3492" s="120" t="s">
        <v>383</v>
      </c>
      <c r="B3492" s="121">
        <v>24</v>
      </c>
      <c r="C3492" s="121">
        <v>31</v>
      </c>
      <c r="D3492" s="121">
        <v>4</v>
      </c>
      <c r="E3492" s="121">
        <v>598</v>
      </c>
    </row>
    <row r="3493" spans="1:5" ht="15">
      <c r="A3493" s="120" t="s">
        <v>343</v>
      </c>
      <c r="B3493" s="121">
        <v>21</v>
      </c>
      <c r="C3493" s="121">
        <v>21</v>
      </c>
      <c r="D3493" s="121">
        <v>2</v>
      </c>
      <c r="E3493" s="121">
        <v>137297</v>
      </c>
    </row>
    <row r="3494" spans="1:5" ht="15">
      <c r="A3494" s="120" t="s">
        <v>343</v>
      </c>
      <c r="B3494" s="121">
        <v>21</v>
      </c>
      <c r="C3494" s="121">
        <v>21</v>
      </c>
      <c r="D3494" s="121">
        <v>3</v>
      </c>
      <c r="E3494" s="121">
        <v>42464</v>
      </c>
    </row>
    <row r="3495" spans="1:5" ht="15">
      <c r="A3495" s="120" t="s">
        <v>343</v>
      </c>
      <c r="B3495" s="121">
        <v>21</v>
      </c>
      <c r="C3495" s="121">
        <v>21</v>
      </c>
      <c r="D3495" s="121">
        <v>4</v>
      </c>
      <c r="E3495" s="121">
        <v>49662</v>
      </c>
    </row>
    <row r="3496" spans="1:5" ht="15">
      <c r="A3496" s="120" t="s">
        <v>343</v>
      </c>
      <c r="B3496" s="121">
        <v>21</v>
      </c>
      <c r="C3496" s="121">
        <v>26</v>
      </c>
      <c r="D3496" s="121">
        <v>2</v>
      </c>
      <c r="E3496" s="121">
        <v>920392</v>
      </c>
    </row>
    <row r="3497" spans="1:5" ht="15">
      <c r="A3497" s="120" t="s">
        <v>343</v>
      </c>
      <c r="B3497" s="121">
        <v>21</v>
      </c>
      <c r="C3497" s="121">
        <v>26</v>
      </c>
      <c r="D3497" s="121">
        <v>3</v>
      </c>
      <c r="E3497" s="121">
        <v>74780</v>
      </c>
    </row>
    <row r="3498" spans="1:5" ht="15">
      <c r="A3498" s="120" t="s">
        <v>343</v>
      </c>
      <c r="B3498" s="121">
        <v>21</v>
      </c>
      <c r="C3498" s="121">
        <v>26</v>
      </c>
      <c r="D3498" s="121">
        <v>4</v>
      </c>
      <c r="E3498" s="121">
        <v>335482</v>
      </c>
    </row>
    <row r="3499" spans="1:5" ht="15">
      <c r="A3499" s="120" t="s">
        <v>343</v>
      </c>
      <c r="B3499" s="121">
        <v>21</v>
      </c>
      <c r="C3499" s="121">
        <v>26</v>
      </c>
      <c r="D3499" s="121">
        <v>7</v>
      </c>
      <c r="E3499" s="121">
        <v>200000</v>
      </c>
    </row>
    <row r="3500" spans="1:5" ht="15">
      <c r="A3500" s="120" t="s">
        <v>343</v>
      </c>
      <c r="B3500" s="121">
        <v>21</v>
      </c>
      <c r="C3500" s="121">
        <v>27</v>
      </c>
      <c r="D3500" s="121">
        <v>0</v>
      </c>
      <c r="E3500" s="121">
        <v>6000</v>
      </c>
    </row>
    <row r="3501" spans="1:5" ht="15">
      <c r="A3501" s="120" t="s">
        <v>343</v>
      </c>
      <c r="B3501" s="121">
        <v>21</v>
      </c>
      <c r="C3501" s="121">
        <v>27</v>
      </c>
      <c r="D3501" s="121">
        <v>2</v>
      </c>
      <c r="E3501" s="121">
        <v>1288048</v>
      </c>
    </row>
    <row r="3502" spans="1:5" ht="15">
      <c r="A3502" s="120" t="s">
        <v>343</v>
      </c>
      <c r="B3502" s="121">
        <v>21</v>
      </c>
      <c r="C3502" s="121">
        <v>27</v>
      </c>
      <c r="D3502" s="121">
        <v>3</v>
      </c>
      <c r="E3502" s="121">
        <v>1130815</v>
      </c>
    </row>
    <row r="3503" spans="1:5" ht="15">
      <c r="A3503" s="120" t="s">
        <v>343</v>
      </c>
      <c r="B3503" s="121">
        <v>21</v>
      </c>
      <c r="C3503" s="121">
        <v>27</v>
      </c>
      <c r="D3503" s="121">
        <v>4</v>
      </c>
      <c r="E3503" s="121">
        <v>1136266</v>
      </c>
    </row>
    <row r="3504" spans="1:5" ht="15">
      <c r="A3504" s="120" t="s">
        <v>343</v>
      </c>
      <c r="B3504" s="121">
        <v>21</v>
      </c>
      <c r="C3504" s="121">
        <v>27</v>
      </c>
      <c r="D3504" s="121">
        <v>5</v>
      </c>
      <c r="E3504" s="121">
        <v>30000</v>
      </c>
    </row>
    <row r="3505" spans="1:5" ht="15">
      <c r="A3505" s="120" t="s">
        <v>343</v>
      </c>
      <c r="B3505" s="121">
        <v>21</v>
      </c>
      <c r="C3505" s="121">
        <v>27</v>
      </c>
      <c r="D3505" s="121">
        <v>7</v>
      </c>
      <c r="E3505" s="121">
        <v>117236</v>
      </c>
    </row>
    <row r="3506" spans="1:5" ht="15">
      <c r="A3506" s="120" t="s">
        <v>343</v>
      </c>
      <c r="B3506" s="121">
        <v>21</v>
      </c>
      <c r="C3506" s="121">
        <v>27</v>
      </c>
      <c r="D3506" s="121">
        <v>8</v>
      </c>
      <c r="E3506" s="121">
        <v>4000</v>
      </c>
    </row>
    <row r="3507" spans="1:5" ht="15">
      <c r="A3507" s="120" t="s">
        <v>343</v>
      </c>
      <c r="B3507" s="121">
        <v>21</v>
      </c>
      <c r="C3507" s="121">
        <v>31</v>
      </c>
      <c r="D3507" s="121">
        <v>2</v>
      </c>
      <c r="E3507" s="121">
        <v>35950</v>
      </c>
    </row>
    <row r="3508" spans="1:5" ht="15">
      <c r="A3508" s="120" t="s">
        <v>343</v>
      </c>
      <c r="B3508" s="121">
        <v>21</v>
      </c>
      <c r="C3508" s="121">
        <v>31</v>
      </c>
      <c r="D3508" s="121">
        <v>4</v>
      </c>
      <c r="E3508" s="121">
        <v>5746</v>
      </c>
    </row>
    <row r="3509" spans="1:5" ht="15">
      <c r="A3509" s="120" t="s">
        <v>343</v>
      </c>
      <c r="B3509" s="121">
        <v>21</v>
      </c>
      <c r="C3509" s="121">
        <v>31</v>
      </c>
      <c r="D3509" s="121">
        <v>7</v>
      </c>
      <c r="E3509" s="121">
        <v>1500</v>
      </c>
    </row>
    <row r="3510" spans="1:5" ht="15">
      <c r="A3510" s="120" t="s">
        <v>343</v>
      </c>
      <c r="B3510" s="121">
        <v>21</v>
      </c>
      <c r="C3510" s="121">
        <v>31</v>
      </c>
      <c r="D3510" s="121">
        <v>8</v>
      </c>
      <c r="E3510" s="121">
        <v>500</v>
      </c>
    </row>
    <row r="3511" spans="1:5" ht="15">
      <c r="A3511" s="120" t="s">
        <v>343</v>
      </c>
      <c r="B3511" s="121">
        <v>21</v>
      </c>
      <c r="C3511" s="121">
        <v>33</v>
      </c>
      <c r="D3511" s="121">
        <v>5</v>
      </c>
      <c r="E3511" s="121">
        <v>1499</v>
      </c>
    </row>
    <row r="3512" spans="1:5" ht="15">
      <c r="A3512" s="120" t="s">
        <v>343</v>
      </c>
      <c r="B3512" s="121">
        <v>21</v>
      </c>
      <c r="C3512" s="121">
        <v>34</v>
      </c>
      <c r="D3512" s="121">
        <v>2</v>
      </c>
      <c r="E3512" s="121">
        <v>35379</v>
      </c>
    </row>
    <row r="3513" spans="1:5" ht="15">
      <c r="A3513" s="120" t="s">
        <v>343</v>
      </c>
      <c r="B3513" s="121">
        <v>21</v>
      </c>
      <c r="C3513" s="121">
        <v>34</v>
      </c>
      <c r="D3513" s="121">
        <v>4</v>
      </c>
      <c r="E3513" s="121">
        <v>12084</v>
      </c>
    </row>
    <row r="3514" spans="1:5" ht="15">
      <c r="A3514" s="120" t="s">
        <v>343</v>
      </c>
      <c r="B3514" s="121">
        <v>24</v>
      </c>
      <c r="C3514" s="121">
        <v>27</v>
      </c>
      <c r="D3514" s="121">
        <v>2</v>
      </c>
      <c r="E3514" s="121">
        <v>224744</v>
      </c>
    </row>
    <row r="3515" spans="1:5" ht="15">
      <c r="A3515" s="120" t="s">
        <v>343</v>
      </c>
      <c r="B3515" s="121">
        <v>24</v>
      </c>
      <c r="C3515" s="121">
        <v>27</v>
      </c>
      <c r="D3515" s="121">
        <v>3</v>
      </c>
      <c r="E3515" s="121">
        <v>61856</v>
      </c>
    </row>
    <row r="3516" spans="1:5" ht="15">
      <c r="A3516" s="120" t="s">
        <v>343</v>
      </c>
      <c r="B3516" s="121">
        <v>24</v>
      </c>
      <c r="C3516" s="121">
        <v>27</v>
      </c>
      <c r="D3516" s="121">
        <v>4</v>
      </c>
      <c r="E3516" s="121">
        <v>123669</v>
      </c>
    </row>
    <row r="3517" spans="1:5" ht="15">
      <c r="A3517" s="120" t="s">
        <v>343</v>
      </c>
      <c r="B3517" s="121">
        <v>24</v>
      </c>
      <c r="C3517" s="121">
        <v>27</v>
      </c>
      <c r="D3517" s="121">
        <v>5</v>
      </c>
      <c r="E3517" s="121">
        <v>2629</v>
      </c>
    </row>
    <row r="3518" spans="1:5" ht="15">
      <c r="A3518" s="120" t="s">
        <v>343</v>
      </c>
      <c r="B3518" s="121">
        <v>24</v>
      </c>
      <c r="C3518" s="121">
        <v>31</v>
      </c>
      <c r="D3518" s="121">
        <v>2</v>
      </c>
      <c r="E3518" s="121">
        <v>3620</v>
      </c>
    </row>
    <row r="3519" spans="1:5" ht="15">
      <c r="A3519" s="120" t="s">
        <v>343</v>
      </c>
      <c r="B3519" s="121">
        <v>24</v>
      </c>
      <c r="C3519" s="121">
        <v>31</v>
      </c>
      <c r="D3519" s="121">
        <v>4</v>
      </c>
      <c r="E3519" s="121">
        <v>583</v>
      </c>
    </row>
    <row r="3520" spans="1:5" ht="15">
      <c r="A3520" s="120" t="s">
        <v>361</v>
      </c>
      <c r="B3520" s="121">
        <v>21</v>
      </c>
      <c r="C3520" s="121">
        <v>21</v>
      </c>
      <c r="D3520" s="121">
        <v>2</v>
      </c>
      <c r="E3520" s="121">
        <v>453696</v>
      </c>
    </row>
    <row r="3521" spans="1:5" ht="15">
      <c r="A3521" s="120" t="s">
        <v>361</v>
      </c>
      <c r="B3521" s="121">
        <v>21</v>
      </c>
      <c r="C3521" s="121">
        <v>21</v>
      </c>
      <c r="D3521" s="121">
        <v>3</v>
      </c>
      <c r="E3521" s="121">
        <v>187745</v>
      </c>
    </row>
    <row r="3522" spans="1:5" ht="15">
      <c r="A3522" s="120" t="s">
        <v>361</v>
      </c>
      <c r="B3522" s="121">
        <v>21</v>
      </c>
      <c r="C3522" s="121">
        <v>21</v>
      </c>
      <c r="D3522" s="121">
        <v>4</v>
      </c>
      <c r="E3522" s="121">
        <v>178516</v>
      </c>
    </row>
    <row r="3523" spans="1:5" ht="15">
      <c r="A3523" s="120" t="s">
        <v>403</v>
      </c>
      <c r="B3523" s="121">
        <v>21</v>
      </c>
      <c r="C3523" s="121">
        <v>21</v>
      </c>
      <c r="D3523" s="121">
        <v>2</v>
      </c>
      <c r="E3523" s="121">
        <v>9000</v>
      </c>
    </row>
    <row r="3524" spans="1:5" ht="15">
      <c r="A3524" s="120" t="s">
        <v>403</v>
      </c>
      <c r="B3524" s="121">
        <v>21</v>
      </c>
      <c r="C3524" s="121">
        <v>21</v>
      </c>
      <c r="D3524" s="121">
        <v>4</v>
      </c>
      <c r="E3524" s="121">
        <v>1923</v>
      </c>
    </row>
    <row r="3525" spans="1:5" ht="15">
      <c r="A3525" s="120" t="s">
        <v>361</v>
      </c>
      <c r="B3525" s="121">
        <v>21</v>
      </c>
      <c r="C3525" s="121">
        <v>26</v>
      </c>
      <c r="D3525" s="121">
        <v>2</v>
      </c>
      <c r="E3525" s="121">
        <v>2916551</v>
      </c>
    </row>
    <row r="3526" spans="1:5" ht="15">
      <c r="A3526" s="120" t="s">
        <v>361</v>
      </c>
      <c r="B3526" s="121">
        <v>21</v>
      </c>
      <c r="C3526" s="121">
        <v>26</v>
      </c>
      <c r="D3526" s="121">
        <v>3</v>
      </c>
      <c r="E3526" s="121">
        <v>163611</v>
      </c>
    </row>
    <row r="3527" spans="1:5" ht="15">
      <c r="A3527" s="120" t="s">
        <v>361</v>
      </c>
      <c r="B3527" s="121">
        <v>21</v>
      </c>
      <c r="C3527" s="121">
        <v>26</v>
      </c>
      <c r="D3527" s="121">
        <v>4</v>
      </c>
      <c r="E3527" s="121">
        <v>965931</v>
      </c>
    </row>
    <row r="3528" spans="1:5" ht="15">
      <c r="A3528" s="120" t="s">
        <v>361</v>
      </c>
      <c r="B3528" s="121">
        <v>21</v>
      </c>
      <c r="C3528" s="121">
        <v>26</v>
      </c>
      <c r="D3528" s="121">
        <v>7</v>
      </c>
      <c r="E3528" s="121">
        <v>1000742</v>
      </c>
    </row>
    <row r="3529" spans="1:5" ht="15">
      <c r="A3529" s="120" t="s">
        <v>361</v>
      </c>
      <c r="B3529" s="121">
        <v>21</v>
      </c>
      <c r="C3529" s="121">
        <v>27</v>
      </c>
      <c r="D3529" s="121">
        <v>2</v>
      </c>
      <c r="E3529" s="121">
        <v>7129897</v>
      </c>
    </row>
    <row r="3530" spans="1:5" ht="15">
      <c r="A3530" s="120" t="s">
        <v>361</v>
      </c>
      <c r="B3530" s="121">
        <v>21</v>
      </c>
      <c r="C3530" s="121">
        <v>27</v>
      </c>
      <c r="D3530" s="121">
        <v>3</v>
      </c>
      <c r="E3530" s="121">
        <v>4558089</v>
      </c>
    </row>
    <row r="3531" spans="1:5" ht="15">
      <c r="A3531" s="120" t="s">
        <v>361</v>
      </c>
      <c r="B3531" s="121">
        <v>21</v>
      </c>
      <c r="C3531" s="121">
        <v>27</v>
      </c>
      <c r="D3531" s="121">
        <v>4</v>
      </c>
      <c r="E3531" s="121">
        <v>4528987</v>
      </c>
    </row>
    <row r="3532" spans="1:5" ht="15">
      <c r="A3532" s="120" t="s">
        <v>361</v>
      </c>
      <c r="B3532" s="121">
        <v>21</v>
      </c>
      <c r="C3532" s="121">
        <v>31</v>
      </c>
      <c r="D3532" s="121">
        <v>2</v>
      </c>
      <c r="E3532" s="121">
        <v>428648</v>
      </c>
    </row>
    <row r="3533" spans="1:5" ht="15">
      <c r="A3533" s="120" t="s">
        <v>361</v>
      </c>
      <c r="B3533" s="121">
        <v>21</v>
      </c>
      <c r="C3533" s="121">
        <v>31</v>
      </c>
      <c r="D3533" s="121">
        <v>4</v>
      </c>
      <c r="E3533" s="121">
        <v>82910</v>
      </c>
    </row>
    <row r="3534" spans="1:5" ht="15">
      <c r="A3534" s="120" t="s">
        <v>361</v>
      </c>
      <c r="B3534" s="121">
        <v>21</v>
      </c>
      <c r="C3534" s="121">
        <v>34</v>
      </c>
      <c r="D3534" s="121">
        <v>2</v>
      </c>
      <c r="E3534" s="121">
        <v>157867</v>
      </c>
    </row>
    <row r="3535" spans="1:5" ht="15">
      <c r="A3535" s="120" t="s">
        <v>361</v>
      </c>
      <c r="B3535" s="121">
        <v>21</v>
      </c>
      <c r="C3535" s="121">
        <v>34</v>
      </c>
      <c r="D3535" s="121">
        <v>4</v>
      </c>
      <c r="E3535" s="121">
        <v>48504</v>
      </c>
    </row>
    <row r="3536" spans="1:5" ht="15">
      <c r="A3536" s="120" t="s">
        <v>403</v>
      </c>
      <c r="B3536" s="121">
        <v>21</v>
      </c>
      <c r="C3536" s="121">
        <v>26</v>
      </c>
      <c r="D3536" s="121">
        <v>2</v>
      </c>
      <c r="E3536" s="121">
        <v>89365</v>
      </c>
    </row>
    <row r="3537" spans="1:5" ht="15">
      <c r="A3537" s="120" t="s">
        <v>403</v>
      </c>
      <c r="B3537" s="121">
        <v>21</v>
      </c>
      <c r="C3537" s="121">
        <v>26</v>
      </c>
      <c r="D3537" s="121">
        <v>4</v>
      </c>
      <c r="E3537" s="121">
        <v>28244</v>
      </c>
    </row>
    <row r="3538" spans="1:5" ht="15">
      <c r="A3538" s="120" t="s">
        <v>403</v>
      </c>
      <c r="B3538" s="121">
        <v>21</v>
      </c>
      <c r="C3538" s="121">
        <v>26</v>
      </c>
      <c r="D3538" s="121">
        <v>5</v>
      </c>
      <c r="E3538" s="121">
        <v>700</v>
      </c>
    </row>
    <row r="3539" spans="1:5" ht="15">
      <c r="A3539" s="120" t="s">
        <v>403</v>
      </c>
      <c r="B3539" s="121">
        <v>21</v>
      </c>
      <c r="C3539" s="121">
        <v>26</v>
      </c>
      <c r="D3539" s="121">
        <v>7</v>
      </c>
      <c r="E3539" s="121">
        <v>21300</v>
      </c>
    </row>
    <row r="3540" spans="1:5" ht="15">
      <c r="A3540" s="120" t="s">
        <v>403</v>
      </c>
      <c r="B3540" s="121">
        <v>21</v>
      </c>
      <c r="C3540" s="121">
        <v>27</v>
      </c>
      <c r="D3540" s="121">
        <v>2</v>
      </c>
      <c r="E3540" s="121">
        <v>95589</v>
      </c>
    </row>
    <row r="3541" spans="1:5" ht="15">
      <c r="A3541" s="120" t="s">
        <v>403</v>
      </c>
      <c r="B3541" s="121">
        <v>21</v>
      </c>
      <c r="C3541" s="121">
        <v>27</v>
      </c>
      <c r="D3541" s="121">
        <v>3</v>
      </c>
      <c r="E3541" s="121">
        <v>164379</v>
      </c>
    </row>
    <row r="3542" spans="1:5" ht="15">
      <c r="A3542" s="120" t="s">
        <v>403</v>
      </c>
      <c r="B3542" s="121">
        <v>21</v>
      </c>
      <c r="C3542" s="121">
        <v>27</v>
      </c>
      <c r="D3542" s="121">
        <v>4</v>
      </c>
      <c r="E3542" s="121">
        <v>141142</v>
      </c>
    </row>
    <row r="3543" spans="1:5" ht="15">
      <c r="A3543" s="120" t="s">
        <v>403</v>
      </c>
      <c r="B3543" s="121">
        <v>21</v>
      </c>
      <c r="C3543" s="121">
        <v>27</v>
      </c>
      <c r="D3543" s="121">
        <v>5</v>
      </c>
      <c r="E3543" s="121">
        <v>6800</v>
      </c>
    </row>
    <row r="3544" spans="1:5" ht="15">
      <c r="A3544" s="120" t="s">
        <v>403</v>
      </c>
      <c r="B3544" s="121">
        <v>21</v>
      </c>
      <c r="C3544" s="121">
        <v>27</v>
      </c>
      <c r="D3544" s="121">
        <v>7</v>
      </c>
      <c r="E3544" s="121">
        <v>4000</v>
      </c>
    </row>
    <row r="3545" spans="1:5" ht="15">
      <c r="A3545" s="120" t="s">
        <v>403</v>
      </c>
      <c r="B3545" s="121">
        <v>21</v>
      </c>
      <c r="C3545" s="121">
        <v>27</v>
      </c>
      <c r="D3545" s="121">
        <v>8</v>
      </c>
      <c r="E3545" s="121">
        <v>700</v>
      </c>
    </row>
    <row r="3546" spans="1:5" ht="15">
      <c r="A3546" s="120" t="s">
        <v>403</v>
      </c>
      <c r="B3546" s="121">
        <v>21</v>
      </c>
      <c r="C3546" s="121">
        <v>31</v>
      </c>
      <c r="D3546" s="121">
        <v>3</v>
      </c>
      <c r="E3546" s="121">
        <v>1880</v>
      </c>
    </row>
    <row r="3547" spans="1:5" ht="15">
      <c r="A3547" s="120" t="s">
        <v>403</v>
      </c>
      <c r="B3547" s="121">
        <v>21</v>
      </c>
      <c r="C3547" s="121">
        <v>31</v>
      </c>
      <c r="D3547" s="121">
        <v>4</v>
      </c>
      <c r="E3547" s="121">
        <v>302</v>
      </c>
    </row>
    <row r="3548" spans="1:5" ht="15">
      <c r="A3548" s="120" t="s">
        <v>403</v>
      </c>
      <c r="B3548" s="121">
        <v>21</v>
      </c>
      <c r="C3548" s="121">
        <v>31</v>
      </c>
      <c r="D3548" s="121">
        <v>7</v>
      </c>
      <c r="E3548" s="121">
        <v>7700</v>
      </c>
    </row>
    <row r="3549" spans="1:5" ht="15">
      <c r="A3549" s="120" t="s">
        <v>403</v>
      </c>
      <c r="B3549" s="121">
        <v>21</v>
      </c>
      <c r="C3549" s="121">
        <v>32</v>
      </c>
      <c r="D3549" s="121">
        <v>7</v>
      </c>
      <c r="E3549" s="121">
        <v>3500</v>
      </c>
    </row>
    <row r="3550" spans="1:5" ht="15">
      <c r="A3550" s="120" t="s">
        <v>361</v>
      </c>
      <c r="B3550" s="121">
        <v>24</v>
      </c>
      <c r="C3550" s="121">
        <v>27</v>
      </c>
      <c r="D3550" s="121">
        <v>3</v>
      </c>
      <c r="E3550" s="121">
        <v>653293</v>
      </c>
    </row>
    <row r="3551" spans="1:5" ht="15">
      <c r="A3551" s="120" t="s">
        <v>361</v>
      </c>
      <c r="B3551" s="121">
        <v>24</v>
      </c>
      <c r="C3551" s="121">
        <v>27</v>
      </c>
      <c r="D3551" s="121">
        <v>4</v>
      </c>
      <c r="E3551" s="121">
        <v>378472</v>
      </c>
    </row>
    <row r="3552" spans="1:5" ht="15">
      <c r="A3552" s="120" t="s">
        <v>403</v>
      </c>
      <c r="B3552" s="121">
        <v>24</v>
      </c>
      <c r="C3552" s="121">
        <v>26</v>
      </c>
      <c r="D3552" s="121">
        <v>7</v>
      </c>
      <c r="E3552" s="121">
        <v>50255</v>
      </c>
    </row>
    <row r="3553" spans="1:5" ht="15">
      <c r="A3553" s="120" t="s">
        <v>435</v>
      </c>
      <c r="B3553" s="121">
        <v>24</v>
      </c>
      <c r="C3553" s="121">
        <v>26</v>
      </c>
      <c r="D3553" s="121">
        <v>2</v>
      </c>
      <c r="E3553" s="121">
        <v>62834</v>
      </c>
    </row>
    <row r="3554" spans="1:5" ht="15">
      <c r="A3554" s="120" t="s">
        <v>435</v>
      </c>
      <c r="B3554" s="121">
        <v>24</v>
      </c>
      <c r="C3554" s="121">
        <v>26</v>
      </c>
      <c r="D3554" s="121">
        <v>4</v>
      </c>
      <c r="E3554" s="121">
        <v>24840</v>
      </c>
    </row>
    <row r="3555" spans="1:5" ht="15">
      <c r="A3555" s="120" t="s">
        <v>435</v>
      </c>
      <c r="B3555" s="121">
        <v>24</v>
      </c>
      <c r="C3555" s="121">
        <v>26</v>
      </c>
      <c r="D3555" s="121">
        <v>7</v>
      </c>
      <c r="E3555" s="121">
        <v>40814</v>
      </c>
    </row>
    <row r="3556" spans="1:5" ht="15">
      <c r="A3556" s="120" t="s">
        <v>239</v>
      </c>
      <c r="B3556" s="121">
        <v>29</v>
      </c>
      <c r="C3556" s="121">
        <v>27</v>
      </c>
      <c r="D3556" s="121">
        <v>2</v>
      </c>
      <c r="E3556" s="121">
        <v>13000</v>
      </c>
    </row>
    <row r="3557" spans="1:5" ht="15">
      <c r="A3557" s="120" t="s">
        <v>239</v>
      </c>
      <c r="B3557" s="121">
        <v>29</v>
      </c>
      <c r="C3557" s="121">
        <v>27</v>
      </c>
      <c r="D3557" s="121">
        <v>3</v>
      </c>
      <c r="E3557" s="121">
        <v>500</v>
      </c>
    </row>
    <row r="3558" spans="1:5" ht="15">
      <c r="A3558" s="120" t="s">
        <v>239</v>
      </c>
      <c r="B3558" s="121">
        <v>29</v>
      </c>
      <c r="C3558" s="121">
        <v>27</v>
      </c>
      <c r="D3558" s="121">
        <v>4</v>
      </c>
      <c r="E3558" s="121">
        <v>2714</v>
      </c>
    </row>
    <row r="3559" spans="1:5" ht="15">
      <c r="A3559" s="120" t="s">
        <v>361</v>
      </c>
      <c r="B3559" s="121">
        <v>29</v>
      </c>
      <c r="C3559" s="121">
        <v>26</v>
      </c>
      <c r="D3559" s="121">
        <v>7</v>
      </c>
      <c r="E3559" s="121">
        <v>237389</v>
      </c>
    </row>
    <row r="3560" spans="1:5" ht="15">
      <c r="A3560" s="120" t="s">
        <v>363</v>
      </c>
      <c r="B3560" s="121">
        <v>21</v>
      </c>
      <c r="C3560" s="121">
        <v>21</v>
      </c>
      <c r="D3560" s="121">
        <v>2</v>
      </c>
      <c r="E3560" s="121">
        <v>50000</v>
      </c>
    </row>
    <row r="3561" spans="1:5" ht="15">
      <c r="A3561" s="120" t="s">
        <v>363</v>
      </c>
      <c r="B3561" s="121">
        <v>21</v>
      </c>
      <c r="C3561" s="121">
        <v>21</v>
      </c>
      <c r="D3561" s="121">
        <v>4</v>
      </c>
      <c r="E3561" s="121">
        <v>11117</v>
      </c>
    </row>
    <row r="3562" spans="1:5" ht="15">
      <c r="A3562" s="120" t="s">
        <v>363</v>
      </c>
      <c r="B3562" s="121">
        <v>21</v>
      </c>
      <c r="C3562" s="121">
        <v>26</v>
      </c>
      <c r="D3562" s="121">
        <v>7</v>
      </c>
      <c r="E3562" s="121">
        <v>15000</v>
      </c>
    </row>
    <row r="3563" spans="1:5" ht="15">
      <c r="A3563" s="120" t="s">
        <v>363</v>
      </c>
      <c r="B3563" s="121">
        <v>21</v>
      </c>
      <c r="C3563" s="121">
        <v>27</v>
      </c>
      <c r="D3563" s="121">
        <v>2</v>
      </c>
      <c r="E3563" s="121">
        <v>90730</v>
      </c>
    </row>
    <row r="3564" spans="1:5" ht="15">
      <c r="A3564" s="120" t="s">
        <v>363</v>
      </c>
      <c r="B3564" s="121">
        <v>21</v>
      </c>
      <c r="C3564" s="121">
        <v>27</v>
      </c>
      <c r="D3564" s="121">
        <v>3</v>
      </c>
      <c r="E3564" s="121">
        <v>38241</v>
      </c>
    </row>
    <row r="3565" spans="1:5" ht="15">
      <c r="A3565" s="120" t="s">
        <v>363</v>
      </c>
      <c r="B3565" s="121">
        <v>21</v>
      </c>
      <c r="C3565" s="121">
        <v>27</v>
      </c>
      <c r="D3565" s="121">
        <v>4</v>
      </c>
      <c r="E3565" s="121">
        <v>53757</v>
      </c>
    </row>
    <row r="3566" spans="1:5" ht="15">
      <c r="A3566" s="120" t="s">
        <v>363</v>
      </c>
      <c r="B3566" s="121">
        <v>21</v>
      </c>
      <c r="C3566" s="121">
        <v>27</v>
      </c>
      <c r="D3566" s="121">
        <v>5</v>
      </c>
      <c r="E3566" s="121">
        <v>3000</v>
      </c>
    </row>
    <row r="3567" spans="1:5" ht="15">
      <c r="A3567" s="120" t="s">
        <v>363</v>
      </c>
      <c r="B3567" s="121">
        <v>21</v>
      </c>
      <c r="C3567" s="121">
        <v>27</v>
      </c>
      <c r="D3567" s="121">
        <v>7</v>
      </c>
      <c r="E3567" s="121">
        <v>20000</v>
      </c>
    </row>
    <row r="3568" spans="1:5" ht="15">
      <c r="A3568" s="120" t="s">
        <v>363</v>
      </c>
      <c r="B3568" s="121">
        <v>21</v>
      </c>
      <c r="C3568" s="121">
        <v>32</v>
      </c>
      <c r="D3568" s="121">
        <v>5</v>
      </c>
      <c r="E3568" s="121">
        <v>2000</v>
      </c>
    </row>
    <row r="3569" spans="1:5" ht="15">
      <c r="A3569" s="120" t="s">
        <v>363</v>
      </c>
      <c r="B3569" s="121">
        <v>24</v>
      </c>
      <c r="C3569" s="121">
        <v>26</v>
      </c>
      <c r="D3569" s="121">
        <v>7</v>
      </c>
      <c r="E3569" s="121">
        <v>30000</v>
      </c>
    </row>
    <row r="3570" spans="1:5" ht="15">
      <c r="A3570" s="120" t="s">
        <v>385</v>
      </c>
      <c r="B3570" s="121">
        <v>21</v>
      </c>
      <c r="C3570" s="121">
        <v>21</v>
      </c>
      <c r="D3570" s="121">
        <v>2</v>
      </c>
      <c r="E3570" s="121">
        <v>7800</v>
      </c>
    </row>
    <row r="3571" spans="1:5" ht="15">
      <c r="A3571" s="120" t="s">
        <v>385</v>
      </c>
      <c r="B3571" s="121">
        <v>21</v>
      </c>
      <c r="C3571" s="121">
        <v>21</v>
      </c>
      <c r="D3571" s="121">
        <v>4</v>
      </c>
      <c r="E3571" s="121">
        <v>2790</v>
      </c>
    </row>
    <row r="3572" spans="1:5" ht="15">
      <c r="A3572" s="120" t="s">
        <v>385</v>
      </c>
      <c r="B3572" s="121">
        <v>21</v>
      </c>
      <c r="C3572" s="121">
        <v>21</v>
      </c>
      <c r="D3572" s="121">
        <v>7</v>
      </c>
      <c r="E3572" s="121">
        <v>825</v>
      </c>
    </row>
    <row r="3573" spans="1:5" ht="15">
      <c r="A3573" s="120" t="s">
        <v>385</v>
      </c>
      <c r="B3573" s="121">
        <v>21</v>
      </c>
      <c r="C3573" s="121">
        <v>26</v>
      </c>
      <c r="D3573" s="121">
        <v>7</v>
      </c>
      <c r="E3573" s="121">
        <v>15000</v>
      </c>
    </row>
    <row r="3574" spans="1:5" ht="15">
      <c r="A3574" s="120" t="s">
        <v>385</v>
      </c>
      <c r="B3574" s="121">
        <v>21</v>
      </c>
      <c r="C3574" s="121">
        <v>27</v>
      </c>
      <c r="D3574" s="121">
        <v>2</v>
      </c>
      <c r="E3574" s="121">
        <v>63913</v>
      </c>
    </row>
    <row r="3575" spans="1:5" ht="15">
      <c r="A3575" s="120" t="s">
        <v>385</v>
      </c>
      <c r="B3575" s="121">
        <v>21</v>
      </c>
      <c r="C3575" s="121">
        <v>27</v>
      </c>
      <c r="D3575" s="121">
        <v>3</v>
      </c>
      <c r="E3575" s="121">
        <v>7403</v>
      </c>
    </row>
    <row r="3576" spans="1:5" ht="15">
      <c r="A3576" s="120" t="s">
        <v>385</v>
      </c>
      <c r="B3576" s="121">
        <v>21</v>
      </c>
      <c r="C3576" s="121">
        <v>27</v>
      </c>
      <c r="D3576" s="121">
        <v>4</v>
      </c>
      <c r="E3576" s="121">
        <v>27335</v>
      </c>
    </row>
    <row r="3577" spans="1:5" ht="15">
      <c r="A3577" s="120" t="s">
        <v>385</v>
      </c>
      <c r="B3577" s="121">
        <v>21</v>
      </c>
      <c r="C3577" s="121">
        <v>27</v>
      </c>
      <c r="D3577" s="121">
        <v>5</v>
      </c>
      <c r="E3577" s="121">
        <v>1000</v>
      </c>
    </row>
    <row r="3578" spans="1:5" ht="15">
      <c r="A3578" s="120" t="s">
        <v>385</v>
      </c>
      <c r="B3578" s="121">
        <v>21</v>
      </c>
      <c r="C3578" s="121">
        <v>33</v>
      </c>
      <c r="D3578" s="121">
        <v>5</v>
      </c>
      <c r="E3578" s="121">
        <v>3000</v>
      </c>
    </row>
    <row r="3579" spans="1:5" ht="15">
      <c r="A3579" s="120" t="s">
        <v>385</v>
      </c>
      <c r="B3579" s="121">
        <v>24</v>
      </c>
      <c r="C3579" s="121">
        <v>27</v>
      </c>
      <c r="D3579" s="121">
        <v>3</v>
      </c>
      <c r="E3579" s="121">
        <v>27763</v>
      </c>
    </row>
    <row r="3580" spans="1:5" ht="15">
      <c r="A3580" s="120" t="s">
        <v>385</v>
      </c>
      <c r="B3580" s="121">
        <v>24</v>
      </c>
      <c r="C3580" s="121">
        <v>27</v>
      </c>
      <c r="D3580" s="121">
        <v>4</v>
      </c>
      <c r="E3580" s="121">
        <v>16113</v>
      </c>
    </row>
    <row r="3581" spans="1:5" ht="15">
      <c r="A3581" s="120" t="s">
        <v>427</v>
      </c>
      <c r="B3581" s="121">
        <v>21</v>
      </c>
      <c r="C3581" s="121">
        <v>21</v>
      </c>
      <c r="D3581" s="121">
        <v>2</v>
      </c>
      <c r="E3581" s="121">
        <v>188132</v>
      </c>
    </row>
    <row r="3582" spans="1:5" ht="15">
      <c r="A3582" s="120" t="s">
        <v>427</v>
      </c>
      <c r="B3582" s="121">
        <v>21</v>
      </c>
      <c r="C3582" s="121">
        <v>21</v>
      </c>
      <c r="D3582" s="121">
        <v>3</v>
      </c>
      <c r="E3582" s="121">
        <v>95124</v>
      </c>
    </row>
    <row r="3583" spans="1:5" ht="15">
      <c r="A3583" s="120" t="s">
        <v>427</v>
      </c>
      <c r="B3583" s="121">
        <v>21</v>
      </c>
      <c r="C3583" s="121">
        <v>21</v>
      </c>
      <c r="D3583" s="121">
        <v>4</v>
      </c>
      <c r="E3583" s="121">
        <v>86155</v>
      </c>
    </row>
    <row r="3584" spans="1:5" ht="15">
      <c r="A3584" s="120" t="s">
        <v>427</v>
      </c>
      <c r="B3584" s="121">
        <v>21</v>
      </c>
      <c r="C3584" s="121">
        <v>21</v>
      </c>
      <c r="D3584" s="121">
        <v>5</v>
      </c>
      <c r="E3584" s="121">
        <v>200</v>
      </c>
    </row>
    <row r="3585" spans="1:5" ht="15">
      <c r="A3585" s="120" t="s">
        <v>427</v>
      </c>
      <c r="B3585" s="121">
        <v>21</v>
      </c>
      <c r="C3585" s="121">
        <v>21</v>
      </c>
      <c r="D3585" s="121">
        <v>7</v>
      </c>
      <c r="E3585" s="121">
        <v>500</v>
      </c>
    </row>
    <row r="3586" spans="1:5" ht="15">
      <c r="A3586" s="120" t="s">
        <v>427</v>
      </c>
      <c r="B3586" s="121">
        <v>21</v>
      </c>
      <c r="C3586" s="121">
        <v>21</v>
      </c>
      <c r="D3586" s="121">
        <v>8</v>
      </c>
      <c r="E3586" s="121">
        <v>600</v>
      </c>
    </row>
    <row r="3587" spans="1:5" ht="15">
      <c r="A3587" s="120" t="s">
        <v>427</v>
      </c>
      <c r="B3587" s="121">
        <v>21</v>
      </c>
      <c r="C3587" s="121">
        <v>25</v>
      </c>
      <c r="D3587" s="121">
        <v>3</v>
      </c>
      <c r="E3587" s="121">
        <v>92118</v>
      </c>
    </row>
    <row r="3588" spans="1:5" ht="15">
      <c r="A3588" s="120" t="s">
        <v>427</v>
      </c>
      <c r="B3588" s="121">
        <v>21</v>
      </c>
      <c r="C3588" s="121">
        <v>25</v>
      </c>
      <c r="D3588" s="121">
        <v>4</v>
      </c>
      <c r="E3588" s="121">
        <v>51777</v>
      </c>
    </row>
    <row r="3589" spans="1:5" ht="15">
      <c r="A3589" s="120" t="s">
        <v>427</v>
      </c>
      <c r="B3589" s="121">
        <v>21</v>
      </c>
      <c r="C3589" s="121">
        <v>26</v>
      </c>
      <c r="D3589" s="121">
        <v>2</v>
      </c>
      <c r="E3589" s="121">
        <v>848009</v>
      </c>
    </row>
    <row r="3590" spans="1:5" ht="15">
      <c r="A3590" s="120" t="s">
        <v>427</v>
      </c>
      <c r="B3590" s="121">
        <v>21</v>
      </c>
      <c r="C3590" s="121">
        <v>26</v>
      </c>
      <c r="D3590" s="121">
        <v>4</v>
      </c>
      <c r="E3590" s="121">
        <v>281042</v>
      </c>
    </row>
    <row r="3591" spans="1:5" ht="15">
      <c r="A3591" s="120" t="s">
        <v>427</v>
      </c>
      <c r="B3591" s="121">
        <v>21</v>
      </c>
      <c r="C3591" s="121">
        <v>26</v>
      </c>
      <c r="D3591" s="121">
        <v>5</v>
      </c>
      <c r="E3591" s="121">
        <v>1000</v>
      </c>
    </row>
    <row r="3592" spans="1:5" ht="15">
      <c r="A3592" s="120" t="s">
        <v>427</v>
      </c>
      <c r="B3592" s="121">
        <v>21</v>
      </c>
      <c r="C3592" s="121">
        <v>26</v>
      </c>
      <c r="D3592" s="121">
        <v>7</v>
      </c>
      <c r="E3592" s="121">
        <v>99500</v>
      </c>
    </row>
    <row r="3593" spans="1:5" ht="15">
      <c r="A3593" s="120" t="s">
        <v>427</v>
      </c>
      <c r="B3593" s="121">
        <v>21</v>
      </c>
      <c r="C3593" s="121">
        <v>27</v>
      </c>
      <c r="D3593" s="121">
        <v>0</v>
      </c>
      <c r="E3593" s="121">
        <v>1700</v>
      </c>
    </row>
    <row r="3594" spans="1:5" ht="15">
      <c r="A3594" s="120" t="s">
        <v>427</v>
      </c>
      <c r="B3594" s="121">
        <v>21</v>
      </c>
      <c r="C3594" s="121">
        <v>27</v>
      </c>
      <c r="D3594" s="121">
        <v>2</v>
      </c>
      <c r="E3594" s="121">
        <v>1229382</v>
      </c>
    </row>
    <row r="3595" spans="1:5" ht="15">
      <c r="A3595" s="120" t="s">
        <v>427</v>
      </c>
      <c r="B3595" s="121">
        <v>21</v>
      </c>
      <c r="C3595" s="121">
        <v>27</v>
      </c>
      <c r="D3595" s="121">
        <v>3</v>
      </c>
      <c r="E3595" s="121">
        <v>1029378</v>
      </c>
    </row>
    <row r="3596" spans="1:5" ht="15">
      <c r="A3596" s="120" t="s">
        <v>427</v>
      </c>
      <c r="B3596" s="121">
        <v>21</v>
      </c>
      <c r="C3596" s="121">
        <v>27</v>
      </c>
      <c r="D3596" s="121">
        <v>4</v>
      </c>
      <c r="E3596" s="121">
        <v>1089728</v>
      </c>
    </row>
    <row r="3597" spans="1:5" ht="15">
      <c r="A3597" s="120" t="s">
        <v>427</v>
      </c>
      <c r="B3597" s="121">
        <v>21</v>
      </c>
      <c r="C3597" s="121">
        <v>27</v>
      </c>
      <c r="D3597" s="121">
        <v>5</v>
      </c>
      <c r="E3597" s="121">
        <v>4500</v>
      </c>
    </row>
    <row r="3598" spans="1:5" ht="15">
      <c r="A3598" s="120" t="s">
        <v>427</v>
      </c>
      <c r="B3598" s="121">
        <v>21</v>
      </c>
      <c r="C3598" s="121">
        <v>27</v>
      </c>
      <c r="D3598" s="121">
        <v>7</v>
      </c>
      <c r="E3598" s="121">
        <v>49633</v>
      </c>
    </row>
    <row r="3599" spans="1:5" ht="15">
      <c r="A3599" s="120" t="s">
        <v>427</v>
      </c>
      <c r="B3599" s="121">
        <v>21</v>
      </c>
      <c r="C3599" s="121">
        <v>27</v>
      </c>
      <c r="D3599" s="121">
        <v>8</v>
      </c>
      <c r="E3599" s="121">
        <v>500</v>
      </c>
    </row>
    <row r="3600" spans="1:5" ht="15">
      <c r="A3600" s="120" t="s">
        <v>427</v>
      </c>
      <c r="B3600" s="121">
        <v>21</v>
      </c>
      <c r="C3600" s="121">
        <v>31</v>
      </c>
      <c r="D3600" s="121">
        <v>2</v>
      </c>
      <c r="E3600" s="121">
        <v>46250</v>
      </c>
    </row>
    <row r="3601" spans="1:5" ht="15">
      <c r="A3601" s="120" t="s">
        <v>427</v>
      </c>
      <c r="B3601" s="121">
        <v>21</v>
      </c>
      <c r="C3601" s="121">
        <v>31</v>
      </c>
      <c r="D3601" s="121">
        <v>3</v>
      </c>
      <c r="E3601" s="121">
        <v>5001</v>
      </c>
    </row>
    <row r="3602" spans="1:5" ht="15">
      <c r="A3602" s="120" t="s">
        <v>427</v>
      </c>
      <c r="B3602" s="121">
        <v>21</v>
      </c>
      <c r="C3602" s="121">
        <v>31</v>
      </c>
      <c r="D3602" s="121">
        <v>4</v>
      </c>
      <c r="E3602" s="121">
        <v>7976</v>
      </c>
    </row>
    <row r="3603" spans="1:5" ht="15">
      <c r="A3603" s="120" t="s">
        <v>427</v>
      </c>
      <c r="B3603" s="121">
        <v>21</v>
      </c>
      <c r="C3603" s="121">
        <v>31</v>
      </c>
      <c r="D3603" s="121">
        <v>5</v>
      </c>
      <c r="E3603" s="121">
        <v>200</v>
      </c>
    </row>
    <row r="3604" spans="1:5" ht="15">
      <c r="A3604" s="120" t="s">
        <v>427</v>
      </c>
      <c r="B3604" s="121">
        <v>21</v>
      </c>
      <c r="C3604" s="121">
        <v>33</v>
      </c>
      <c r="D3604" s="121">
        <v>5</v>
      </c>
      <c r="E3604" s="121">
        <v>3000</v>
      </c>
    </row>
    <row r="3605" spans="1:5" ht="15">
      <c r="A3605" s="120" t="s">
        <v>427</v>
      </c>
      <c r="B3605" s="121">
        <v>21</v>
      </c>
      <c r="C3605" s="121">
        <v>33</v>
      </c>
      <c r="D3605" s="121">
        <v>7</v>
      </c>
      <c r="E3605" s="121">
        <v>2650</v>
      </c>
    </row>
    <row r="3606" spans="1:5" ht="15">
      <c r="A3606" s="120" t="s">
        <v>427</v>
      </c>
      <c r="B3606" s="121">
        <v>21</v>
      </c>
      <c r="C3606" s="121">
        <v>34</v>
      </c>
      <c r="D3606" s="121">
        <v>2</v>
      </c>
      <c r="E3606" s="121">
        <v>33564</v>
      </c>
    </row>
    <row r="3607" spans="1:5" ht="15">
      <c r="A3607" s="120" t="s">
        <v>427</v>
      </c>
      <c r="B3607" s="121">
        <v>21</v>
      </c>
      <c r="C3607" s="121">
        <v>34</v>
      </c>
      <c r="D3607" s="121">
        <v>4</v>
      </c>
      <c r="E3607" s="121">
        <v>5279</v>
      </c>
    </row>
    <row r="3608" spans="1:5" ht="15">
      <c r="A3608" s="120" t="s">
        <v>427</v>
      </c>
      <c r="B3608" s="121">
        <v>24</v>
      </c>
      <c r="C3608" s="121">
        <v>27</v>
      </c>
      <c r="D3608" s="121">
        <v>2</v>
      </c>
      <c r="E3608" s="121">
        <v>357298</v>
      </c>
    </row>
    <row r="3609" spans="1:5" ht="15">
      <c r="A3609" s="120" t="s">
        <v>427</v>
      </c>
      <c r="B3609" s="121">
        <v>24</v>
      </c>
      <c r="C3609" s="121">
        <v>27</v>
      </c>
      <c r="D3609" s="121">
        <v>4</v>
      </c>
      <c r="E3609" s="121">
        <v>135452</v>
      </c>
    </row>
    <row r="3610" spans="1:5" ht="15">
      <c r="A3610" s="120" t="s">
        <v>427</v>
      </c>
      <c r="B3610" s="121">
        <v>24</v>
      </c>
      <c r="C3610" s="121">
        <v>27</v>
      </c>
      <c r="D3610" s="121">
        <v>5</v>
      </c>
      <c r="E3610" s="121">
        <v>6794</v>
      </c>
    </row>
    <row r="3611" spans="1:5" ht="15">
      <c r="A3611" s="120" t="s">
        <v>427</v>
      </c>
      <c r="B3611" s="121">
        <v>24</v>
      </c>
      <c r="C3611" s="121">
        <v>27</v>
      </c>
      <c r="D3611" s="121">
        <v>7</v>
      </c>
      <c r="E3611" s="121">
        <v>9975</v>
      </c>
    </row>
    <row r="3612" spans="1:5" ht="15">
      <c r="A3612" s="120" t="s">
        <v>427</v>
      </c>
      <c r="B3612" s="121">
        <v>24</v>
      </c>
      <c r="C3612" s="121">
        <v>31</v>
      </c>
      <c r="D3612" s="121">
        <v>2</v>
      </c>
      <c r="E3612" s="121">
        <v>13221</v>
      </c>
    </row>
    <row r="3613" spans="1:5" ht="15">
      <c r="A3613" s="120" t="s">
        <v>427</v>
      </c>
      <c r="B3613" s="121">
        <v>24</v>
      </c>
      <c r="C3613" s="121">
        <v>31</v>
      </c>
      <c r="D3613" s="121">
        <v>4</v>
      </c>
      <c r="E3613" s="121">
        <v>2069</v>
      </c>
    </row>
    <row r="3614" spans="1:5" ht="15">
      <c r="A3614" s="120" t="s">
        <v>405</v>
      </c>
      <c r="B3614" s="121">
        <v>21</v>
      </c>
      <c r="C3614" s="121">
        <v>21</v>
      </c>
      <c r="D3614" s="121">
        <v>2</v>
      </c>
      <c r="E3614" s="121">
        <v>29489</v>
      </c>
    </row>
    <row r="3615" spans="1:5" ht="15">
      <c r="A3615" s="120" t="s">
        <v>405</v>
      </c>
      <c r="B3615" s="121">
        <v>21</v>
      </c>
      <c r="C3615" s="121">
        <v>21</v>
      </c>
      <c r="D3615" s="121">
        <v>4</v>
      </c>
      <c r="E3615" s="121">
        <v>8386</v>
      </c>
    </row>
    <row r="3616" spans="1:5" ht="15">
      <c r="A3616" s="120" t="s">
        <v>405</v>
      </c>
      <c r="B3616" s="121">
        <v>21</v>
      </c>
      <c r="C3616" s="121">
        <v>23</v>
      </c>
      <c r="D3616" s="121">
        <v>3</v>
      </c>
      <c r="E3616" s="121">
        <v>9898</v>
      </c>
    </row>
    <row r="3617" spans="1:5" ht="15">
      <c r="A3617" s="120" t="s">
        <v>405</v>
      </c>
      <c r="B3617" s="121">
        <v>21</v>
      </c>
      <c r="C3617" s="121">
        <v>23</v>
      </c>
      <c r="D3617" s="121">
        <v>4</v>
      </c>
      <c r="E3617" s="121">
        <v>7136</v>
      </c>
    </row>
    <row r="3618" spans="1:5" ht="15">
      <c r="A3618" s="120" t="s">
        <v>405</v>
      </c>
      <c r="B3618" s="121">
        <v>21</v>
      </c>
      <c r="C3618" s="121">
        <v>26</v>
      </c>
      <c r="D3618" s="121">
        <v>7</v>
      </c>
      <c r="E3618" s="121">
        <v>60000</v>
      </c>
    </row>
    <row r="3619" spans="1:5" ht="15">
      <c r="A3619" s="120" t="s">
        <v>405</v>
      </c>
      <c r="B3619" s="121">
        <v>21</v>
      </c>
      <c r="C3619" s="121">
        <v>27</v>
      </c>
      <c r="D3619" s="121">
        <v>2</v>
      </c>
      <c r="E3619" s="121">
        <v>95519</v>
      </c>
    </row>
    <row r="3620" spans="1:5" ht="15">
      <c r="A3620" s="120" t="s">
        <v>405</v>
      </c>
      <c r="B3620" s="121">
        <v>21</v>
      </c>
      <c r="C3620" s="121">
        <v>27</v>
      </c>
      <c r="D3620" s="121">
        <v>3</v>
      </c>
      <c r="E3620" s="121">
        <v>2444</v>
      </c>
    </row>
    <row r="3621" spans="1:5" ht="15">
      <c r="A3621" s="120" t="s">
        <v>405</v>
      </c>
      <c r="B3621" s="121">
        <v>21</v>
      </c>
      <c r="C3621" s="121">
        <v>27</v>
      </c>
      <c r="D3621" s="121">
        <v>4</v>
      </c>
      <c r="E3621" s="121">
        <v>33401</v>
      </c>
    </row>
    <row r="3622" spans="1:5" ht="15">
      <c r="A3622" s="120" t="s">
        <v>405</v>
      </c>
      <c r="B3622" s="121">
        <v>21</v>
      </c>
      <c r="C3622" s="121">
        <v>27</v>
      </c>
      <c r="D3622" s="121">
        <v>5</v>
      </c>
      <c r="E3622" s="121">
        <v>20000</v>
      </c>
    </row>
    <row r="3623" spans="1:5" ht="15">
      <c r="A3623" s="120" t="s">
        <v>405</v>
      </c>
      <c r="B3623" s="121">
        <v>21</v>
      </c>
      <c r="C3623" s="121">
        <v>27</v>
      </c>
      <c r="D3623" s="121">
        <v>7</v>
      </c>
      <c r="E3623" s="121">
        <v>15000</v>
      </c>
    </row>
    <row r="3624" spans="1:5" ht="15">
      <c r="A3624" s="120" t="s">
        <v>405</v>
      </c>
      <c r="B3624" s="121">
        <v>21</v>
      </c>
      <c r="C3624" s="121">
        <v>32</v>
      </c>
      <c r="D3624" s="121">
        <v>5</v>
      </c>
      <c r="E3624" s="121">
        <v>5000</v>
      </c>
    </row>
    <row r="3625" spans="1:5" ht="15">
      <c r="A3625" s="120" t="s">
        <v>405</v>
      </c>
      <c r="B3625" s="121">
        <v>24</v>
      </c>
      <c r="C3625" s="121">
        <v>26</v>
      </c>
      <c r="D3625" s="121">
        <v>7</v>
      </c>
      <c r="E3625" s="121">
        <v>30000</v>
      </c>
    </row>
    <row r="3626" spans="1:5" ht="15">
      <c r="A3626" s="120" t="s">
        <v>405</v>
      </c>
      <c r="B3626" s="121">
        <v>24</v>
      </c>
      <c r="C3626" s="121">
        <v>27</v>
      </c>
      <c r="D3626" s="121">
        <v>5</v>
      </c>
      <c r="E3626" s="121">
        <v>15000</v>
      </c>
    </row>
    <row r="3627" spans="1:5" ht="15">
      <c r="A3627" s="120" t="s">
        <v>437</v>
      </c>
      <c r="B3627" s="121">
        <v>21</v>
      </c>
      <c r="C3627" s="121">
        <v>21</v>
      </c>
      <c r="D3627" s="121">
        <v>0</v>
      </c>
      <c r="E3627" s="121">
        <v>400</v>
      </c>
    </row>
    <row r="3628" spans="1:5" ht="15">
      <c r="A3628" s="120" t="s">
        <v>437</v>
      </c>
      <c r="B3628" s="121">
        <v>21</v>
      </c>
      <c r="C3628" s="121">
        <v>21</v>
      </c>
      <c r="D3628" s="121">
        <v>2</v>
      </c>
      <c r="E3628" s="121">
        <v>150857</v>
      </c>
    </row>
    <row r="3629" spans="1:5" ht="15">
      <c r="A3629" s="120" t="s">
        <v>437</v>
      </c>
      <c r="B3629" s="121">
        <v>21</v>
      </c>
      <c r="C3629" s="121">
        <v>21</v>
      </c>
      <c r="D3629" s="121">
        <v>3</v>
      </c>
      <c r="E3629" s="121">
        <v>67068</v>
      </c>
    </row>
    <row r="3630" spans="1:5" ht="15">
      <c r="A3630" s="120" t="s">
        <v>437</v>
      </c>
      <c r="B3630" s="121">
        <v>21</v>
      </c>
      <c r="C3630" s="121">
        <v>21</v>
      </c>
      <c r="D3630" s="121">
        <v>4</v>
      </c>
      <c r="E3630" s="121">
        <v>58978</v>
      </c>
    </row>
    <row r="3631" spans="1:5" ht="15">
      <c r="A3631" s="120" t="s">
        <v>437</v>
      </c>
      <c r="B3631" s="121">
        <v>21</v>
      </c>
      <c r="C3631" s="121">
        <v>21</v>
      </c>
      <c r="D3631" s="121">
        <v>5</v>
      </c>
      <c r="E3631" s="121">
        <v>2696</v>
      </c>
    </row>
    <row r="3632" spans="1:5" ht="15">
      <c r="A3632" s="120" t="s">
        <v>437</v>
      </c>
      <c r="B3632" s="121">
        <v>21</v>
      </c>
      <c r="C3632" s="121">
        <v>21</v>
      </c>
      <c r="D3632" s="121">
        <v>7</v>
      </c>
      <c r="E3632" s="121">
        <v>17445</v>
      </c>
    </row>
    <row r="3633" spans="1:5" ht="15">
      <c r="A3633" s="120" t="s">
        <v>437</v>
      </c>
      <c r="B3633" s="121">
        <v>21</v>
      </c>
      <c r="C3633" s="121">
        <v>21</v>
      </c>
      <c r="D3633" s="121">
        <v>8</v>
      </c>
      <c r="E3633" s="121">
        <v>3000</v>
      </c>
    </row>
    <row r="3634" spans="1:5" ht="15">
      <c r="A3634" s="120" t="s">
        <v>437</v>
      </c>
      <c r="B3634" s="121">
        <v>21</v>
      </c>
      <c r="C3634" s="121">
        <v>24</v>
      </c>
      <c r="D3634" s="121">
        <v>7</v>
      </c>
      <c r="E3634" s="121">
        <v>25000</v>
      </c>
    </row>
    <row r="3635" spans="1:5" ht="15">
      <c r="A3635" s="120" t="s">
        <v>437</v>
      </c>
      <c r="B3635" s="121">
        <v>21</v>
      </c>
      <c r="C3635" s="121">
        <v>26</v>
      </c>
      <c r="D3635" s="121">
        <v>2</v>
      </c>
      <c r="E3635" s="121">
        <v>193011</v>
      </c>
    </row>
    <row r="3636" spans="1:5" ht="15">
      <c r="A3636" s="120" t="s">
        <v>437</v>
      </c>
      <c r="B3636" s="121">
        <v>21</v>
      </c>
      <c r="C3636" s="121">
        <v>26</v>
      </c>
      <c r="D3636" s="121">
        <v>3</v>
      </c>
      <c r="E3636" s="121">
        <v>49593</v>
      </c>
    </row>
    <row r="3637" spans="1:5" ht="15">
      <c r="A3637" s="120" t="s">
        <v>437</v>
      </c>
      <c r="B3637" s="121">
        <v>21</v>
      </c>
      <c r="C3637" s="121">
        <v>26</v>
      </c>
      <c r="D3637" s="121">
        <v>4</v>
      </c>
      <c r="E3637" s="121">
        <v>83622</v>
      </c>
    </row>
    <row r="3638" spans="1:5" ht="15">
      <c r="A3638" s="120" t="s">
        <v>437</v>
      </c>
      <c r="B3638" s="121">
        <v>21</v>
      </c>
      <c r="C3638" s="121">
        <v>26</v>
      </c>
      <c r="D3638" s="121">
        <v>5</v>
      </c>
      <c r="E3638" s="121">
        <v>8000</v>
      </c>
    </row>
    <row r="3639" spans="1:5" ht="15">
      <c r="A3639" s="120" t="s">
        <v>437</v>
      </c>
      <c r="B3639" s="121">
        <v>21</v>
      </c>
      <c r="C3639" s="121">
        <v>26</v>
      </c>
      <c r="D3639" s="121">
        <v>7</v>
      </c>
      <c r="E3639" s="121">
        <v>520320</v>
      </c>
    </row>
    <row r="3640" spans="1:5" ht="15">
      <c r="A3640" s="120" t="s">
        <v>437</v>
      </c>
      <c r="B3640" s="121">
        <v>21</v>
      </c>
      <c r="C3640" s="121">
        <v>27</v>
      </c>
      <c r="D3640" s="121">
        <v>0</v>
      </c>
      <c r="E3640" s="121">
        <v>1900</v>
      </c>
    </row>
    <row r="3641" spans="1:5" ht="15">
      <c r="A3641" s="120" t="s">
        <v>437</v>
      </c>
      <c r="B3641" s="121">
        <v>21</v>
      </c>
      <c r="C3641" s="121">
        <v>27</v>
      </c>
      <c r="D3641" s="121">
        <v>2</v>
      </c>
      <c r="E3641" s="121">
        <v>533489</v>
      </c>
    </row>
    <row r="3642" spans="1:5" ht="15">
      <c r="A3642" s="120" t="s">
        <v>437</v>
      </c>
      <c r="B3642" s="121">
        <v>21</v>
      </c>
      <c r="C3642" s="121">
        <v>27</v>
      </c>
      <c r="D3642" s="121">
        <v>3</v>
      </c>
      <c r="E3642" s="121">
        <v>372404</v>
      </c>
    </row>
    <row r="3643" spans="1:5" ht="15">
      <c r="A3643" s="120" t="s">
        <v>437</v>
      </c>
      <c r="B3643" s="121">
        <v>21</v>
      </c>
      <c r="C3643" s="121">
        <v>27</v>
      </c>
      <c r="D3643" s="121">
        <v>4</v>
      </c>
      <c r="E3643" s="121">
        <v>377633</v>
      </c>
    </row>
    <row r="3644" spans="1:5" ht="15">
      <c r="A3644" s="120" t="s">
        <v>437</v>
      </c>
      <c r="B3644" s="121">
        <v>21</v>
      </c>
      <c r="C3644" s="121">
        <v>27</v>
      </c>
      <c r="D3644" s="121">
        <v>5</v>
      </c>
      <c r="E3644" s="121">
        <v>14550</v>
      </c>
    </row>
    <row r="3645" spans="1:5" ht="15">
      <c r="A3645" s="120" t="s">
        <v>437</v>
      </c>
      <c r="B3645" s="121">
        <v>21</v>
      </c>
      <c r="C3645" s="121">
        <v>27</v>
      </c>
      <c r="D3645" s="121">
        <v>7</v>
      </c>
      <c r="E3645" s="121">
        <v>9360988</v>
      </c>
    </row>
    <row r="3646" spans="1:5" ht="15">
      <c r="A3646" s="120" t="s">
        <v>437</v>
      </c>
      <c r="B3646" s="121">
        <v>21</v>
      </c>
      <c r="C3646" s="121">
        <v>27</v>
      </c>
      <c r="D3646" s="121">
        <v>8</v>
      </c>
      <c r="E3646" s="121">
        <v>750</v>
      </c>
    </row>
    <row r="3647" spans="1:5" ht="15">
      <c r="A3647" s="120" t="s">
        <v>437</v>
      </c>
      <c r="B3647" s="121">
        <v>21</v>
      </c>
      <c r="C3647" s="121">
        <v>31</v>
      </c>
      <c r="D3647" s="121">
        <v>0</v>
      </c>
      <c r="E3647" s="121">
        <v>1600</v>
      </c>
    </row>
    <row r="3648" spans="1:5" ht="15">
      <c r="A3648" s="120" t="s">
        <v>437</v>
      </c>
      <c r="B3648" s="121">
        <v>21</v>
      </c>
      <c r="C3648" s="121">
        <v>31</v>
      </c>
      <c r="D3648" s="121">
        <v>2</v>
      </c>
      <c r="E3648" s="121">
        <v>3675</v>
      </c>
    </row>
    <row r="3649" spans="1:5" ht="15">
      <c r="A3649" s="120" t="s">
        <v>437</v>
      </c>
      <c r="B3649" s="121">
        <v>21</v>
      </c>
      <c r="C3649" s="121">
        <v>31</v>
      </c>
      <c r="D3649" s="121">
        <v>3</v>
      </c>
      <c r="E3649" s="121">
        <v>3175</v>
      </c>
    </row>
    <row r="3650" spans="1:5" ht="15">
      <c r="A3650" s="120" t="s">
        <v>437</v>
      </c>
      <c r="B3650" s="121">
        <v>21</v>
      </c>
      <c r="C3650" s="121">
        <v>31</v>
      </c>
      <c r="D3650" s="121">
        <v>4</v>
      </c>
      <c r="E3650" s="121">
        <v>1140</v>
      </c>
    </row>
    <row r="3651" spans="1:5" ht="15">
      <c r="A3651" s="120" t="s">
        <v>437</v>
      </c>
      <c r="B3651" s="121">
        <v>21</v>
      </c>
      <c r="C3651" s="121">
        <v>31</v>
      </c>
      <c r="D3651" s="121">
        <v>5</v>
      </c>
      <c r="E3651" s="121">
        <v>1600</v>
      </c>
    </row>
    <row r="3652" spans="1:5" ht="15">
      <c r="A3652" s="120" t="s">
        <v>437</v>
      </c>
      <c r="B3652" s="121">
        <v>21</v>
      </c>
      <c r="C3652" s="121">
        <v>31</v>
      </c>
      <c r="D3652" s="121">
        <v>7</v>
      </c>
      <c r="E3652" s="121">
        <v>8495</v>
      </c>
    </row>
    <row r="3653" spans="1:5" ht="15">
      <c r="A3653" s="120" t="s">
        <v>437</v>
      </c>
      <c r="B3653" s="121">
        <v>21</v>
      </c>
      <c r="C3653" s="121">
        <v>31</v>
      </c>
      <c r="D3653" s="121">
        <v>8</v>
      </c>
      <c r="E3653" s="121">
        <v>5425</v>
      </c>
    </row>
    <row r="3654" spans="1:5" ht="15">
      <c r="A3654" s="120" t="s">
        <v>437</v>
      </c>
      <c r="B3654" s="121">
        <v>21</v>
      </c>
      <c r="C3654" s="121">
        <v>32</v>
      </c>
      <c r="D3654" s="121">
        <v>5</v>
      </c>
      <c r="E3654" s="121">
        <v>5000</v>
      </c>
    </row>
    <row r="3655" spans="1:5" ht="15">
      <c r="A3655" s="120" t="s">
        <v>437</v>
      </c>
      <c r="B3655" s="121">
        <v>21</v>
      </c>
      <c r="C3655" s="121">
        <v>33</v>
      </c>
      <c r="D3655" s="121">
        <v>5</v>
      </c>
      <c r="E3655" s="121">
        <v>8000</v>
      </c>
    </row>
    <row r="3656" spans="1:5" ht="15">
      <c r="A3656" s="120" t="s">
        <v>437</v>
      </c>
      <c r="B3656" s="121">
        <v>21</v>
      </c>
      <c r="C3656" s="121">
        <v>33</v>
      </c>
      <c r="D3656" s="121">
        <v>7</v>
      </c>
      <c r="E3656" s="121">
        <v>10100</v>
      </c>
    </row>
    <row r="3657" spans="1:5" ht="15">
      <c r="A3657" s="120" t="s">
        <v>437</v>
      </c>
      <c r="B3657" s="121">
        <v>21</v>
      </c>
      <c r="C3657" s="121">
        <v>34</v>
      </c>
      <c r="D3657" s="121">
        <v>2</v>
      </c>
      <c r="E3657" s="121">
        <v>16625</v>
      </c>
    </row>
    <row r="3658" spans="1:5" ht="15">
      <c r="A3658" s="120" t="s">
        <v>437</v>
      </c>
      <c r="B3658" s="121">
        <v>21</v>
      </c>
      <c r="C3658" s="121">
        <v>34</v>
      </c>
      <c r="D3658" s="121">
        <v>4</v>
      </c>
      <c r="E3658" s="121">
        <v>5521</v>
      </c>
    </row>
    <row r="3659" spans="1:5" ht="15">
      <c r="A3659" s="120" t="s">
        <v>437</v>
      </c>
      <c r="B3659" s="121">
        <v>24</v>
      </c>
      <c r="C3659" s="121">
        <v>27</v>
      </c>
      <c r="D3659" s="121">
        <v>2</v>
      </c>
      <c r="E3659" s="121">
        <v>255897</v>
      </c>
    </row>
    <row r="3660" spans="1:5" ht="15">
      <c r="A3660" s="120" t="s">
        <v>437</v>
      </c>
      <c r="B3660" s="121">
        <v>24</v>
      </c>
      <c r="C3660" s="121">
        <v>27</v>
      </c>
      <c r="D3660" s="121">
        <v>3</v>
      </c>
      <c r="E3660" s="121">
        <v>255306</v>
      </c>
    </row>
    <row r="3661" spans="1:5" ht="15">
      <c r="A3661" s="120" t="s">
        <v>437</v>
      </c>
      <c r="B3661" s="121">
        <v>24</v>
      </c>
      <c r="C3661" s="121">
        <v>27</v>
      </c>
      <c r="D3661" s="121">
        <v>4</v>
      </c>
      <c r="E3661" s="121">
        <v>220072</v>
      </c>
    </row>
    <row r="3662" spans="1:5" ht="15">
      <c r="A3662" s="120" t="s">
        <v>365</v>
      </c>
      <c r="B3662" s="121">
        <v>21</v>
      </c>
      <c r="C3662" s="121">
        <v>26</v>
      </c>
      <c r="D3662" s="121">
        <v>2</v>
      </c>
      <c r="E3662" s="121">
        <v>22341</v>
      </c>
    </row>
    <row r="3663" spans="1:5" ht="15">
      <c r="A3663" s="120" t="s">
        <v>365</v>
      </c>
      <c r="B3663" s="121">
        <v>21</v>
      </c>
      <c r="C3663" s="121">
        <v>26</v>
      </c>
      <c r="D3663" s="121">
        <v>7</v>
      </c>
      <c r="E3663" s="121">
        <v>200589</v>
      </c>
    </row>
    <row r="3664" spans="1:5" ht="15">
      <c r="A3664" s="120" t="s">
        <v>365</v>
      </c>
      <c r="B3664" s="121">
        <v>21</v>
      </c>
      <c r="C3664" s="121">
        <v>27</v>
      </c>
      <c r="D3664" s="121">
        <v>2</v>
      </c>
      <c r="E3664" s="121">
        <v>303180</v>
      </c>
    </row>
    <row r="3665" spans="1:5" ht="15">
      <c r="A3665" s="120" t="s">
        <v>365</v>
      </c>
      <c r="B3665" s="121">
        <v>21</v>
      </c>
      <c r="C3665" s="121">
        <v>27</v>
      </c>
      <c r="D3665" s="121">
        <v>3</v>
      </c>
      <c r="E3665" s="121">
        <v>183709</v>
      </c>
    </row>
    <row r="3666" spans="1:5" ht="15">
      <c r="A3666" s="120" t="s">
        <v>365</v>
      </c>
      <c r="B3666" s="121">
        <v>21</v>
      </c>
      <c r="C3666" s="121">
        <v>27</v>
      </c>
      <c r="D3666" s="121">
        <v>4</v>
      </c>
      <c r="E3666" s="121">
        <v>235991</v>
      </c>
    </row>
    <row r="3667" spans="1:5" ht="15">
      <c r="A3667" s="120" t="s">
        <v>365</v>
      </c>
      <c r="B3667" s="121">
        <v>21</v>
      </c>
      <c r="C3667" s="121">
        <v>27</v>
      </c>
      <c r="D3667" s="121">
        <v>7</v>
      </c>
      <c r="E3667" s="121">
        <v>310500</v>
      </c>
    </row>
    <row r="3668" spans="1:5" ht="15">
      <c r="A3668" s="120" t="s">
        <v>387</v>
      </c>
      <c r="B3668" s="121">
        <v>21</v>
      </c>
      <c r="C3668" s="121">
        <v>26</v>
      </c>
      <c r="D3668" s="121">
        <v>7</v>
      </c>
      <c r="E3668" s="121">
        <v>3000</v>
      </c>
    </row>
    <row r="3669" spans="1:5" ht="15">
      <c r="A3669" s="120" t="s">
        <v>387</v>
      </c>
      <c r="B3669" s="121">
        <v>21</v>
      </c>
      <c r="C3669" s="121">
        <v>27</v>
      </c>
      <c r="D3669" s="121">
        <v>2</v>
      </c>
      <c r="E3669" s="121">
        <v>48974</v>
      </c>
    </row>
    <row r="3670" spans="1:5" ht="15">
      <c r="A3670" s="120" t="s">
        <v>387</v>
      </c>
      <c r="B3670" s="121">
        <v>21</v>
      </c>
      <c r="C3670" s="121">
        <v>27</v>
      </c>
      <c r="D3670" s="121">
        <v>4</v>
      </c>
      <c r="E3670" s="121">
        <v>23019</v>
      </c>
    </row>
    <row r="3671" spans="1:5" ht="15">
      <c r="A3671" s="120" t="s">
        <v>387</v>
      </c>
      <c r="B3671" s="121">
        <v>21</v>
      </c>
      <c r="C3671" s="121">
        <v>27</v>
      </c>
      <c r="D3671" s="121">
        <v>5</v>
      </c>
      <c r="E3671" s="121">
        <v>10000</v>
      </c>
    </row>
    <row r="3672" spans="1:5" ht="15">
      <c r="A3672" s="120" t="s">
        <v>387</v>
      </c>
      <c r="B3672" s="121">
        <v>21</v>
      </c>
      <c r="C3672" s="121">
        <v>33</v>
      </c>
      <c r="D3672" s="121">
        <v>5</v>
      </c>
      <c r="E3672" s="121">
        <v>5000</v>
      </c>
    </row>
    <row r="3673" spans="1:5" ht="15">
      <c r="A3673" s="120" t="s">
        <v>365</v>
      </c>
      <c r="B3673" s="121">
        <v>21</v>
      </c>
      <c r="C3673" s="121">
        <v>34</v>
      </c>
      <c r="D3673" s="121">
        <v>2</v>
      </c>
      <c r="E3673" s="121">
        <v>4179</v>
      </c>
    </row>
    <row r="3674" spans="1:5" ht="15">
      <c r="A3674" s="120" t="s">
        <v>365</v>
      </c>
      <c r="B3674" s="121">
        <v>21</v>
      </c>
      <c r="C3674" s="121">
        <v>34</v>
      </c>
      <c r="D3674" s="121">
        <v>4</v>
      </c>
      <c r="E3674" s="121">
        <v>737</v>
      </c>
    </row>
    <row r="3675" spans="1:5" ht="15">
      <c r="A3675" s="120" t="s">
        <v>365</v>
      </c>
      <c r="B3675" s="121">
        <v>24</v>
      </c>
      <c r="C3675" s="121">
        <v>26</v>
      </c>
      <c r="D3675" s="121">
        <v>7</v>
      </c>
      <c r="E3675" s="121">
        <v>70844</v>
      </c>
    </row>
    <row r="3676" spans="1:5" ht="15">
      <c r="A3676" s="120" t="s">
        <v>387</v>
      </c>
      <c r="B3676" s="121">
        <v>24</v>
      </c>
      <c r="C3676" s="121">
        <v>26</v>
      </c>
      <c r="D3676" s="121">
        <v>7</v>
      </c>
      <c r="E3676" s="121">
        <v>13000</v>
      </c>
    </row>
    <row r="3677" spans="1:5" ht="15">
      <c r="A3677" s="120" t="s">
        <v>457</v>
      </c>
      <c r="B3677" s="121">
        <v>21</v>
      </c>
      <c r="C3677" s="121">
        <v>26</v>
      </c>
      <c r="D3677" s="121">
        <v>2</v>
      </c>
      <c r="E3677" s="121">
        <v>1777437</v>
      </c>
    </row>
    <row r="3678" spans="1:5" ht="15">
      <c r="A3678" s="120" t="s">
        <v>457</v>
      </c>
      <c r="B3678" s="121">
        <v>21</v>
      </c>
      <c r="C3678" s="121">
        <v>26</v>
      </c>
      <c r="D3678" s="121">
        <v>3</v>
      </c>
      <c r="E3678" s="121">
        <v>113321</v>
      </c>
    </row>
    <row r="3679" spans="1:5" ht="15">
      <c r="A3679" s="120" t="s">
        <v>457</v>
      </c>
      <c r="B3679" s="121">
        <v>21</v>
      </c>
      <c r="C3679" s="121">
        <v>26</v>
      </c>
      <c r="D3679" s="121">
        <v>4</v>
      </c>
      <c r="E3679" s="121">
        <v>622284</v>
      </c>
    </row>
    <row r="3680" spans="1:5" ht="15">
      <c r="A3680" s="120" t="s">
        <v>457</v>
      </c>
      <c r="B3680" s="121">
        <v>21</v>
      </c>
      <c r="C3680" s="121">
        <v>26</v>
      </c>
      <c r="D3680" s="121">
        <v>5</v>
      </c>
      <c r="E3680" s="121">
        <v>27600</v>
      </c>
    </row>
    <row r="3681" spans="1:5" ht="15">
      <c r="A3681" s="120" t="s">
        <v>457</v>
      </c>
      <c r="B3681" s="121">
        <v>21</v>
      </c>
      <c r="C3681" s="121">
        <v>26</v>
      </c>
      <c r="D3681" s="121">
        <v>7</v>
      </c>
      <c r="E3681" s="121">
        <v>76100</v>
      </c>
    </row>
    <row r="3682" spans="1:5" ht="15">
      <c r="A3682" s="120" t="s">
        <v>457</v>
      </c>
      <c r="B3682" s="121">
        <v>21</v>
      </c>
      <c r="C3682" s="121">
        <v>26</v>
      </c>
      <c r="D3682" s="121">
        <v>8</v>
      </c>
      <c r="E3682" s="121">
        <v>1500</v>
      </c>
    </row>
    <row r="3683" spans="1:5" ht="15">
      <c r="A3683" s="120" t="s">
        <v>457</v>
      </c>
      <c r="B3683" s="121">
        <v>21</v>
      </c>
      <c r="C3683" s="121">
        <v>27</v>
      </c>
      <c r="D3683" s="121">
        <v>2</v>
      </c>
      <c r="E3683" s="121">
        <v>2570702</v>
      </c>
    </row>
    <row r="3684" spans="1:5" ht="15">
      <c r="A3684" s="120" t="s">
        <v>457</v>
      </c>
      <c r="B3684" s="121">
        <v>21</v>
      </c>
      <c r="C3684" s="121">
        <v>27</v>
      </c>
      <c r="D3684" s="121">
        <v>3</v>
      </c>
      <c r="E3684" s="121">
        <v>1966963</v>
      </c>
    </row>
    <row r="3685" spans="1:5" ht="15">
      <c r="A3685" s="120" t="s">
        <v>457</v>
      </c>
      <c r="B3685" s="121">
        <v>21</v>
      </c>
      <c r="C3685" s="121">
        <v>27</v>
      </c>
      <c r="D3685" s="121">
        <v>4</v>
      </c>
      <c r="E3685" s="121">
        <v>1876666</v>
      </c>
    </row>
    <row r="3686" spans="1:5" ht="15">
      <c r="A3686" s="120" t="s">
        <v>457</v>
      </c>
      <c r="B3686" s="121">
        <v>21</v>
      </c>
      <c r="C3686" s="121">
        <v>27</v>
      </c>
      <c r="D3686" s="121">
        <v>5</v>
      </c>
      <c r="E3686" s="121">
        <v>24815</v>
      </c>
    </row>
    <row r="3687" spans="1:5" ht="15">
      <c r="A3687" s="120" t="s">
        <v>457</v>
      </c>
      <c r="B3687" s="121">
        <v>21</v>
      </c>
      <c r="C3687" s="121">
        <v>27</v>
      </c>
      <c r="D3687" s="121">
        <v>7</v>
      </c>
      <c r="E3687" s="121">
        <v>111700</v>
      </c>
    </row>
    <row r="3688" spans="1:5" ht="15">
      <c r="A3688" s="120" t="s">
        <v>457</v>
      </c>
      <c r="B3688" s="121">
        <v>21</v>
      </c>
      <c r="C3688" s="121">
        <v>27</v>
      </c>
      <c r="D3688" s="121">
        <v>8</v>
      </c>
      <c r="E3688" s="121">
        <v>200</v>
      </c>
    </row>
    <row r="3689" spans="1:5" ht="15">
      <c r="A3689" s="120" t="s">
        <v>457</v>
      </c>
      <c r="B3689" s="121">
        <v>21</v>
      </c>
      <c r="C3689" s="121">
        <v>29</v>
      </c>
      <c r="D3689" s="121">
        <v>7</v>
      </c>
      <c r="E3689" s="121">
        <v>525000</v>
      </c>
    </row>
    <row r="3690" spans="1:5" ht="15">
      <c r="A3690" s="120" t="s">
        <v>457</v>
      </c>
      <c r="B3690" s="121">
        <v>21</v>
      </c>
      <c r="C3690" s="121">
        <v>31</v>
      </c>
      <c r="D3690" s="121">
        <v>2</v>
      </c>
      <c r="E3690" s="121">
        <v>125636</v>
      </c>
    </row>
    <row r="3691" spans="1:5" ht="15">
      <c r="A3691" s="120" t="s">
        <v>457</v>
      </c>
      <c r="B3691" s="121">
        <v>21</v>
      </c>
      <c r="C3691" s="121">
        <v>31</v>
      </c>
      <c r="D3691" s="121">
        <v>4</v>
      </c>
      <c r="E3691" s="121">
        <v>21759</v>
      </c>
    </row>
    <row r="3692" spans="1:5" ht="15">
      <c r="A3692" s="120" t="s">
        <v>457</v>
      </c>
      <c r="B3692" s="121">
        <v>21</v>
      </c>
      <c r="C3692" s="121">
        <v>31</v>
      </c>
      <c r="D3692" s="121">
        <v>7</v>
      </c>
      <c r="E3692" s="121">
        <v>10000</v>
      </c>
    </row>
    <row r="3693" spans="1:5" ht="15">
      <c r="A3693" s="120" t="s">
        <v>457</v>
      </c>
      <c r="B3693" s="121">
        <v>21</v>
      </c>
      <c r="C3693" s="121">
        <v>31</v>
      </c>
      <c r="D3693" s="121">
        <v>8</v>
      </c>
      <c r="E3693" s="121">
        <v>850</v>
      </c>
    </row>
    <row r="3694" spans="1:5" ht="15">
      <c r="A3694" s="120" t="s">
        <v>457</v>
      </c>
      <c r="B3694" s="121">
        <v>21</v>
      </c>
      <c r="C3694" s="121">
        <v>32</v>
      </c>
      <c r="D3694" s="121">
        <v>5</v>
      </c>
      <c r="E3694" s="121">
        <v>5500</v>
      </c>
    </row>
    <row r="3695" spans="1:5" ht="15">
      <c r="A3695" s="120" t="s">
        <v>457</v>
      </c>
      <c r="B3695" s="121">
        <v>21</v>
      </c>
      <c r="C3695" s="121">
        <v>33</v>
      </c>
      <c r="D3695" s="121">
        <v>5</v>
      </c>
      <c r="E3695" s="121">
        <v>6000</v>
      </c>
    </row>
    <row r="3696" spans="1:5" ht="15">
      <c r="A3696" s="120" t="s">
        <v>457</v>
      </c>
      <c r="B3696" s="121">
        <v>21</v>
      </c>
      <c r="C3696" s="121">
        <v>33</v>
      </c>
      <c r="D3696" s="121">
        <v>7</v>
      </c>
      <c r="E3696" s="121">
        <v>3200</v>
      </c>
    </row>
    <row r="3697" spans="1:5" ht="15">
      <c r="A3697" s="120" t="s">
        <v>457</v>
      </c>
      <c r="B3697" s="121">
        <v>21</v>
      </c>
      <c r="C3697" s="121">
        <v>34</v>
      </c>
      <c r="D3697" s="121">
        <v>2</v>
      </c>
      <c r="E3697" s="121">
        <v>46435</v>
      </c>
    </row>
    <row r="3698" spans="1:5" ht="15">
      <c r="A3698" s="120" t="s">
        <v>457</v>
      </c>
      <c r="B3698" s="121">
        <v>21</v>
      </c>
      <c r="C3698" s="121">
        <v>34</v>
      </c>
      <c r="D3698" s="121">
        <v>4</v>
      </c>
      <c r="E3698" s="121">
        <v>7589</v>
      </c>
    </row>
    <row r="3699" spans="1:5" ht="15">
      <c r="A3699" s="120" t="s">
        <v>365</v>
      </c>
      <c r="B3699" s="121">
        <v>29</v>
      </c>
      <c r="C3699" s="121">
        <v>26</v>
      </c>
      <c r="D3699" s="121">
        <v>7</v>
      </c>
      <c r="E3699" s="121">
        <v>8433</v>
      </c>
    </row>
    <row r="3700" spans="1:5" ht="15">
      <c r="A3700" s="120" t="s">
        <v>457</v>
      </c>
      <c r="B3700" s="121">
        <v>24</v>
      </c>
      <c r="C3700" s="121">
        <v>27</v>
      </c>
      <c r="D3700" s="121">
        <v>2</v>
      </c>
      <c r="E3700" s="121">
        <v>537566</v>
      </c>
    </row>
    <row r="3701" spans="1:5" ht="15">
      <c r="A3701" s="120" t="s">
        <v>457</v>
      </c>
      <c r="B3701" s="121">
        <v>24</v>
      </c>
      <c r="C3701" s="121">
        <v>27</v>
      </c>
      <c r="D3701" s="121">
        <v>4</v>
      </c>
      <c r="E3701" s="121">
        <v>175444</v>
      </c>
    </row>
    <row r="3702" spans="1:5" ht="15">
      <c r="A3702" s="120" t="s">
        <v>431</v>
      </c>
      <c r="B3702" s="121">
        <v>21</v>
      </c>
      <c r="C3702" s="121">
        <v>21</v>
      </c>
      <c r="D3702" s="121">
        <v>2</v>
      </c>
      <c r="E3702" s="121">
        <v>1210951</v>
      </c>
    </row>
    <row r="3703" spans="1:5" ht="15">
      <c r="A3703" s="120" t="s">
        <v>431</v>
      </c>
      <c r="B3703" s="121">
        <v>21</v>
      </c>
      <c r="C3703" s="121">
        <v>21</v>
      </c>
      <c r="D3703" s="121">
        <v>3</v>
      </c>
      <c r="E3703" s="121">
        <v>674090</v>
      </c>
    </row>
    <row r="3704" spans="1:5" ht="15">
      <c r="A3704" s="120" t="s">
        <v>431</v>
      </c>
      <c r="B3704" s="121">
        <v>21</v>
      </c>
      <c r="C3704" s="121">
        <v>21</v>
      </c>
      <c r="D3704" s="121">
        <v>4</v>
      </c>
      <c r="E3704" s="121">
        <v>519518</v>
      </c>
    </row>
    <row r="3705" spans="1:5" ht="15">
      <c r="A3705" s="120" t="s">
        <v>431</v>
      </c>
      <c r="B3705" s="121">
        <v>21</v>
      </c>
      <c r="C3705" s="121">
        <v>24</v>
      </c>
      <c r="D3705" s="121">
        <v>0</v>
      </c>
      <c r="E3705" s="121">
        <v>100</v>
      </c>
    </row>
    <row r="3706" spans="1:5" ht="15">
      <c r="A3706" s="120" t="s">
        <v>431</v>
      </c>
      <c r="B3706" s="121">
        <v>21</v>
      </c>
      <c r="C3706" s="121">
        <v>24</v>
      </c>
      <c r="D3706" s="121">
        <v>2</v>
      </c>
      <c r="E3706" s="121">
        <v>457505</v>
      </c>
    </row>
    <row r="3707" spans="1:5" ht="15">
      <c r="A3707" s="120" t="s">
        <v>431</v>
      </c>
      <c r="B3707" s="121">
        <v>21</v>
      </c>
      <c r="C3707" s="121">
        <v>24</v>
      </c>
      <c r="D3707" s="121">
        <v>3</v>
      </c>
      <c r="E3707" s="121">
        <v>269132</v>
      </c>
    </row>
    <row r="3708" spans="1:5" ht="15">
      <c r="A3708" s="120" t="s">
        <v>431</v>
      </c>
      <c r="B3708" s="121">
        <v>21</v>
      </c>
      <c r="C3708" s="121">
        <v>24</v>
      </c>
      <c r="D3708" s="121">
        <v>4</v>
      </c>
      <c r="E3708" s="121">
        <v>273775</v>
      </c>
    </row>
    <row r="3709" spans="1:5" ht="15">
      <c r="A3709" s="120" t="s">
        <v>431</v>
      </c>
      <c r="B3709" s="121">
        <v>21</v>
      </c>
      <c r="C3709" s="121">
        <v>24</v>
      </c>
      <c r="D3709" s="121">
        <v>5</v>
      </c>
      <c r="E3709" s="121">
        <v>2500</v>
      </c>
    </row>
    <row r="3710" spans="1:5" ht="15">
      <c r="A3710" s="120" t="s">
        <v>431</v>
      </c>
      <c r="B3710" s="121">
        <v>21</v>
      </c>
      <c r="C3710" s="121">
        <v>24</v>
      </c>
      <c r="D3710" s="121">
        <v>7</v>
      </c>
      <c r="E3710" s="121">
        <v>3500</v>
      </c>
    </row>
    <row r="3711" spans="1:5" ht="15">
      <c r="A3711" s="120" t="s">
        <v>431</v>
      </c>
      <c r="B3711" s="121">
        <v>21</v>
      </c>
      <c r="C3711" s="121">
        <v>24</v>
      </c>
      <c r="D3711" s="121">
        <v>8</v>
      </c>
      <c r="E3711" s="121">
        <v>4200</v>
      </c>
    </row>
    <row r="3712" spans="1:5" ht="15">
      <c r="A3712" s="120" t="s">
        <v>431</v>
      </c>
      <c r="B3712" s="121">
        <v>21</v>
      </c>
      <c r="C3712" s="121">
        <v>26</v>
      </c>
      <c r="D3712" s="121">
        <v>0</v>
      </c>
      <c r="E3712" s="121">
        <v>100</v>
      </c>
    </row>
    <row r="3713" spans="1:5" ht="15">
      <c r="A3713" s="120" t="s">
        <v>431</v>
      </c>
      <c r="B3713" s="121">
        <v>21</v>
      </c>
      <c r="C3713" s="121">
        <v>26</v>
      </c>
      <c r="D3713" s="121">
        <v>2</v>
      </c>
      <c r="E3713" s="121">
        <v>8068302</v>
      </c>
    </row>
    <row r="3714" spans="1:5" ht="15">
      <c r="A3714" s="120" t="s">
        <v>431</v>
      </c>
      <c r="B3714" s="121">
        <v>21</v>
      </c>
      <c r="C3714" s="121">
        <v>26</v>
      </c>
      <c r="D3714" s="121">
        <v>3</v>
      </c>
      <c r="E3714" s="121">
        <v>571516</v>
      </c>
    </row>
    <row r="3715" spans="1:5" ht="15">
      <c r="A3715" s="120" t="s">
        <v>431</v>
      </c>
      <c r="B3715" s="121">
        <v>21</v>
      </c>
      <c r="C3715" s="121">
        <v>26</v>
      </c>
      <c r="D3715" s="121">
        <v>4</v>
      </c>
      <c r="E3715" s="121">
        <v>2792995</v>
      </c>
    </row>
    <row r="3716" spans="1:5" ht="15">
      <c r="A3716" s="120" t="s">
        <v>431</v>
      </c>
      <c r="B3716" s="121">
        <v>21</v>
      </c>
      <c r="C3716" s="121">
        <v>26</v>
      </c>
      <c r="D3716" s="121">
        <v>5</v>
      </c>
      <c r="E3716" s="121">
        <v>119300</v>
      </c>
    </row>
    <row r="3717" spans="1:5" ht="15">
      <c r="A3717" s="120" t="s">
        <v>431</v>
      </c>
      <c r="B3717" s="121">
        <v>21</v>
      </c>
      <c r="C3717" s="121">
        <v>26</v>
      </c>
      <c r="D3717" s="121">
        <v>7</v>
      </c>
      <c r="E3717" s="121">
        <v>7500</v>
      </c>
    </row>
    <row r="3718" spans="1:5" ht="15">
      <c r="A3718" s="120" t="s">
        <v>431</v>
      </c>
      <c r="B3718" s="121">
        <v>21</v>
      </c>
      <c r="C3718" s="121">
        <v>26</v>
      </c>
      <c r="D3718" s="121">
        <v>8</v>
      </c>
      <c r="E3718" s="121">
        <v>4700</v>
      </c>
    </row>
    <row r="3719" spans="1:5" ht="15">
      <c r="A3719" s="120" t="s">
        <v>431</v>
      </c>
      <c r="B3719" s="121">
        <v>21</v>
      </c>
      <c r="C3719" s="121">
        <v>27</v>
      </c>
      <c r="D3719" s="121">
        <v>0</v>
      </c>
      <c r="E3719" s="121">
        <v>137150</v>
      </c>
    </row>
    <row r="3720" spans="1:5" ht="15">
      <c r="A3720" s="120" t="s">
        <v>431</v>
      </c>
      <c r="B3720" s="121">
        <v>21</v>
      </c>
      <c r="C3720" s="121">
        <v>27</v>
      </c>
      <c r="D3720" s="121">
        <v>2</v>
      </c>
      <c r="E3720" s="121">
        <v>14207870</v>
      </c>
    </row>
    <row r="3721" spans="1:5" ht="15">
      <c r="A3721" s="120" t="s">
        <v>431</v>
      </c>
      <c r="B3721" s="121">
        <v>21</v>
      </c>
      <c r="C3721" s="121">
        <v>27</v>
      </c>
      <c r="D3721" s="121">
        <v>3</v>
      </c>
      <c r="E3721" s="121">
        <v>17851047</v>
      </c>
    </row>
    <row r="3722" spans="1:5" ht="15">
      <c r="A3722" s="120" t="s">
        <v>431</v>
      </c>
      <c r="B3722" s="121">
        <v>21</v>
      </c>
      <c r="C3722" s="121">
        <v>27</v>
      </c>
      <c r="D3722" s="121">
        <v>4</v>
      </c>
      <c r="E3722" s="121">
        <v>13895376</v>
      </c>
    </row>
    <row r="3723" spans="1:5" ht="15">
      <c r="A3723" s="120" t="s">
        <v>431</v>
      </c>
      <c r="B3723" s="121">
        <v>21</v>
      </c>
      <c r="C3723" s="121">
        <v>27</v>
      </c>
      <c r="D3723" s="121">
        <v>5</v>
      </c>
      <c r="E3723" s="121">
        <v>292400</v>
      </c>
    </row>
    <row r="3724" spans="1:5" ht="15">
      <c r="A3724" s="120" t="s">
        <v>431</v>
      </c>
      <c r="B3724" s="121">
        <v>21</v>
      </c>
      <c r="C3724" s="121">
        <v>27</v>
      </c>
      <c r="D3724" s="121">
        <v>7</v>
      </c>
      <c r="E3724" s="121">
        <v>3746628</v>
      </c>
    </row>
    <row r="3725" spans="1:5" ht="15">
      <c r="A3725" s="120" t="s">
        <v>431</v>
      </c>
      <c r="B3725" s="121">
        <v>21</v>
      </c>
      <c r="C3725" s="121">
        <v>27</v>
      </c>
      <c r="D3725" s="121">
        <v>8</v>
      </c>
      <c r="E3725" s="121">
        <v>25750</v>
      </c>
    </row>
    <row r="3726" spans="1:5" ht="15">
      <c r="A3726" s="120" t="s">
        <v>431</v>
      </c>
      <c r="B3726" s="121">
        <v>21</v>
      </c>
      <c r="C3726" s="121">
        <v>27</v>
      </c>
      <c r="D3726" s="121">
        <v>9</v>
      </c>
      <c r="E3726" s="121">
        <v>10000</v>
      </c>
    </row>
    <row r="3727" spans="1:5" ht="15">
      <c r="A3727" s="120" t="s">
        <v>431</v>
      </c>
      <c r="B3727" s="121">
        <v>21</v>
      </c>
      <c r="C3727" s="121">
        <v>35</v>
      </c>
      <c r="D3727" s="121">
        <v>3</v>
      </c>
      <c r="E3727" s="121">
        <v>14286</v>
      </c>
    </row>
    <row r="3728" spans="1:5" ht="15">
      <c r="A3728" s="120" t="s">
        <v>431</v>
      </c>
      <c r="B3728" s="121">
        <v>21</v>
      </c>
      <c r="C3728" s="121">
        <v>35</v>
      </c>
      <c r="D3728" s="121">
        <v>4</v>
      </c>
      <c r="E3728" s="121">
        <v>18417</v>
      </c>
    </row>
    <row r="3729" spans="1:5" ht="15">
      <c r="A3729" s="120" t="s">
        <v>431</v>
      </c>
      <c r="B3729" s="121">
        <v>24</v>
      </c>
      <c r="C3729" s="121">
        <v>26</v>
      </c>
      <c r="D3729" s="121">
        <v>2</v>
      </c>
      <c r="E3729" s="121">
        <v>1214185</v>
      </c>
    </row>
    <row r="3730" spans="1:5" ht="15">
      <c r="A3730" s="120" t="s">
        <v>431</v>
      </c>
      <c r="B3730" s="121">
        <v>24</v>
      </c>
      <c r="C3730" s="121">
        <v>26</v>
      </c>
      <c r="D3730" s="121">
        <v>4</v>
      </c>
      <c r="E3730" s="121">
        <v>351827</v>
      </c>
    </row>
    <row r="3731" spans="1:5" ht="15">
      <c r="A3731" s="120" t="s">
        <v>431</v>
      </c>
      <c r="B3731" s="121">
        <v>24</v>
      </c>
      <c r="C3731" s="121">
        <v>27</v>
      </c>
      <c r="D3731" s="121">
        <v>2</v>
      </c>
      <c r="E3731" s="121">
        <v>2817149</v>
      </c>
    </row>
    <row r="3732" spans="1:5" ht="15">
      <c r="A3732" s="120" t="s">
        <v>431</v>
      </c>
      <c r="B3732" s="121">
        <v>24</v>
      </c>
      <c r="C3732" s="121">
        <v>27</v>
      </c>
      <c r="D3732" s="121">
        <v>4</v>
      </c>
      <c r="E3732" s="121">
        <v>861833</v>
      </c>
    </row>
    <row r="3733" spans="1:5" ht="15">
      <c r="A3733" s="120" t="s">
        <v>407</v>
      </c>
      <c r="B3733" s="121">
        <v>21</v>
      </c>
      <c r="C3733" s="121">
        <v>27</v>
      </c>
      <c r="D3733" s="121">
        <v>2</v>
      </c>
      <c r="E3733" s="121">
        <v>158423</v>
      </c>
    </row>
    <row r="3734" spans="1:5" ht="15">
      <c r="A3734" s="120" t="s">
        <v>407</v>
      </c>
      <c r="B3734" s="121">
        <v>21</v>
      </c>
      <c r="C3734" s="121">
        <v>27</v>
      </c>
      <c r="D3734" s="121">
        <v>3</v>
      </c>
      <c r="E3734" s="121">
        <v>287195</v>
      </c>
    </row>
    <row r="3735" spans="1:5" ht="15">
      <c r="A3735" s="120" t="s">
        <v>407</v>
      </c>
      <c r="B3735" s="121">
        <v>21</v>
      </c>
      <c r="C3735" s="121">
        <v>27</v>
      </c>
      <c r="D3735" s="121">
        <v>4</v>
      </c>
      <c r="E3735" s="121">
        <v>215159</v>
      </c>
    </row>
    <row r="3736" spans="1:5" ht="15">
      <c r="A3736" s="120" t="s">
        <v>407</v>
      </c>
      <c r="B3736" s="121">
        <v>21</v>
      </c>
      <c r="C3736" s="121">
        <v>27</v>
      </c>
      <c r="D3736" s="121">
        <v>5</v>
      </c>
      <c r="E3736" s="121">
        <v>6500</v>
      </c>
    </row>
    <row r="3737" spans="1:5" ht="15">
      <c r="A3737" s="120" t="s">
        <v>407</v>
      </c>
      <c r="B3737" s="121">
        <v>21</v>
      </c>
      <c r="C3737" s="121">
        <v>27</v>
      </c>
      <c r="D3737" s="121">
        <v>7</v>
      </c>
      <c r="E3737" s="121">
        <v>210600</v>
      </c>
    </row>
    <row r="3738" spans="1:5" ht="15">
      <c r="A3738" s="120" t="s">
        <v>407</v>
      </c>
      <c r="B3738" s="121">
        <v>21</v>
      </c>
      <c r="C3738" s="121">
        <v>29</v>
      </c>
      <c r="D3738" s="121">
        <v>7</v>
      </c>
      <c r="E3738" s="121">
        <v>165000</v>
      </c>
    </row>
    <row r="3739" spans="1:5" ht="15">
      <c r="A3739" s="120" t="s">
        <v>407</v>
      </c>
      <c r="B3739" s="121">
        <v>21</v>
      </c>
      <c r="C3739" s="121">
        <v>32</v>
      </c>
      <c r="D3739" s="121">
        <v>5</v>
      </c>
      <c r="E3739" s="121">
        <v>4000</v>
      </c>
    </row>
    <row r="3740" spans="1:5" ht="15">
      <c r="A3740" s="120" t="s">
        <v>407</v>
      </c>
      <c r="B3740" s="121">
        <v>21</v>
      </c>
      <c r="C3740" s="121">
        <v>33</v>
      </c>
      <c r="D3740" s="121">
        <v>5</v>
      </c>
      <c r="E3740" s="121">
        <v>2500</v>
      </c>
    </row>
    <row r="3741" spans="1:5" ht="15">
      <c r="A3741" s="120" t="s">
        <v>407</v>
      </c>
      <c r="B3741" s="121">
        <v>24</v>
      </c>
      <c r="C3741" s="121">
        <v>26</v>
      </c>
      <c r="D3741" s="121">
        <v>7</v>
      </c>
      <c r="E3741" s="121">
        <v>68107</v>
      </c>
    </row>
    <row r="3742" spans="1:5" ht="15">
      <c r="A3742" s="120" t="s">
        <v>459</v>
      </c>
      <c r="B3742" s="121">
        <v>21</v>
      </c>
      <c r="C3742" s="121">
        <v>26</v>
      </c>
      <c r="D3742" s="121">
        <v>2</v>
      </c>
      <c r="E3742" s="121">
        <v>69385</v>
      </c>
    </row>
    <row r="3743" spans="1:5" ht="15">
      <c r="A3743" s="120" t="s">
        <v>459</v>
      </c>
      <c r="B3743" s="121">
        <v>21</v>
      </c>
      <c r="C3743" s="121">
        <v>26</v>
      </c>
      <c r="D3743" s="121">
        <v>4</v>
      </c>
      <c r="E3743" s="121">
        <v>27356</v>
      </c>
    </row>
    <row r="3744" spans="1:5" ht="15">
      <c r="A3744" s="120" t="s">
        <v>459</v>
      </c>
      <c r="B3744" s="121">
        <v>21</v>
      </c>
      <c r="C3744" s="121">
        <v>26</v>
      </c>
      <c r="D3744" s="121">
        <v>7</v>
      </c>
      <c r="E3744" s="121">
        <v>30000</v>
      </c>
    </row>
    <row r="3745" spans="1:5" ht="15">
      <c r="A3745" s="120" t="s">
        <v>459</v>
      </c>
      <c r="B3745" s="121">
        <v>21</v>
      </c>
      <c r="C3745" s="121">
        <v>27</v>
      </c>
      <c r="D3745" s="121">
        <v>2</v>
      </c>
      <c r="E3745" s="121">
        <v>151410</v>
      </c>
    </row>
    <row r="3746" spans="1:5" ht="15">
      <c r="A3746" s="120" t="s">
        <v>459</v>
      </c>
      <c r="B3746" s="121">
        <v>21</v>
      </c>
      <c r="C3746" s="121">
        <v>27</v>
      </c>
      <c r="D3746" s="121">
        <v>3</v>
      </c>
      <c r="E3746" s="121">
        <v>165671</v>
      </c>
    </row>
    <row r="3747" spans="1:5" ht="15">
      <c r="A3747" s="120" t="s">
        <v>459</v>
      </c>
      <c r="B3747" s="121">
        <v>21</v>
      </c>
      <c r="C3747" s="121">
        <v>27</v>
      </c>
      <c r="D3747" s="121">
        <v>4</v>
      </c>
      <c r="E3747" s="121">
        <v>178486</v>
      </c>
    </row>
    <row r="3748" spans="1:5" ht="15">
      <c r="A3748" s="120" t="s">
        <v>459</v>
      </c>
      <c r="B3748" s="121">
        <v>21</v>
      </c>
      <c r="C3748" s="121">
        <v>27</v>
      </c>
      <c r="D3748" s="121">
        <v>5</v>
      </c>
      <c r="E3748" s="121">
        <v>6500</v>
      </c>
    </row>
    <row r="3749" spans="1:5" ht="15">
      <c r="A3749" s="120" t="s">
        <v>459</v>
      </c>
      <c r="B3749" s="121">
        <v>21</v>
      </c>
      <c r="C3749" s="121">
        <v>27</v>
      </c>
      <c r="D3749" s="121">
        <v>7</v>
      </c>
      <c r="E3749" s="121">
        <v>1350</v>
      </c>
    </row>
    <row r="3750" spans="1:5" ht="15">
      <c r="A3750" s="120" t="s">
        <v>459</v>
      </c>
      <c r="B3750" s="121">
        <v>21</v>
      </c>
      <c r="C3750" s="121">
        <v>33</v>
      </c>
      <c r="D3750" s="121">
        <v>5</v>
      </c>
      <c r="E3750" s="121">
        <v>1500</v>
      </c>
    </row>
    <row r="3751" spans="1:5" ht="15">
      <c r="A3751" s="120" t="s">
        <v>459</v>
      </c>
      <c r="B3751" s="121">
        <v>24</v>
      </c>
      <c r="C3751" s="121">
        <v>26</v>
      </c>
      <c r="D3751" s="121">
        <v>7</v>
      </c>
      <c r="E3751" s="121">
        <v>54057</v>
      </c>
    </row>
    <row r="3752" spans="1:5" ht="15">
      <c r="A3752" s="120" t="s">
        <v>459</v>
      </c>
      <c r="B3752" s="121">
        <v>24</v>
      </c>
      <c r="C3752" s="121">
        <v>27</v>
      </c>
      <c r="D3752" s="121">
        <v>5</v>
      </c>
      <c r="E3752" s="121">
        <v>1500</v>
      </c>
    </row>
    <row r="3753" spans="1:5" ht="15">
      <c r="A3753" s="120" t="s">
        <v>459</v>
      </c>
      <c r="B3753" s="121">
        <v>24</v>
      </c>
      <c r="C3753" s="121">
        <v>31</v>
      </c>
      <c r="D3753" s="121">
        <v>7</v>
      </c>
      <c r="E3753" s="121">
        <v>250</v>
      </c>
    </row>
    <row r="3754" spans="1:5" ht="15">
      <c r="A3754" s="120" t="s">
        <v>459</v>
      </c>
      <c r="B3754" s="121">
        <v>24</v>
      </c>
      <c r="C3754" s="121">
        <v>31</v>
      </c>
      <c r="D3754" s="121">
        <v>8</v>
      </c>
      <c r="E3754" s="121">
        <v>250</v>
      </c>
    </row>
    <row r="3755" spans="1:5" ht="15">
      <c r="A3755" s="120" t="s">
        <v>299</v>
      </c>
      <c r="B3755" s="121">
        <v>21</v>
      </c>
      <c r="C3755" s="121">
        <v>21</v>
      </c>
      <c r="D3755" s="121">
        <v>5</v>
      </c>
      <c r="E3755" s="121">
        <v>24300</v>
      </c>
    </row>
    <row r="3756" spans="1:5" ht="15">
      <c r="A3756" s="120" t="s">
        <v>299</v>
      </c>
      <c r="B3756" s="121">
        <v>21</v>
      </c>
      <c r="C3756" s="121">
        <v>21</v>
      </c>
      <c r="D3756" s="121">
        <v>7</v>
      </c>
      <c r="E3756" s="121">
        <v>16000</v>
      </c>
    </row>
    <row r="3757" spans="1:5" ht="15">
      <c r="A3757" s="120" t="s">
        <v>299</v>
      </c>
      <c r="B3757" s="121">
        <v>21</v>
      </c>
      <c r="C3757" s="121">
        <v>24</v>
      </c>
      <c r="D3757" s="121">
        <v>2</v>
      </c>
      <c r="E3757" s="121">
        <v>11070</v>
      </c>
    </row>
    <row r="3758" spans="1:5" ht="15">
      <c r="A3758" s="120" t="s">
        <v>299</v>
      </c>
      <c r="B3758" s="121">
        <v>21</v>
      </c>
      <c r="C3758" s="121">
        <v>24</v>
      </c>
      <c r="D3758" s="121">
        <v>4</v>
      </c>
      <c r="E3758" s="121">
        <v>7306</v>
      </c>
    </row>
    <row r="3759" spans="1:5" ht="15">
      <c r="A3759" s="120" t="s">
        <v>299</v>
      </c>
      <c r="B3759" s="121">
        <v>21</v>
      </c>
      <c r="C3759" s="121">
        <v>24</v>
      </c>
      <c r="D3759" s="121">
        <v>5</v>
      </c>
      <c r="E3759" s="121">
        <v>1700</v>
      </c>
    </row>
    <row r="3760" spans="1:5" ht="15">
      <c r="A3760" s="120" t="s">
        <v>299</v>
      </c>
      <c r="B3760" s="121">
        <v>21</v>
      </c>
      <c r="C3760" s="121">
        <v>26</v>
      </c>
      <c r="D3760" s="121">
        <v>2</v>
      </c>
      <c r="E3760" s="121">
        <v>5371662</v>
      </c>
    </row>
    <row r="3761" spans="1:5" ht="15">
      <c r="A3761" s="120" t="s">
        <v>299</v>
      </c>
      <c r="B3761" s="121">
        <v>21</v>
      </c>
      <c r="C3761" s="121">
        <v>26</v>
      </c>
      <c r="D3761" s="121">
        <v>3</v>
      </c>
      <c r="E3761" s="121">
        <v>276671</v>
      </c>
    </row>
    <row r="3762" spans="1:5" ht="15">
      <c r="A3762" s="120" t="s">
        <v>299</v>
      </c>
      <c r="B3762" s="121">
        <v>21</v>
      </c>
      <c r="C3762" s="121">
        <v>26</v>
      </c>
      <c r="D3762" s="121">
        <v>4</v>
      </c>
      <c r="E3762" s="121">
        <v>1924900</v>
      </c>
    </row>
    <row r="3763" spans="1:5" ht="15">
      <c r="A3763" s="120" t="s">
        <v>299</v>
      </c>
      <c r="B3763" s="121">
        <v>21</v>
      </c>
      <c r="C3763" s="121">
        <v>26</v>
      </c>
      <c r="D3763" s="121">
        <v>5</v>
      </c>
      <c r="E3763" s="121">
        <v>19750</v>
      </c>
    </row>
    <row r="3764" spans="1:5" ht="15">
      <c r="A3764" s="120" t="s">
        <v>299</v>
      </c>
      <c r="B3764" s="121">
        <v>21</v>
      </c>
      <c r="C3764" s="121">
        <v>26</v>
      </c>
      <c r="D3764" s="121">
        <v>7</v>
      </c>
      <c r="E3764" s="121">
        <v>1000</v>
      </c>
    </row>
    <row r="3765" spans="1:5" ht="15">
      <c r="A3765" s="120" t="s">
        <v>433</v>
      </c>
      <c r="B3765" s="121">
        <v>21</v>
      </c>
      <c r="C3765" s="121">
        <v>26</v>
      </c>
      <c r="D3765" s="121">
        <v>7</v>
      </c>
      <c r="E3765" s="121">
        <v>134236</v>
      </c>
    </row>
    <row r="3766" spans="1:5" ht="15">
      <c r="A3766" s="120" t="s">
        <v>433</v>
      </c>
      <c r="B3766" s="121">
        <v>21</v>
      </c>
      <c r="C3766" s="121">
        <v>27</v>
      </c>
      <c r="D3766" s="121">
        <v>3</v>
      </c>
      <c r="E3766" s="121">
        <v>2810</v>
      </c>
    </row>
    <row r="3767" spans="1:5" ht="15">
      <c r="A3767" s="120" t="s">
        <v>433</v>
      </c>
      <c r="B3767" s="121">
        <v>21</v>
      </c>
      <c r="C3767" s="121">
        <v>27</v>
      </c>
      <c r="D3767" s="121">
        <v>4</v>
      </c>
      <c r="E3767" s="121">
        <v>2029</v>
      </c>
    </row>
    <row r="3768" spans="1:5" ht="15">
      <c r="A3768" s="120" t="s">
        <v>433</v>
      </c>
      <c r="B3768" s="121">
        <v>21</v>
      </c>
      <c r="C3768" s="121">
        <v>27</v>
      </c>
      <c r="D3768" s="121">
        <v>7</v>
      </c>
      <c r="E3768" s="121">
        <v>192000</v>
      </c>
    </row>
    <row r="3769" spans="1:5" ht="15">
      <c r="A3769" s="120" t="s">
        <v>299</v>
      </c>
      <c r="B3769" s="121">
        <v>21</v>
      </c>
      <c r="C3769" s="121">
        <v>26</v>
      </c>
      <c r="D3769" s="121">
        <v>8</v>
      </c>
      <c r="E3769" s="121">
        <v>4750</v>
      </c>
    </row>
    <row r="3770" spans="1:5" ht="15">
      <c r="A3770" s="120" t="s">
        <v>299</v>
      </c>
      <c r="B3770" s="121">
        <v>21</v>
      </c>
      <c r="C3770" s="121">
        <v>27</v>
      </c>
      <c r="D3770" s="121">
        <v>0</v>
      </c>
      <c r="E3770" s="121">
        <v>230</v>
      </c>
    </row>
    <row r="3771" spans="1:5" ht="15">
      <c r="A3771" s="120" t="s">
        <v>299</v>
      </c>
      <c r="B3771" s="121">
        <v>21</v>
      </c>
      <c r="C3771" s="121">
        <v>27</v>
      </c>
      <c r="D3771" s="121">
        <v>2</v>
      </c>
      <c r="E3771" s="121">
        <v>9069199</v>
      </c>
    </row>
    <row r="3772" spans="1:5" ht="15">
      <c r="A3772" s="120" t="s">
        <v>299</v>
      </c>
      <c r="B3772" s="121">
        <v>21</v>
      </c>
      <c r="C3772" s="121">
        <v>27</v>
      </c>
      <c r="D3772" s="121">
        <v>3</v>
      </c>
      <c r="E3772" s="121">
        <v>4422742</v>
      </c>
    </row>
    <row r="3773" spans="1:5" ht="15">
      <c r="A3773" s="120" t="s">
        <v>299</v>
      </c>
      <c r="B3773" s="121">
        <v>21</v>
      </c>
      <c r="C3773" s="121">
        <v>27</v>
      </c>
      <c r="D3773" s="121">
        <v>4</v>
      </c>
      <c r="E3773" s="121">
        <v>6393890</v>
      </c>
    </row>
    <row r="3774" spans="1:5" ht="15">
      <c r="A3774" s="120" t="s">
        <v>299</v>
      </c>
      <c r="B3774" s="121">
        <v>21</v>
      </c>
      <c r="C3774" s="121">
        <v>27</v>
      </c>
      <c r="D3774" s="121">
        <v>5</v>
      </c>
      <c r="E3774" s="121">
        <v>83965</v>
      </c>
    </row>
    <row r="3775" spans="1:5" ht="15">
      <c r="A3775" s="120" t="s">
        <v>299</v>
      </c>
      <c r="B3775" s="121">
        <v>21</v>
      </c>
      <c r="C3775" s="121">
        <v>27</v>
      </c>
      <c r="D3775" s="121">
        <v>7</v>
      </c>
      <c r="E3775" s="121">
        <v>1810000</v>
      </c>
    </row>
    <row r="3776" spans="1:5" ht="15">
      <c r="A3776" s="120" t="s">
        <v>299</v>
      </c>
      <c r="B3776" s="121">
        <v>21</v>
      </c>
      <c r="C3776" s="121">
        <v>27</v>
      </c>
      <c r="D3776" s="121">
        <v>8</v>
      </c>
      <c r="E3776" s="121">
        <v>7000</v>
      </c>
    </row>
    <row r="3777" spans="1:5" ht="15">
      <c r="A3777" s="120" t="s">
        <v>299</v>
      </c>
      <c r="B3777" s="121">
        <v>21</v>
      </c>
      <c r="C3777" s="121">
        <v>31</v>
      </c>
      <c r="D3777" s="121">
        <v>2</v>
      </c>
      <c r="E3777" s="121">
        <v>310</v>
      </c>
    </row>
    <row r="3778" spans="1:5" ht="15">
      <c r="A3778" s="120" t="s">
        <v>299</v>
      </c>
      <c r="B3778" s="121">
        <v>21</v>
      </c>
      <c r="C3778" s="121">
        <v>31</v>
      </c>
      <c r="D3778" s="121">
        <v>3</v>
      </c>
      <c r="E3778" s="121">
        <v>45723</v>
      </c>
    </row>
    <row r="3779" spans="1:5" ht="15">
      <c r="A3779" s="120" t="s">
        <v>299</v>
      </c>
      <c r="B3779" s="121">
        <v>21</v>
      </c>
      <c r="C3779" s="121">
        <v>31</v>
      </c>
      <c r="D3779" s="121">
        <v>4</v>
      </c>
      <c r="E3779" s="121">
        <v>23859</v>
      </c>
    </row>
    <row r="3780" spans="1:5" ht="15">
      <c r="A3780" s="120" t="s">
        <v>299</v>
      </c>
      <c r="B3780" s="121">
        <v>21</v>
      </c>
      <c r="C3780" s="121">
        <v>31</v>
      </c>
      <c r="D3780" s="121">
        <v>5</v>
      </c>
      <c r="E3780" s="121">
        <v>5000</v>
      </c>
    </row>
    <row r="3781" spans="1:5" ht="15">
      <c r="A3781" s="120" t="s">
        <v>299</v>
      </c>
      <c r="B3781" s="121">
        <v>21</v>
      </c>
      <c r="C3781" s="121">
        <v>32</v>
      </c>
      <c r="D3781" s="121">
        <v>5</v>
      </c>
      <c r="E3781" s="121">
        <v>15000</v>
      </c>
    </row>
    <row r="3782" spans="1:5" ht="15">
      <c r="A3782" s="120" t="s">
        <v>299</v>
      </c>
      <c r="B3782" s="121">
        <v>21</v>
      </c>
      <c r="C3782" s="121">
        <v>33</v>
      </c>
      <c r="D3782" s="121">
        <v>5</v>
      </c>
      <c r="E3782" s="121">
        <v>65250</v>
      </c>
    </row>
    <row r="3783" spans="1:5" ht="15">
      <c r="A3783" s="120" t="s">
        <v>299</v>
      </c>
      <c r="B3783" s="121">
        <v>21</v>
      </c>
      <c r="C3783" s="121">
        <v>34</v>
      </c>
      <c r="D3783" s="121">
        <v>2</v>
      </c>
      <c r="E3783" s="121">
        <v>218671</v>
      </c>
    </row>
    <row r="3784" spans="1:5" ht="15">
      <c r="A3784" s="120" t="s">
        <v>299</v>
      </c>
      <c r="B3784" s="121">
        <v>21</v>
      </c>
      <c r="C3784" s="121">
        <v>34</v>
      </c>
      <c r="D3784" s="121">
        <v>4</v>
      </c>
      <c r="E3784" s="121">
        <v>33664</v>
      </c>
    </row>
    <row r="3785" spans="1:5" ht="15">
      <c r="A3785" s="120" t="s">
        <v>433</v>
      </c>
      <c r="B3785" s="121">
        <v>24</v>
      </c>
      <c r="C3785" s="121">
        <v>27</v>
      </c>
      <c r="D3785" s="121">
        <v>7</v>
      </c>
      <c r="E3785" s="121">
        <v>10564</v>
      </c>
    </row>
    <row r="3786" spans="1:5" ht="15">
      <c r="A3786" s="120" t="s">
        <v>299</v>
      </c>
      <c r="B3786" s="121">
        <v>24</v>
      </c>
      <c r="C3786" s="121">
        <v>21</v>
      </c>
      <c r="D3786" s="121">
        <v>2</v>
      </c>
      <c r="E3786" s="121">
        <v>347816</v>
      </c>
    </row>
    <row r="3787" spans="1:5" ht="15">
      <c r="A3787" s="120" t="s">
        <v>299</v>
      </c>
      <c r="B3787" s="121">
        <v>24</v>
      </c>
      <c r="C3787" s="121">
        <v>21</v>
      </c>
      <c r="D3787" s="121">
        <v>3</v>
      </c>
      <c r="E3787" s="121">
        <v>204649</v>
      </c>
    </row>
    <row r="3788" spans="1:5" ht="15">
      <c r="A3788" s="120" t="s">
        <v>299</v>
      </c>
      <c r="B3788" s="121">
        <v>24</v>
      </c>
      <c r="C3788" s="121">
        <v>21</v>
      </c>
      <c r="D3788" s="121">
        <v>4</v>
      </c>
      <c r="E3788" s="121">
        <v>215184</v>
      </c>
    </row>
    <row r="3789" spans="1:5" ht="15">
      <c r="A3789" s="120" t="s">
        <v>299</v>
      </c>
      <c r="B3789" s="121">
        <v>24</v>
      </c>
      <c r="C3789" s="121">
        <v>27</v>
      </c>
      <c r="D3789" s="121">
        <v>2</v>
      </c>
      <c r="E3789" s="121">
        <v>870330</v>
      </c>
    </row>
    <row r="3790" spans="1:5" ht="15">
      <c r="A3790" s="120" t="s">
        <v>299</v>
      </c>
      <c r="B3790" s="121">
        <v>24</v>
      </c>
      <c r="C3790" s="121">
        <v>27</v>
      </c>
      <c r="D3790" s="121">
        <v>4</v>
      </c>
      <c r="E3790" s="121">
        <v>254156</v>
      </c>
    </row>
    <row r="3791" spans="1:5" ht="15">
      <c r="A3791" s="120" t="s">
        <v>299</v>
      </c>
      <c r="B3791" s="121">
        <v>24</v>
      </c>
      <c r="C3791" s="121">
        <v>31</v>
      </c>
      <c r="D3791" s="121">
        <v>2</v>
      </c>
      <c r="E3791" s="121">
        <v>13327</v>
      </c>
    </row>
    <row r="3792" spans="1:5" ht="15">
      <c r="A3792" s="120" t="s">
        <v>299</v>
      </c>
      <c r="B3792" s="121">
        <v>24</v>
      </c>
      <c r="C3792" s="121">
        <v>31</v>
      </c>
      <c r="D3792" s="121">
        <v>4</v>
      </c>
      <c r="E3792" s="121">
        <v>1681</v>
      </c>
    </row>
    <row r="3793" spans="1:5" ht="15">
      <c r="A3793" s="120" t="s">
        <v>299</v>
      </c>
      <c r="B3793" s="121">
        <v>24</v>
      </c>
      <c r="C3793" s="121">
        <v>32</v>
      </c>
      <c r="D3793" s="121">
        <v>3</v>
      </c>
      <c r="E3793" s="121">
        <v>93853</v>
      </c>
    </row>
    <row r="3794" spans="1:5" ht="15">
      <c r="A3794" s="120" t="s">
        <v>299</v>
      </c>
      <c r="B3794" s="121">
        <v>24</v>
      </c>
      <c r="C3794" s="121">
        <v>32</v>
      </c>
      <c r="D3794" s="121">
        <v>4</v>
      </c>
      <c r="E3794" s="121">
        <v>48113</v>
      </c>
    </row>
    <row r="3795" spans="1:5" ht="15">
      <c r="A3795" s="120" t="s">
        <v>433</v>
      </c>
      <c r="B3795" s="121">
        <v>29</v>
      </c>
      <c r="C3795" s="121">
        <v>27</v>
      </c>
      <c r="D3795" s="121">
        <v>3</v>
      </c>
      <c r="E3795" s="121">
        <v>3371</v>
      </c>
    </row>
    <row r="3796" spans="1:5" ht="15">
      <c r="A3796" s="120" t="s">
        <v>433</v>
      </c>
      <c r="B3796" s="121">
        <v>29</v>
      </c>
      <c r="C3796" s="121">
        <v>27</v>
      </c>
      <c r="D3796" s="121">
        <v>4</v>
      </c>
      <c r="E3796" s="121">
        <v>2434</v>
      </c>
    </row>
    <row r="3797" spans="1:5" ht="15">
      <c r="A3797" s="120" t="s">
        <v>471</v>
      </c>
      <c r="B3797" s="121">
        <v>21</v>
      </c>
      <c r="C3797" s="121">
        <v>21</v>
      </c>
      <c r="D3797" s="121">
        <v>2</v>
      </c>
      <c r="E3797" s="121">
        <v>143512</v>
      </c>
    </row>
    <row r="3798" spans="1:5" ht="15">
      <c r="A3798" s="120" t="s">
        <v>471</v>
      </c>
      <c r="B3798" s="121">
        <v>21</v>
      </c>
      <c r="C3798" s="121">
        <v>21</v>
      </c>
      <c r="D3798" s="121">
        <v>4</v>
      </c>
      <c r="E3798" s="121">
        <v>39046</v>
      </c>
    </row>
    <row r="3799" spans="1:5" ht="15">
      <c r="A3799" s="120" t="s">
        <v>471</v>
      </c>
      <c r="B3799" s="121">
        <v>21</v>
      </c>
      <c r="C3799" s="121">
        <v>21</v>
      </c>
      <c r="D3799" s="121">
        <v>7</v>
      </c>
      <c r="E3799" s="121">
        <v>3000</v>
      </c>
    </row>
    <row r="3800" spans="1:5" ht="15">
      <c r="A3800" s="120" t="s">
        <v>471</v>
      </c>
      <c r="B3800" s="121">
        <v>21</v>
      </c>
      <c r="C3800" s="121">
        <v>23</v>
      </c>
      <c r="D3800" s="121">
        <v>3</v>
      </c>
      <c r="E3800" s="121">
        <v>46895</v>
      </c>
    </row>
    <row r="3801" spans="1:5" ht="15">
      <c r="A3801" s="120" t="s">
        <v>471</v>
      </c>
      <c r="B3801" s="121">
        <v>21</v>
      </c>
      <c r="C3801" s="121">
        <v>23</v>
      </c>
      <c r="D3801" s="121">
        <v>4</v>
      </c>
      <c r="E3801" s="121">
        <v>23416</v>
      </c>
    </row>
    <row r="3802" spans="1:5" ht="15">
      <c r="A3802" s="120" t="s">
        <v>471</v>
      </c>
      <c r="B3802" s="121">
        <v>21</v>
      </c>
      <c r="C3802" s="121">
        <v>26</v>
      </c>
      <c r="D3802" s="121">
        <v>2</v>
      </c>
      <c r="E3802" s="121">
        <v>218094</v>
      </c>
    </row>
    <row r="3803" spans="1:5" ht="15">
      <c r="A3803" s="120" t="s">
        <v>471</v>
      </c>
      <c r="B3803" s="121">
        <v>21</v>
      </c>
      <c r="C3803" s="121">
        <v>26</v>
      </c>
      <c r="D3803" s="121">
        <v>4</v>
      </c>
      <c r="E3803" s="121">
        <v>66738</v>
      </c>
    </row>
    <row r="3804" spans="1:5" ht="15">
      <c r="A3804" s="120" t="s">
        <v>471</v>
      </c>
      <c r="B3804" s="121">
        <v>21</v>
      </c>
      <c r="C3804" s="121">
        <v>26</v>
      </c>
      <c r="D3804" s="121">
        <v>7</v>
      </c>
      <c r="E3804" s="121">
        <v>316164</v>
      </c>
    </row>
    <row r="3805" spans="1:5" ht="15">
      <c r="A3805" s="120" t="s">
        <v>471</v>
      </c>
      <c r="B3805" s="121">
        <v>21</v>
      </c>
      <c r="C3805" s="121">
        <v>26</v>
      </c>
      <c r="D3805" s="121">
        <v>8</v>
      </c>
      <c r="E3805" s="121">
        <v>11000</v>
      </c>
    </row>
    <row r="3806" spans="1:5" ht="15">
      <c r="A3806" s="120" t="s">
        <v>471</v>
      </c>
      <c r="B3806" s="121">
        <v>21</v>
      </c>
      <c r="C3806" s="121">
        <v>27</v>
      </c>
      <c r="D3806" s="121">
        <v>2</v>
      </c>
      <c r="E3806" s="121">
        <v>817280</v>
      </c>
    </row>
    <row r="3807" spans="1:5" ht="15">
      <c r="A3807" s="120" t="s">
        <v>471</v>
      </c>
      <c r="B3807" s="121">
        <v>21</v>
      </c>
      <c r="C3807" s="121">
        <v>27</v>
      </c>
      <c r="D3807" s="121">
        <v>3</v>
      </c>
      <c r="E3807" s="121">
        <v>346312</v>
      </c>
    </row>
    <row r="3808" spans="1:5" ht="15">
      <c r="A3808" s="120" t="s">
        <v>471</v>
      </c>
      <c r="B3808" s="121">
        <v>21</v>
      </c>
      <c r="C3808" s="121">
        <v>27</v>
      </c>
      <c r="D3808" s="121">
        <v>4</v>
      </c>
      <c r="E3808" s="121">
        <v>485915</v>
      </c>
    </row>
    <row r="3809" spans="1:5" ht="15">
      <c r="A3809" s="120" t="s">
        <v>471</v>
      </c>
      <c r="B3809" s="121">
        <v>21</v>
      </c>
      <c r="C3809" s="121">
        <v>27</v>
      </c>
      <c r="D3809" s="121">
        <v>5</v>
      </c>
      <c r="E3809" s="121">
        <v>240857</v>
      </c>
    </row>
    <row r="3810" spans="1:5" ht="15">
      <c r="A3810" s="120" t="s">
        <v>471</v>
      </c>
      <c r="B3810" s="121">
        <v>21</v>
      </c>
      <c r="C3810" s="121">
        <v>31</v>
      </c>
      <c r="D3810" s="121">
        <v>7</v>
      </c>
      <c r="E3810" s="121">
        <v>15000</v>
      </c>
    </row>
    <row r="3811" spans="1:5" ht="15">
      <c r="A3811" s="120" t="s">
        <v>471</v>
      </c>
      <c r="B3811" s="121">
        <v>21</v>
      </c>
      <c r="C3811" s="121">
        <v>33</v>
      </c>
      <c r="D3811" s="121">
        <v>5</v>
      </c>
      <c r="E3811" s="121">
        <v>15000</v>
      </c>
    </row>
    <row r="3812" spans="1:5" ht="15">
      <c r="A3812" s="120" t="s">
        <v>471</v>
      </c>
      <c r="B3812" s="121">
        <v>21</v>
      </c>
      <c r="C3812" s="121">
        <v>34</v>
      </c>
      <c r="D3812" s="121">
        <v>2</v>
      </c>
      <c r="E3812" s="121">
        <v>14370</v>
      </c>
    </row>
    <row r="3813" spans="1:5" ht="15">
      <c r="A3813" s="120" t="s">
        <v>471</v>
      </c>
      <c r="B3813" s="121">
        <v>21</v>
      </c>
      <c r="C3813" s="121">
        <v>34</v>
      </c>
      <c r="D3813" s="121">
        <v>4</v>
      </c>
      <c r="E3813" s="121">
        <v>2522</v>
      </c>
    </row>
    <row r="3814" spans="1:5" ht="15">
      <c r="A3814" s="120" t="s">
        <v>471</v>
      </c>
      <c r="B3814" s="121">
        <v>24</v>
      </c>
      <c r="C3814" s="121">
        <v>27</v>
      </c>
      <c r="D3814" s="121">
        <v>3</v>
      </c>
      <c r="E3814" s="121">
        <v>185806</v>
      </c>
    </row>
    <row r="3815" spans="1:5" ht="15">
      <c r="A3815" s="120" t="s">
        <v>471</v>
      </c>
      <c r="B3815" s="121">
        <v>24</v>
      </c>
      <c r="C3815" s="121">
        <v>27</v>
      </c>
      <c r="D3815" s="121">
        <v>4</v>
      </c>
      <c r="E3815" s="121">
        <v>132846</v>
      </c>
    </row>
    <row r="3816" spans="1:5" ht="15">
      <c r="A3816" s="120" t="s">
        <v>439</v>
      </c>
      <c r="B3816" s="121">
        <v>21</v>
      </c>
      <c r="C3816" s="121">
        <v>21</v>
      </c>
      <c r="D3816" s="121">
        <v>2</v>
      </c>
      <c r="E3816" s="121">
        <v>287400</v>
      </c>
    </row>
    <row r="3817" spans="1:5" ht="15">
      <c r="A3817" s="120" t="s">
        <v>439</v>
      </c>
      <c r="B3817" s="121">
        <v>21</v>
      </c>
      <c r="C3817" s="121">
        <v>21</v>
      </c>
      <c r="D3817" s="121">
        <v>3</v>
      </c>
      <c r="E3817" s="121">
        <v>82743</v>
      </c>
    </row>
    <row r="3818" spans="1:5" ht="15">
      <c r="A3818" s="120" t="s">
        <v>439</v>
      </c>
      <c r="B3818" s="121">
        <v>21</v>
      </c>
      <c r="C3818" s="121">
        <v>21</v>
      </c>
      <c r="D3818" s="121">
        <v>4</v>
      </c>
      <c r="E3818" s="121">
        <v>123520</v>
      </c>
    </row>
    <row r="3819" spans="1:5" ht="15">
      <c r="A3819" s="120" t="s">
        <v>439</v>
      </c>
      <c r="B3819" s="121">
        <v>21</v>
      </c>
      <c r="C3819" s="121">
        <v>25</v>
      </c>
      <c r="D3819" s="121">
        <v>3</v>
      </c>
      <c r="E3819" s="121">
        <v>68144</v>
      </c>
    </row>
    <row r="3820" spans="1:5" ht="15">
      <c r="A3820" s="120" t="s">
        <v>439</v>
      </c>
      <c r="B3820" s="121">
        <v>21</v>
      </c>
      <c r="C3820" s="121">
        <v>25</v>
      </c>
      <c r="D3820" s="121">
        <v>4</v>
      </c>
      <c r="E3820" s="121">
        <v>72933</v>
      </c>
    </row>
    <row r="3821" spans="1:5" ht="15">
      <c r="A3821" s="120" t="s">
        <v>439</v>
      </c>
      <c r="B3821" s="121">
        <v>21</v>
      </c>
      <c r="C3821" s="121">
        <v>26</v>
      </c>
      <c r="D3821" s="121">
        <v>3</v>
      </c>
      <c r="E3821" s="121">
        <v>210</v>
      </c>
    </row>
    <row r="3822" spans="1:5" ht="15">
      <c r="A3822" s="120" t="s">
        <v>439</v>
      </c>
      <c r="B3822" s="121">
        <v>21</v>
      </c>
      <c r="C3822" s="121">
        <v>26</v>
      </c>
      <c r="D3822" s="121">
        <v>4</v>
      </c>
      <c r="E3822" s="121">
        <v>28</v>
      </c>
    </row>
    <row r="3823" spans="1:5" ht="15">
      <c r="A3823" s="120" t="s">
        <v>439</v>
      </c>
      <c r="B3823" s="121">
        <v>21</v>
      </c>
      <c r="C3823" s="121">
        <v>26</v>
      </c>
      <c r="D3823" s="121">
        <v>7</v>
      </c>
      <c r="E3823" s="121">
        <v>1418848</v>
      </c>
    </row>
    <row r="3824" spans="1:5" ht="15">
      <c r="A3824" s="120" t="s">
        <v>439</v>
      </c>
      <c r="B3824" s="121">
        <v>21</v>
      </c>
      <c r="C3824" s="121">
        <v>27</v>
      </c>
      <c r="D3824" s="121">
        <v>2</v>
      </c>
      <c r="E3824" s="121">
        <v>1451301</v>
      </c>
    </row>
    <row r="3825" spans="1:5" ht="15">
      <c r="A3825" s="120" t="s">
        <v>439</v>
      </c>
      <c r="B3825" s="121">
        <v>21</v>
      </c>
      <c r="C3825" s="121">
        <v>27</v>
      </c>
      <c r="D3825" s="121">
        <v>3</v>
      </c>
      <c r="E3825" s="121">
        <v>1238842</v>
      </c>
    </row>
    <row r="3826" spans="1:5" ht="15">
      <c r="A3826" s="120" t="s">
        <v>439</v>
      </c>
      <c r="B3826" s="121">
        <v>21</v>
      </c>
      <c r="C3826" s="121">
        <v>27</v>
      </c>
      <c r="D3826" s="121">
        <v>4</v>
      </c>
      <c r="E3826" s="121">
        <v>1270852</v>
      </c>
    </row>
    <row r="3827" spans="1:5" ht="15">
      <c r="A3827" s="120" t="s">
        <v>439</v>
      </c>
      <c r="B3827" s="121">
        <v>24</v>
      </c>
      <c r="C3827" s="121">
        <v>26</v>
      </c>
      <c r="D3827" s="121">
        <v>2</v>
      </c>
      <c r="E3827" s="121">
        <v>279244</v>
      </c>
    </row>
    <row r="3828" spans="1:5" ht="15">
      <c r="A3828" s="120" t="s">
        <v>439</v>
      </c>
      <c r="B3828" s="121">
        <v>24</v>
      </c>
      <c r="C3828" s="121">
        <v>26</v>
      </c>
      <c r="D3828" s="121">
        <v>3</v>
      </c>
      <c r="E3828" s="121">
        <v>124036</v>
      </c>
    </row>
    <row r="3829" spans="1:5" ht="15">
      <c r="A3829" s="120" t="s">
        <v>439</v>
      </c>
      <c r="B3829" s="121">
        <v>24</v>
      </c>
      <c r="C3829" s="121">
        <v>26</v>
      </c>
      <c r="D3829" s="121">
        <v>4</v>
      </c>
      <c r="E3829" s="121">
        <v>170090</v>
      </c>
    </row>
    <row r="3830" spans="1:5" ht="15">
      <c r="A3830" s="120" t="s">
        <v>439</v>
      </c>
      <c r="B3830" s="121">
        <v>24</v>
      </c>
      <c r="C3830" s="121">
        <v>26</v>
      </c>
      <c r="D3830" s="121">
        <v>7</v>
      </c>
      <c r="E3830" s="121">
        <v>69386</v>
      </c>
    </row>
    <row r="3831" spans="1:5" ht="15">
      <c r="A3831" s="120" t="s">
        <v>439</v>
      </c>
      <c r="B3831" s="121">
        <v>24</v>
      </c>
      <c r="C3831" s="121">
        <v>27</v>
      </c>
      <c r="D3831" s="121">
        <v>3</v>
      </c>
      <c r="E3831" s="121">
        <v>11160</v>
      </c>
    </row>
    <row r="3832" spans="1:5" ht="15">
      <c r="A3832" s="120" t="s">
        <v>439</v>
      </c>
      <c r="B3832" s="121">
        <v>24</v>
      </c>
      <c r="C3832" s="121">
        <v>27</v>
      </c>
      <c r="D3832" s="121">
        <v>4</v>
      </c>
      <c r="E3832" s="121">
        <v>6286</v>
      </c>
    </row>
    <row r="3833" spans="1:5" ht="15">
      <c r="A3833" s="120" t="s">
        <v>409</v>
      </c>
      <c r="B3833" s="121">
        <v>21</v>
      </c>
      <c r="C3833" s="121">
        <v>21</v>
      </c>
      <c r="D3833" s="121">
        <v>2</v>
      </c>
      <c r="E3833" s="121">
        <v>648833</v>
      </c>
    </row>
    <row r="3834" spans="1:5" ht="15">
      <c r="A3834" s="120" t="s">
        <v>409</v>
      </c>
      <c r="B3834" s="121">
        <v>21</v>
      </c>
      <c r="C3834" s="121">
        <v>21</v>
      </c>
      <c r="D3834" s="121">
        <v>3</v>
      </c>
      <c r="E3834" s="121">
        <v>117701</v>
      </c>
    </row>
    <row r="3835" spans="1:5" ht="15">
      <c r="A3835" s="120" t="s">
        <v>409</v>
      </c>
      <c r="B3835" s="121">
        <v>21</v>
      </c>
      <c r="C3835" s="121">
        <v>21</v>
      </c>
      <c r="D3835" s="121">
        <v>4</v>
      </c>
      <c r="E3835" s="121">
        <v>196668</v>
      </c>
    </row>
    <row r="3836" spans="1:5" ht="15">
      <c r="A3836" s="120" t="s">
        <v>409</v>
      </c>
      <c r="B3836" s="121">
        <v>21</v>
      </c>
      <c r="C3836" s="121">
        <v>21</v>
      </c>
      <c r="D3836" s="121">
        <v>5</v>
      </c>
      <c r="E3836" s="121">
        <v>4000</v>
      </c>
    </row>
    <row r="3837" spans="1:5" ht="15">
      <c r="A3837" s="120" t="s">
        <v>409</v>
      </c>
      <c r="B3837" s="121">
        <v>21</v>
      </c>
      <c r="C3837" s="121">
        <v>21</v>
      </c>
      <c r="D3837" s="121">
        <v>7</v>
      </c>
      <c r="E3837" s="121">
        <v>18000</v>
      </c>
    </row>
    <row r="3838" spans="1:5" ht="15">
      <c r="A3838" s="120" t="s">
        <v>409</v>
      </c>
      <c r="B3838" s="121">
        <v>21</v>
      </c>
      <c r="C3838" s="121">
        <v>21</v>
      </c>
      <c r="D3838" s="121">
        <v>8</v>
      </c>
      <c r="E3838" s="121">
        <v>2000</v>
      </c>
    </row>
    <row r="3839" spans="1:5" ht="15">
      <c r="A3839" s="120" t="s">
        <v>409</v>
      </c>
      <c r="B3839" s="121">
        <v>21</v>
      </c>
      <c r="C3839" s="121">
        <v>24</v>
      </c>
      <c r="D3839" s="121">
        <v>2</v>
      </c>
      <c r="E3839" s="121">
        <v>119859</v>
      </c>
    </row>
    <row r="3840" spans="1:5" ht="15">
      <c r="A3840" s="120" t="s">
        <v>409</v>
      </c>
      <c r="B3840" s="121">
        <v>21</v>
      </c>
      <c r="C3840" s="121">
        <v>24</v>
      </c>
      <c r="D3840" s="121">
        <v>4</v>
      </c>
      <c r="E3840" s="121">
        <v>35146</v>
      </c>
    </row>
    <row r="3841" spans="1:5" ht="15">
      <c r="A3841" s="120" t="s">
        <v>409</v>
      </c>
      <c r="B3841" s="121">
        <v>21</v>
      </c>
      <c r="C3841" s="121">
        <v>24</v>
      </c>
      <c r="D3841" s="121">
        <v>5</v>
      </c>
      <c r="E3841" s="121">
        <v>40000</v>
      </c>
    </row>
    <row r="3842" spans="1:5" ht="15">
      <c r="A3842" s="120" t="s">
        <v>409</v>
      </c>
      <c r="B3842" s="121">
        <v>21</v>
      </c>
      <c r="C3842" s="121">
        <v>24</v>
      </c>
      <c r="D3842" s="121">
        <v>7</v>
      </c>
      <c r="E3842" s="121">
        <v>7000</v>
      </c>
    </row>
    <row r="3843" spans="1:5" ht="15">
      <c r="A3843" s="120" t="s">
        <v>409</v>
      </c>
      <c r="B3843" s="121">
        <v>21</v>
      </c>
      <c r="C3843" s="121">
        <v>24</v>
      </c>
      <c r="D3843" s="121">
        <v>8</v>
      </c>
      <c r="E3843" s="121">
        <v>1500</v>
      </c>
    </row>
    <row r="3844" spans="1:5" ht="15">
      <c r="A3844" s="120" t="s">
        <v>409</v>
      </c>
      <c r="B3844" s="121">
        <v>21</v>
      </c>
      <c r="C3844" s="121">
        <v>25</v>
      </c>
      <c r="D3844" s="121">
        <v>3</v>
      </c>
      <c r="E3844" s="121">
        <v>35211</v>
      </c>
    </row>
    <row r="3845" spans="1:5" ht="15">
      <c r="A3845" s="120" t="s">
        <v>409</v>
      </c>
      <c r="B3845" s="121">
        <v>21</v>
      </c>
      <c r="C3845" s="121">
        <v>25</v>
      </c>
      <c r="D3845" s="121">
        <v>4</v>
      </c>
      <c r="E3845" s="121">
        <v>21458</v>
      </c>
    </row>
    <row r="3846" spans="1:5" ht="15">
      <c r="A3846" s="120" t="s">
        <v>409</v>
      </c>
      <c r="B3846" s="121">
        <v>21</v>
      </c>
      <c r="C3846" s="121">
        <v>26</v>
      </c>
      <c r="D3846" s="121">
        <v>2</v>
      </c>
      <c r="E3846" s="121">
        <v>5403819</v>
      </c>
    </row>
    <row r="3847" spans="1:5" ht="15">
      <c r="A3847" s="120" t="s">
        <v>409</v>
      </c>
      <c r="B3847" s="121">
        <v>21</v>
      </c>
      <c r="C3847" s="121">
        <v>26</v>
      </c>
      <c r="D3847" s="121">
        <v>3</v>
      </c>
      <c r="E3847" s="121">
        <v>150134</v>
      </c>
    </row>
    <row r="3848" spans="1:5" ht="15">
      <c r="A3848" s="120" t="s">
        <v>409</v>
      </c>
      <c r="B3848" s="121">
        <v>21</v>
      </c>
      <c r="C3848" s="121">
        <v>26</v>
      </c>
      <c r="D3848" s="121">
        <v>4</v>
      </c>
      <c r="E3848" s="121">
        <v>1734530</v>
      </c>
    </row>
    <row r="3849" spans="1:5" ht="15">
      <c r="A3849" s="120" t="s">
        <v>409</v>
      </c>
      <c r="B3849" s="121">
        <v>21</v>
      </c>
      <c r="C3849" s="121">
        <v>26</v>
      </c>
      <c r="D3849" s="121">
        <v>5</v>
      </c>
      <c r="E3849" s="121">
        <v>46000</v>
      </c>
    </row>
    <row r="3850" spans="1:5" ht="15">
      <c r="A3850" s="120" t="s">
        <v>409</v>
      </c>
      <c r="B3850" s="121">
        <v>21</v>
      </c>
      <c r="C3850" s="121">
        <v>26</v>
      </c>
      <c r="D3850" s="121">
        <v>7</v>
      </c>
      <c r="E3850" s="121">
        <v>2564000</v>
      </c>
    </row>
    <row r="3851" spans="1:5" ht="15">
      <c r="A3851" s="120" t="s">
        <v>409</v>
      </c>
      <c r="B3851" s="121">
        <v>21</v>
      </c>
      <c r="C3851" s="121">
        <v>26</v>
      </c>
      <c r="D3851" s="121">
        <v>8</v>
      </c>
      <c r="E3851" s="121">
        <v>13000</v>
      </c>
    </row>
    <row r="3852" spans="1:5" ht="15">
      <c r="A3852" s="120" t="s">
        <v>409</v>
      </c>
      <c r="B3852" s="121">
        <v>21</v>
      </c>
      <c r="C3852" s="121">
        <v>27</v>
      </c>
      <c r="D3852" s="121">
        <v>0</v>
      </c>
      <c r="E3852" s="121">
        <v>45000</v>
      </c>
    </row>
    <row r="3853" spans="1:5" ht="15">
      <c r="A3853" s="120" t="s">
        <v>409</v>
      </c>
      <c r="B3853" s="121">
        <v>21</v>
      </c>
      <c r="C3853" s="121">
        <v>27</v>
      </c>
      <c r="D3853" s="121">
        <v>2</v>
      </c>
      <c r="E3853" s="121">
        <v>4885319</v>
      </c>
    </row>
    <row r="3854" spans="1:5" ht="15">
      <c r="A3854" s="120" t="s">
        <v>409</v>
      </c>
      <c r="B3854" s="121">
        <v>21</v>
      </c>
      <c r="C3854" s="121">
        <v>27</v>
      </c>
      <c r="D3854" s="121">
        <v>3</v>
      </c>
      <c r="E3854" s="121">
        <v>6395038</v>
      </c>
    </row>
    <row r="3855" spans="1:5" ht="15">
      <c r="A3855" s="120" t="s">
        <v>409</v>
      </c>
      <c r="B3855" s="121">
        <v>21</v>
      </c>
      <c r="C3855" s="121">
        <v>27</v>
      </c>
      <c r="D3855" s="121">
        <v>4</v>
      </c>
      <c r="E3855" s="121">
        <v>5161667</v>
      </c>
    </row>
    <row r="3856" spans="1:5" ht="15">
      <c r="A3856" s="120" t="s">
        <v>409</v>
      </c>
      <c r="B3856" s="121">
        <v>21</v>
      </c>
      <c r="C3856" s="121">
        <v>27</v>
      </c>
      <c r="D3856" s="121">
        <v>5</v>
      </c>
      <c r="E3856" s="121">
        <v>90500</v>
      </c>
    </row>
    <row r="3857" spans="1:5" ht="15">
      <c r="A3857" s="120" t="s">
        <v>409</v>
      </c>
      <c r="B3857" s="121">
        <v>21</v>
      </c>
      <c r="C3857" s="121">
        <v>27</v>
      </c>
      <c r="D3857" s="121">
        <v>7</v>
      </c>
      <c r="E3857" s="121">
        <v>1250000</v>
      </c>
    </row>
    <row r="3858" spans="1:5" ht="15">
      <c r="A3858" s="120" t="s">
        <v>409</v>
      </c>
      <c r="B3858" s="121">
        <v>21</v>
      </c>
      <c r="C3858" s="121">
        <v>27</v>
      </c>
      <c r="D3858" s="121">
        <v>8</v>
      </c>
      <c r="E3858" s="121">
        <v>17000</v>
      </c>
    </row>
    <row r="3859" spans="1:5" ht="15">
      <c r="A3859" s="120" t="s">
        <v>409</v>
      </c>
      <c r="B3859" s="121">
        <v>21</v>
      </c>
      <c r="C3859" s="121">
        <v>29</v>
      </c>
      <c r="D3859" s="121">
        <v>7</v>
      </c>
      <c r="E3859" s="121">
        <v>200000</v>
      </c>
    </row>
    <row r="3860" spans="1:5" ht="15">
      <c r="A3860" s="120" t="s">
        <v>409</v>
      </c>
      <c r="B3860" s="121">
        <v>21</v>
      </c>
      <c r="C3860" s="121">
        <v>31</v>
      </c>
      <c r="D3860" s="121">
        <v>5</v>
      </c>
      <c r="E3860" s="121">
        <v>5000</v>
      </c>
    </row>
    <row r="3861" spans="1:5" ht="15">
      <c r="A3861" s="120" t="s">
        <v>409</v>
      </c>
      <c r="B3861" s="121">
        <v>21</v>
      </c>
      <c r="C3861" s="121">
        <v>31</v>
      </c>
      <c r="D3861" s="121">
        <v>7</v>
      </c>
      <c r="E3861" s="121">
        <v>36000</v>
      </c>
    </row>
    <row r="3862" spans="1:5" ht="15">
      <c r="A3862" s="120" t="s">
        <v>409</v>
      </c>
      <c r="B3862" s="121">
        <v>21</v>
      </c>
      <c r="C3862" s="121">
        <v>31</v>
      </c>
      <c r="D3862" s="121">
        <v>8</v>
      </c>
      <c r="E3862" s="121">
        <v>14000</v>
      </c>
    </row>
    <row r="3863" spans="1:5" ht="15">
      <c r="A3863" s="120" t="s">
        <v>409</v>
      </c>
      <c r="B3863" s="121">
        <v>21</v>
      </c>
      <c r="C3863" s="121">
        <v>32</v>
      </c>
      <c r="D3863" s="121">
        <v>5</v>
      </c>
      <c r="E3863" s="121">
        <v>10000</v>
      </c>
    </row>
    <row r="3864" spans="1:5" ht="15">
      <c r="A3864" s="120" t="s">
        <v>409</v>
      </c>
      <c r="B3864" s="121">
        <v>21</v>
      </c>
      <c r="C3864" s="121">
        <v>33</v>
      </c>
      <c r="D3864" s="121">
        <v>5</v>
      </c>
      <c r="E3864" s="121">
        <v>90000</v>
      </c>
    </row>
    <row r="3865" spans="1:5" ht="15">
      <c r="A3865" s="120" t="s">
        <v>409</v>
      </c>
      <c r="B3865" s="121">
        <v>21</v>
      </c>
      <c r="C3865" s="121">
        <v>33</v>
      </c>
      <c r="D3865" s="121">
        <v>7</v>
      </c>
      <c r="E3865" s="121">
        <v>30000</v>
      </c>
    </row>
    <row r="3866" spans="1:5" ht="15">
      <c r="A3866" s="120" t="s">
        <v>409</v>
      </c>
      <c r="B3866" s="121">
        <v>24</v>
      </c>
      <c r="C3866" s="121">
        <v>27</v>
      </c>
      <c r="D3866" s="121">
        <v>2</v>
      </c>
      <c r="E3866" s="121">
        <v>1130819</v>
      </c>
    </row>
    <row r="3867" spans="1:5" ht="15">
      <c r="A3867" s="120" t="s">
        <v>409</v>
      </c>
      <c r="B3867" s="121">
        <v>24</v>
      </c>
      <c r="C3867" s="121">
        <v>27</v>
      </c>
      <c r="D3867" s="121">
        <v>3</v>
      </c>
      <c r="E3867" s="121">
        <v>459857</v>
      </c>
    </row>
    <row r="3868" spans="1:5" ht="15">
      <c r="A3868" s="120" t="s">
        <v>409</v>
      </c>
      <c r="B3868" s="121">
        <v>24</v>
      </c>
      <c r="C3868" s="121">
        <v>27</v>
      </c>
      <c r="D3868" s="121">
        <v>4</v>
      </c>
      <c r="E3868" s="121">
        <v>619253</v>
      </c>
    </row>
    <row r="3869" spans="1:5" ht="15">
      <c r="A3869" s="120" t="s">
        <v>435</v>
      </c>
      <c r="B3869" s="121">
        <v>21</v>
      </c>
      <c r="C3869" s="121">
        <v>21</v>
      </c>
      <c r="D3869" s="121">
        <v>2</v>
      </c>
      <c r="E3869" s="121">
        <v>121373</v>
      </c>
    </row>
    <row r="3870" spans="1:5" ht="15">
      <c r="A3870" s="120" t="s">
        <v>435</v>
      </c>
      <c r="B3870" s="121">
        <v>21</v>
      </c>
      <c r="C3870" s="121">
        <v>21</v>
      </c>
      <c r="D3870" s="121">
        <v>4</v>
      </c>
      <c r="E3870" s="121">
        <v>35012</v>
      </c>
    </row>
    <row r="3871" spans="1:5" ht="15">
      <c r="A3871" s="120" t="s">
        <v>435</v>
      </c>
      <c r="B3871" s="121">
        <v>21</v>
      </c>
      <c r="C3871" s="121">
        <v>21</v>
      </c>
      <c r="D3871" s="121">
        <v>5</v>
      </c>
      <c r="E3871" s="121">
        <v>600</v>
      </c>
    </row>
    <row r="3872" spans="1:5" ht="15">
      <c r="A3872" s="120" t="s">
        <v>435</v>
      </c>
      <c r="B3872" s="121">
        <v>21</v>
      </c>
      <c r="C3872" s="121">
        <v>21</v>
      </c>
      <c r="D3872" s="121">
        <v>7</v>
      </c>
      <c r="E3872" s="121">
        <v>2786</v>
      </c>
    </row>
    <row r="3873" spans="1:5" ht="15">
      <c r="A3873" s="120" t="s">
        <v>435</v>
      </c>
      <c r="B3873" s="121">
        <v>21</v>
      </c>
      <c r="C3873" s="121">
        <v>21</v>
      </c>
      <c r="D3873" s="121">
        <v>8</v>
      </c>
      <c r="E3873" s="121">
        <v>250</v>
      </c>
    </row>
    <row r="3874" spans="1:5" ht="15">
      <c r="A3874" s="120" t="s">
        <v>435</v>
      </c>
      <c r="B3874" s="121">
        <v>21</v>
      </c>
      <c r="C3874" s="121">
        <v>26</v>
      </c>
      <c r="D3874" s="121">
        <v>2</v>
      </c>
      <c r="E3874" s="121">
        <v>91871</v>
      </c>
    </row>
    <row r="3875" spans="1:5" ht="15">
      <c r="A3875" s="120" t="s">
        <v>435</v>
      </c>
      <c r="B3875" s="121">
        <v>21</v>
      </c>
      <c r="C3875" s="121">
        <v>26</v>
      </c>
      <c r="D3875" s="121">
        <v>4</v>
      </c>
      <c r="E3875" s="121">
        <v>46674</v>
      </c>
    </row>
    <row r="3876" spans="1:5" ht="15">
      <c r="A3876" s="120" t="s">
        <v>435</v>
      </c>
      <c r="B3876" s="121">
        <v>21</v>
      </c>
      <c r="C3876" s="121">
        <v>26</v>
      </c>
      <c r="D3876" s="121">
        <v>5</v>
      </c>
      <c r="E3876" s="121">
        <v>11000</v>
      </c>
    </row>
    <row r="3877" spans="1:5" ht="15">
      <c r="A3877" s="120" t="s">
        <v>435</v>
      </c>
      <c r="B3877" s="121">
        <v>21</v>
      </c>
      <c r="C3877" s="121">
        <v>26</v>
      </c>
      <c r="D3877" s="121">
        <v>7</v>
      </c>
      <c r="E3877" s="121">
        <v>50478</v>
      </c>
    </row>
    <row r="3878" spans="1:5" ht="15">
      <c r="A3878" s="120" t="s">
        <v>435</v>
      </c>
      <c r="B3878" s="121">
        <v>21</v>
      </c>
      <c r="C3878" s="121">
        <v>27</v>
      </c>
      <c r="D3878" s="121">
        <v>2</v>
      </c>
      <c r="E3878" s="121">
        <v>336469</v>
      </c>
    </row>
    <row r="3879" spans="1:5" ht="15">
      <c r="A3879" s="120" t="s">
        <v>435</v>
      </c>
      <c r="B3879" s="121">
        <v>21</v>
      </c>
      <c r="C3879" s="121">
        <v>27</v>
      </c>
      <c r="D3879" s="121">
        <v>3</v>
      </c>
      <c r="E3879" s="121">
        <v>242861</v>
      </c>
    </row>
    <row r="3880" spans="1:5" ht="15">
      <c r="A3880" s="120" t="s">
        <v>435</v>
      </c>
      <c r="B3880" s="121">
        <v>21</v>
      </c>
      <c r="C3880" s="121">
        <v>27</v>
      </c>
      <c r="D3880" s="121">
        <v>4</v>
      </c>
      <c r="E3880" s="121">
        <v>251366</v>
      </c>
    </row>
    <row r="3881" spans="1:5" ht="15">
      <c r="A3881" s="120" t="s">
        <v>435</v>
      </c>
      <c r="B3881" s="121">
        <v>21</v>
      </c>
      <c r="C3881" s="121">
        <v>27</v>
      </c>
      <c r="D3881" s="121">
        <v>5</v>
      </c>
      <c r="E3881" s="121">
        <v>3380</v>
      </c>
    </row>
    <row r="3882" spans="1:5" ht="15">
      <c r="A3882" s="120" t="s">
        <v>435</v>
      </c>
      <c r="B3882" s="121">
        <v>21</v>
      </c>
      <c r="C3882" s="121">
        <v>27</v>
      </c>
      <c r="D3882" s="121">
        <v>7</v>
      </c>
      <c r="E3882" s="121">
        <v>5000</v>
      </c>
    </row>
    <row r="3883" spans="1:5" ht="15">
      <c r="A3883" s="120" t="s">
        <v>435</v>
      </c>
      <c r="B3883" s="121">
        <v>21</v>
      </c>
      <c r="C3883" s="121">
        <v>33</v>
      </c>
      <c r="D3883" s="121">
        <v>5</v>
      </c>
      <c r="E3883" s="121">
        <v>4600</v>
      </c>
    </row>
    <row r="3884" spans="1:5" ht="15">
      <c r="A3884" s="120" t="s">
        <v>435</v>
      </c>
      <c r="B3884" s="121">
        <v>21</v>
      </c>
      <c r="C3884" s="121">
        <v>34</v>
      </c>
      <c r="D3884" s="121">
        <v>2</v>
      </c>
      <c r="E3884" s="121">
        <v>11547</v>
      </c>
    </row>
    <row r="3885" spans="1:5" ht="15">
      <c r="A3885" s="120" t="s">
        <v>435</v>
      </c>
      <c r="B3885" s="121">
        <v>21</v>
      </c>
      <c r="C3885" s="121">
        <v>34</v>
      </c>
      <c r="D3885" s="121">
        <v>4</v>
      </c>
      <c r="E3885" s="121">
        <v>1770</v>
      </c>
    </row>
    <row r="3886" spans="1:5" ht="15">
      <c r="A3886" s="120" t="s">
        <v>461</v>
      </c>
      <c r="B3886" s="121">
        <v>21</v>
      </c>
      <c r="C3886" s="121">
        <v>21</v>
      </c>
      <c r="D3886" s="121">
        <v>2</v>
      </c>
      <c r="E3886" s="121">
        <v>19658</v>
      </c>
    </row>
    <row r="3887" spans="1:5" ht="15">
      <c r="A3887" s="120" t="s">
        <v>461</v>
      </c>
      <c r="B3887" s="121">
        <v>21</v>
      </c>
      <c r="C3887" s="121">
        <v>21</v>
      </c>
      <c r="D3887" s="121">
        <v>3</v>
      </c>
      <c r="E3887" s="121">
        <v>19824</v>
      </c>
    </row>
    <row r="3888" spans="1:5" ht="15">
      <c r="A3888" s="120" t="s">
        <v>461</v>
      </c>
      <c r="B3888" s="121">
        <v>21</v>
      </c>
      <c r="C3888" s="121">
        <v>21</v>
      </c>
      <c r="D3888" s="121">
        <v>4</v>
      </c>
      <c r="E3888" s="121">
        <v>23029</v>
      </c>
    </row>
    <row r="3889" spans="1:5" ht="15">
      <c r="A3889" s="120" t="s">
        <v>461</v>
      </c>
      <c r="B3889" s="121">
        <v>21</v>
      </c>
      <c r="C3889" s="121">
        <v>25</v>
      </c>
      <c r="D3889" s="121">
        <v>3</v>
      </c>
      <c r="E3889" s="121">
        <v>1864</v>
      </c>
    </row>
    <row r="3890" spans="1:5" ht="15">
      <c r="A3890" s="120" t="s">
        <v>461</v>
      </c>
      <c r="B3890" s="121">
        <v>21</v>
      </c>
      <c r="C3890" s="121">
        <v>25</v>
      </c>
      <c r="D3890" s="121">
        <v>4</v>
      </c>
      <c r="E3890" s="121">
        <v>1469</v>
      </c>
    </row>
    <row r="3891" spans="1:5" ht="15">
      <c r="A3891" s="120" t="s">
        <v>461</v>
      </c>
      <c r="B3891" s="121">
        <v>21</v>
      </c>
      <c r="C3891" s="121">
        <v>26</v>
      </c>
      <c r="D3891" s="121">
        <v>2</v>
      </c>
      <c r="E3891" s="121">
        <v>568041</v>
      </c>
    </row>
    <row r="3892" spans="1:5" ht="15">
      <c r="A3892" s="120" t="s">
        <v>461</v>
      </c>
      <c r="B3892" s="121">
        <v>21</v>
      </c>
      <c r="C3892" s="121">
        <v>26</v>
      </c>
      <c r="D3892" s="121">
        <v>3</v>
      </c>
      <c r="E3892" s="121">
        <v>14201</v>
      </c>
    </row>
    <row r="3893" spans="1:5" ht="15">
      <c r="A3893" s="120" t="s">
        <v>461</v>
      </c>
      <c r="B3893" s="121">
        <v>21</v>
      </c>
      <c r="C3893" s="121">
        <v>26</v>
      </c>
      <c r="D3893" s="121">
        <v>4</v>
      </c>
      <c r="E3893" s="121">
        <v>200166</v>
      </c>
    </row>
    <row r="3894" spans="1:5" ht="15">
      <c r="A3894" s="120" t="s">
        <v>461</v>
      </c>
      <c r="B3894" s="121">
        <v>21</v>
      </c>
      <c r="C3894" s="121">
        <v>27</v>
      </c>
      <c r="D3894" s="121">
        <v>2</v>
      </c>
      <c r="E3894" s="121">
        <v>892348</v>
      </c>
    </row>
    <row r="3895" spans="1:5" ht="15">
      <c r="A3895" s="120" t="s">
        <v>461</v>
      </c>
      <c r="B3895" s="121">
        <v>21</v>
      </c>
      <c r="C3895" s="121">
        <v>27</v>
      </c>
      <c r="D3895" s="121">
        <v>3</v>
      </c>
      <c r="E3895" s="121">
        <v>293276</v>
      </c>
    </row>
    <row r="3896" spans="1:5" ht="15">
      <c r="A3896" s="120" t="s">
        <v>461</v>
      </c>
      <c r="B3896" s="121">
        <v>21</v>
      </c>
      <c r="C3896" s="121">
        <v>27</v>
      </c>
      <c r="D3896" s="121">
        <v>4</v>
      </c>
      <c r="E3896" s="121">
        <v>531289</v>
      </c>
    </row>
    <row r="3897" spans="1:5" ht="15">
      <c r="A3897" s="120" t="s">
        <v>461</v>
      </c>
      <c r="B3897" s="121">
        <v>24</v>
      </c>
      <c r="C3897" s="121">
        <v>27</v>
      </c>
      <c r="D3897" s="121">
        <v>2</v>
      </c>
      <c r="E3897" s="121">
        <v>11608</v>
      </c>
    </row>
    <row r="3898" spans="1:5" ht="15">
      <c r="A3898" s="120" t="s">
        <v>461</v>
      </c>
      <c r="B3898" s="121">
        <v>24</v>
      </c>
      <c r="C3898" s="121">
        <v>27</v>
      </c>
      <c r="D3898" s="121">
        <v>3</v>
      </c>
      <c r="E3898" s="121">
        <v>229268</v>
      </c>
    </row>
    <row r="3899" spans="1:5" ht="15">
      <c r="A3899" s="120" t="s">
        <v>461</v>
      </c>
      <c r="B3899" s="121">
        <v>24</v>
      </c>
      <c r="C3899" s="121">
        <v>27</v>
      </c>
      <c r="D3899" s="121">
        <v>4</v>
      </c>
      <c r="E3899" s="121">
        <v>175618</v>
      </c>
    </row>
    <row r="3900" spans="1:5" ht="15">
      <c r="A3900" s="120" t="s">
        <v>461</v>
      </c>
      <c r="B3900" s="121">
        <v>24</v>
      </c>
      <c r="C3900" s="121">
        <v>27</v>
      </c>
      <c r="D3900" s="121">
        <v>7</v>
      </c>
      <c r="E3900" s="121">
        <v>3561</v>
      </c>
    </row>
    <row r="3901" spans="1:5" ht="15">
      <c r="A3901" s="120" t="s">
        <v>475</v>
      </c>
      <c r="B3901" s="121">
        <v>21</v>
      </c>
      <c r="C3901" s="121">
        <v>21</v>
      </c>
      <c r="D3901" s="121">
        <v>2</v>
      </c>
      <c r="E3901" s="121">
        <v>174514</v>
      </c>
    </row>
    <row r="3902" spans="1:5" ht="15">
      <c r="A3902" s="120" t="s">
        <v>475</v>
      </c>
      <c r="B3902" s="121">
        <v>21</v>
      </c>
      <c r="C3902" s="121">
        <v>21</v>
      </c>
      <c r="D3902" s="121">
        <v>3</v>
      </c>
      <c r="E3902" s="121">
        <v>8585</v>
      </c>
    </row>
    <row r="3903" spans="1:5" ht="15">
      <c r="A3903" s="120" t="s">
        <v>475</v>
      </c>
      <c r="B3903" s="121">
        <v>21</v>
      </c>
      <c r="C3903" s="121">
        <v>21</v>
      </c>
      <c r="D3903" s="121">
        <v>4</v>
      </c>
      <c r="E3903" s="121">
        <v>45507</v>
      </c>
    </row>
    <row r="3904" spans="1:5" ht="15">
      <c r="A3904" s="120" t="s">
        <v>475</v>
      </c>
      <c r="B3904" s="121">
        <v>21</v>
      </c>
      <c r="C3904" s="121">
        <v>21</v>
      </c>
      <c r="D3904" s="121">
        <v>5</v>
      </c>
      <c r="E3904" s="121">
        <v>500</v>
      </c>
    </row>
    <row r="3905" spans="1:5" ht="15">
      <c r="A3905" s="120" t="s">
        <v>475</v>
      </c>
      <c r="B3905" s="121">
        <v>21</v>
      </c>
      <c r="C3905" s="121">
        <v>26</v>
      </c>
      <c r="D3905" s="121">
        <v>2</v>
      </c>
      <c r="E3905" s="121">
        <v>312289</v>
      </c>
    </row>
    <row r="3906" spans="1:5" ht="15">
      <c r="A3906" s="120" t="s">
        <v>475</v>
      </c>
      <c r="B3906" s="121">
        <v>21</v>
      </c>
      <c r="C3906" s="121">
        <v>26</v>
      </c>
      <c r="D3906" s="121">
        <v>4</v>
      </c>
      <c r="E3906" s="121">
        <v>96864</v>
      </c>
    </row>
    <row r="3907" spans="1:5" ht="15">
      <c r="A3907" s="120" t="s">
        <v>475</v>
      </c>
      <c r="B3907" s="121">
        <v>21</v>
      </c>
      <c r="C3907" s="121">
        <v>26</v>
      </c>
      <c r="D3907" s="121">
        <v>5</v>
      </c>
      <c r="E3907" s="121">
        <v>4000</v>
      </c>
    </row>
    <row r="3908" spans="1:5" ht="15">
      <c r="A3908" s="120" t="s">
        <v>475</v>
      </c>
      <c r="B3908" s="121">
        <v>21</v>
      </c>
      <c r="C3908" s="121">
        <v>26</v>
      </c>
      <c r="D3908" s="121">
        <v>7</v>
      </c>
      <c r="E3908" s="121">
        <v>70100</v>
      </c>
    </row>
    <row r="3909" spans="1:5" ht="15">
      <c r="A3909" s="120" t="s">
        <v>475</v>
      </c>
      <c r="B3909" s="121">
        <v>21</v>
      </c>
      <c r="C3909" s="121">
        <v>27</v>
      </c>
      <c r="D3909" s="121">
        <v>2</v>
      </c>
      <c r="E3909" s="121">
        <v>497797</v>
      </c>
    </row>
    <row r="3910" spans="1:5" ht="15">
      <c r="A3910" s="120" t="s">
        <v>475</v>
      </c>
      <c r="B3910" s="121">
        <v>21</v>
      </c>
      <c r="C3910" s="121">
        <v>27</v>
      </c>
      <c r="D3910" s="121">
        <v>3</v>
      </c>
      <c r="E3910" s="121">
        <v>727139</v>
      </c>
    </row>
    <row r="3911" spans="1:5" ht="15">
      <c r="A3911" s="120" t="s">
        <v>475</v>
      </c>
      <c r="B3911" s="121">
        <v>21</v>
      </c>
      <c r="C3911" s="121">
        <v>27</v>
      </c>
      <c r="D3911" s="121">
        <v>4</v>
      </c>
      <c r="E3911" s="121">
        <v>569583</v>
      </c>
    </row>
    <row r="3912" spans="1:5" ht="15">
      <c r="A3912" s="120" t="s">
        <v>475</v>
      </c>
      <c r="B3912" s="121">
        <v>21</v>
      </c>
      <c r="C3912" s="121">
        <v>27</v>
      </c>
      <c r="D3912" s="121">
        <v>5</v>
      </c>
      <c r="E3912" s="121">
        <v>3000</v>
      </c>
    </row>
    <row r="3913" spans="1:5" ht="15">
      <c r="A3913" s="120" t="s">
        <v>475</v>
      </c>
      <c r="B3913" s="121">
        <v>21</v>
      </c>
      <c r="C3913" s="121">
        <v>27</v>
      </c>
      <c r="D3913" s="121">
        <v>7</v>
      </c>
      <c r="E3913" s="121">
        <v>21700</v>
      </c>
    </row>
    <row r="3914" spans="1:5" ht="15">
      <c r="A3914" s="120" t="s">
        <v>475</v>
      </c>
      <c r="B3914" s="121">
        <v>21</v>
      </c>
      <c r="C3914" s="121">
        <v>31</v>
      </c>
      <c r="D3914" s="121">
        <v>2</v>
      </c>
      <c r="E3914" s="121">
        <v>25558</v>
      </c>
    </row>
    <row r="3915" spans="1:5" ht="15">
      <c r="A3915" s="120" t="s">
        <v>475</v>
      </c>
      <c r="B3915" s="121">
        <v>21</v>
      </c>
      <c r="C3915" s="121">
        <v>31</v>
      </c>
      <c r="D3915" s="121">
        <v>4</v>
      </c>
      <c r="E3915" s="121">
        <v>4254</v>
      </c>
    </row>
    <row r="3916" spans="1:5" ht="15">
      <c r="A3916" s="120" t="s">
        <v>475</v>
      </c>
      <c r="B3916" s="121">
        <v>21</v>
      </c>
      <c r="C3916" s="121">
        <v>31</v>
      </c>
      <c r="D3916" s="121">
        <v>5</v>
      </c>
      <c r="E3916" s="121">
        <v>1500</v>
      </c>
    </row>
    <row r="3917" spans="1:5" ht="15">
      <c r="A3917" s="120" t="s">
        <v>475</v>
      </c>
      <c r="B3917" s="121">
        <v>21</v>
      </c>
      <c r="C3917" s="121">
        <v>31</v>
      </c>
      <c r="D3917" s="121">
        <v>8</v>
      </c>
      <c r="E3917" s="121">
        <v>1500</v>
      </c>
    </row>
    <row r="3918" spans="1:5" ht="15">
      <c r="A3918" s="120" t="s">
        <v>475</v>
      </c>
      <c r="B3918" s="121">
        <v>21</v>
      </c>
      <c r="C3918" s="121">
        <v>34</v>
      </c>
      <c r="D3918" s="121">
        <v>2</v>
      </c>
      <c r="E3918" s="121">
        <v>5456</v>
      </c>
    </row>
    <row r="3919" spans="1:5" ht="15">
      <c r="A3919" s="120" t="s">
        <v>475</v>
      </c>
      <c r="B3919" s="121">
        <v>21</v>
      </c>
      <c r="C3919" s="121">
        <v>34</v>
      </c>
      <c r="D3919" s="121">
        <v>4</v>
      </c>
      <c r="E3919" s="121">
        <v>873</v>
      </c>
    </row>
    <row r="3920" spans="1:5" ht="15">
      <c r="A3920" s="120" t="s">
        <v>475</v>
      </c>
      <c r="B3920" s="121">
        <v>24</v>
      </c>
      <c r="C3920" s="121">
        <v>27</v>
      </c>
      <c r="D3920" s="121">
        <v>2</v>
      </c>
      <c r="E3920" s="121">
        <v>199409</v>
      </c>
    </row>
    <row r="3921" spans="1:5" ht="15">
      <c r="A3921" s="120" t="s">
        <v>475</v>
      </c>
      <c r="B3921" s="121">
        <v>24</v>
      </c>
      <c r="C3921" s="121">
        <v>27</v>
      </c>
      <c r="D3921" s="121">
        <v>4</v>
      </c>
      <c r="E3921" s="121">
        <v>63254</v>
      </c>
    </row>
    <row r="3922" spans="1:5" ht="15">
      <c r="A3922" s="120" t="s">
        <v>475</v>
      </c>
      <c r="B3922" s="121">
        <v>24</v>
      </c>
      <c r="C3922" s="121">
        <v>31</v>
      </c>
      <c r="D3922" s="121">
        <v>2</v>
      </c>
      <c r="E3922" s="121">
        <v>1507</v>
      </c>
    </row>
    <row r="3923" spans="1:5" ht="15">
      <c r="A3923" s="120" t="s">
        <v>301</v>
      </c>
      <c r="B3923" s="121">
        <v>21</v>
      </c>
      <c r="C3923" s="121">
        <v>21</v>
      </c>
      <c r="D3923" s="121">
        <v>2</v>
      </c>
      <c r="E3923" s="121">
        <v>112768</v>
      </c>
    </row>
    <row r="3924" spans="1:5" ht="15">
      <c r="A3924" s="120" t="s">
        <v>301</v>
      </c>
      <c r="B3924" s="121">
        <v>21</v>
      </c>
      <c r="C3924" s="121">
        <v>21</v>
      </c>
      <c r="D3924" s="121">
        <v>3</v>
      </c>
      <c r="E3924" s="121">
        <v>64850</v>
      </c>
    </row>
    <row r="3925" spans="1:5" ht="15">
      <c r="A3925" s="120" t="s">
        <v>301</v>
      </c>
      <c r="B3925" s="121">
        <v>21</v>
      </c>
      <c r="C3925" s="121">
        <v>21</v>
      </c>
      <c r="D3925" s="121">
        <v>4</v>
      </c>
      <c r="E3925" s="121">
        <v>54723</v>
      </c>
    </row>
    <row r="3926" spans="1:5" ht="15">
      <c r="A3926" s="120" t="s">
        <v>301</v>
      </c>
      <c r="B3926" s="121">
        <v>21</v>
      </c>
      <c r="C3926" s="121">
        <v>21</v>
      </c>
      <c r="D3926" s="121">
        <v>5</v>
      </c>
      <c r="E3926" s="121">
        <v>500</v>
      </c>
    </row>
    <row r="3927" spans="1:5" ht="15">
      <c r="A3927" s="120" t="s">
        <v>301</v>
      </c>
      <c r="B3927" s="121">
        <v>21</v>
      </c>
      <c r="C3927" s="121">
        <v>21</v>
      </c>
      <c r="D3927" s="121">
        <v>8</v>
      </c>
      <c r="E3927" s="121">
        <v>3000</v>
      </c>
    </row>
    <row r="3928" spans="1:5" ht="15">
      <c r="A3928" s="120" t="s">
        <v>301</v>
      </c>
      <c r="B3928" s="121">
        <v>21</v>
      </c>
      <c r="C3928" s="121">
        <v>26</v>
      </c>
      <c r="D3928" s="121">
        <v>2</v>
      </c>
      <c r="E3928" s="121">
        <v>652935</v>
      </c>
    </row>
    <row r="3929" spans="1:5" ht="15">
      <c r="A3929" s="120" t="s">
        <v>301</v>
      </c>
      <c r="B3929" s="121">
        <v>21</v>
      </c>
      <c r="C3929" s="121">
        <v>26</v>
      </c>
      <c r="D3929" s="121">
        <v>3</v>
      </c>
      <c r="E3929" s="121">
        <v>43694</v>
      </c>
    </row>
    <row r="3930" spans="1:5" ht="15">
      <c r="A3930" s="120" t="s">
        <v>301</v>
      </c>
      <c r="B3930" s="121">
        <v>21</v>
      </c>
      <c r="C3930" s="121">
        <v>26</v>
      </c>
      <c r="D3930" s="121">
        <v>4</v>
      </c>
      <c r="E3930" s="121">
        <v>234030</v>
      </c>
    </row>
    <row r="3931" spans="1:5" ht="15">
      <c r="A3931" s="120" t="s">
        <v>301</v>
      </c>
      <c r="B3931" s="121">
        <v>21</v>
      </c>
      <c r="C3931" s="121">
        <v>27</v>
      </c>
      <c r="D3931" s="121">
        <v>2</v>
      </c>
      <c r="E3931" s="121">
        <v>796747</v>
      </c>
    </row>
    <row r="3932" spans="1:5" ht="15">
      <c r="A3932" s="120" t="s">
        <v>301</v>
      </c>
      <c r="B3932" s="121">
        <v>21</v>
      </c>
      <c r="C3932" s="121">
        <v>27</v>
      </c>
      <c r="D3932" s="121">
        <v>3</v>
      </c>
      <c r="E3932" s="121">
        <v>630303</v>
      </c>
    </row>
    <row r="3933" spans="1:5" ht="15">
      <c r="A3933" s="120" t="s">
        <v>301</v>
      </c>
      <c r="B3933" s="121">
        <v>21</v>
      </c>
      <c r="C3933" s="121">
        <v>27</v>
      </c>
      <c r="D3933" s="121">
        <v>4</v>
      </c>
      <c r="E3933" s="121">
        <v>751606</v>
      </c>
    </row>
    <row r="3934" spans="1:5" ht="15">
      <c r="A3934" s="120" t="s">
        <v>301</v>
      </c>
      <c r="B3934" s="121">
        <v>21</v>
      </c>
      <c r="C3934" s="121">
        <v>27</v>
      </c>
      <c r="D3934" s="121">
        <v>5</v>
      </c>
      <c r="E3934" s="121">
        <v>38291</v>
      </c>
    </row>
    <row r="3935" spans="1:5" ht="15">
      <c r="A3935" s="120" t="s">
        <v>301</v>
      </c>
      <c r="B3935" s="121">
        <v>21</v>
      </c>
      <c r="C3935" s="121">
        <v>27</v>
      </c>
      <c r="D3935" s="121">
        <v>7</v>
      </c>
      <c r="E3935" s="121">
        <v>332500</v>
      </c>
    </row>
    <row r="3936" spans="1:5" ht="15">
      <c r="A3936" s="120" t="s">
        <v>301</v>
      </c>
      <c r="B3936" s="121">
        <v>21</v>
      </c>
      <c r="C3936" s="121">
        <v>34</v>
      </c>
      <c r="D3936" s="121">
        <v>2</v>
      </c>
      <c r="E3936" s="121">
        <v>28831</v>
      </c>
    </row>
    <row r="3937" spans="1:5" ht="15">
      <c r="A3937" s="120" t="s">
        <v>301</v>
      </c>
      <c r="B3937" s="121">
        <v>21</v>
      </c>
      <c r="C3937" s="121">
        <v>34</v>
      </c>
      <c r="D3937" s="121">
        <v>4</v>
      </c>
      <c r="E3937" s="121">
        <v>4520</v>
      </c>
    </row>
    <row r="3938" spans="1:5" ht="15">
      <c r="A3938" s="120" t="s">
        <v>481</v>
      </c>
      <c r="B3938" s="121">
        <v>21</v>
      </c>
      <c r="C3938" s="121">
        <v>21</v>
      </c>
      <c r="D3938" s="121">
        <v>2</v>
      </c>
      <c r="E3938" s="121">
        <v>122375</v>
      </c>
    </row>
    <row r="3939" spans="1:5" ht="15">
      <c r="A3939" s="120" t="s">
        <v>481</v>
      </c>
      <c r="B3939" s="121">
        <v>21</v>
      </c>
      <c r="C3939" s="121">
        <v>21</v>
      </c>
      <c r="D3939" s="121">
        <v>3</v>
      </c>
      <c r="E3939" s="121">
        <v>267092</v>
      </c>
    </row>
    <row r="3940" spans="1:5" ht="15">
      <c r="A3940" s="120" t="s">
        <v>481</v>
      </c>
      <c r="B3940" s="121">
        <v>21</v>
      </c>
      <c r="C3940" s="121">
        <v>21</v>
      </c>
      <c r="D3940" s="121">
        <v>4</v>
      </c>
      <c r="E3940" s="121">
        <v>124016</v>
      </c>
    </row>
    <row r="3941" spans="1:5" ht="15">
      <c r="A3941" s="120" t="s">
        <v>481</v>
      </c>
      <c r="B3941" s="121">
        <v>21</v>
      </c>
      <c r="C3941" s="121">
        <v>21</v>
      </c>
      <c r="D3941" s="121">
        <v>5</v>
      </c>
      <c r="E3941" s="121">
        <v>7500</v>
      </c>
    </row>
    <row r="3942" spans="1:5" ht="15">
      <c r="A3942" s="120" t="s">
        <v>481</v>
      </c>
      <c r="B3942" s="121">
        <v>21</v>
      </c>
      <c r="C3942" s="121">
        <v>21</v>
      </c>
      <c r="D3942" s="121">
        <v>7</v>
      </c>
      <c r="E3942" s="121">
        <v>3200</v>
      </c>
    </row>
    <row r="3943" spans="1:5" ht="15">
      <c r="A3943" s="120" t="s">
        <v>481</v>
      </c>
      <c r="B3943" s="121">
        <v>21</v>
      </c>
      <c r="C3943" s="121">
        <v>21</v>
      </c>
      <c r="D3943" s="121">
        <v>8</v>
      </c>
      <c r="E3943" s="121">
        <v>1500</v>
      </c>
    </row>
    <row r="3944" spans="1:5" ht="15">
      <c r="A3944" s="120" t="s">
        <v>481</v>
      </c>
      <c r="B3944" s="121">
        <v>21</v>
      </c>
      <c r="C3944" s="121">
        <v>23</v>
      </c>
      <c r="D3944" s="121">
        <v>2</v>
      </c>
      <c r="E3944" s="121">
        <v>22791</v>
      </c>
    </row>
    <row r="3945" spans="1:5" ht="15">
      <c r="A3945" s="120" t="s">
        <v>481</v>
      </c>
      <c r="B3945" s="121">
        <v>21</v>
      </c>
      <c r="C3945" s="121">
        <v>23</v>
      </c>
      <c r="D3945" s="121">
        <v>4</v>
      </c>
      <c r="E3945" s="121">
        <v>5607</v>
      </c>
    </row>
    <row r="3946" spans="1:5" ht="15">
      <c r="A3946" s="120" t="s">
        <v>481</v>
      </c>
      <c r="B3946" s="121">
        <v>21</v>
      </c>
      <c r="C3946" s="121">
        <v>24</v>
      </c>
      <c r="D3946" s="121">
        <v>2</v>
      </c>
      <c r="E3946" s="121">
        <v>27387</v>
      </c>
    </row>
    <row r="3947" spans="1:5" ht="15">
      <c r="A3947" s="120" t="s">
        <v>481</v>
      </c>
      <c r="B3947" s="121">
        <v>21</v>
      </c>
      <c r="C3947" s="121">
        <v>24</v>
      </c>
      <c r="D3947" s="121">
        <v>4</v>
      </c>
      <c r="E3947" s="121">
        <v>7600</v>
      </c>
    </row>
    <row r="3948" spans="1:5" ht="15">
      <c r="A3948" s="120" t="s">
        <v>481</v>
      </c>
      <c r="B3948" s="121">
        <v>21</v>
      </c>
      <c r="C3948" s="121">
        <v>25</v>
      </c>
      <c r="D3948" s="121">
        <v>3</v>
      </c>
      <c r="E3948" s="121">
        <v>259201</v>
      </c>
    </row>
    <row r="3949" spans="1:5" ht="15">
      <c r="A3949" s="120" t="s">
        <v>481</v>
      </c>
      <c r="B3949" s="121">
        <v>21</v>
      </c>
      <c r="C3949" s="121">
        <v>25</v>
      </c>
      <c r="D3949" s="121">
        <v>4</v>
      </c>
      <c r="E3949" s="121">
        <v>148409</v>
      </c>
    </row>
    <row r="3950" spans="1:5" ht="15">
      <c r="A3950" s="120" t="s">
        <v>481</v>
      </c>
      <c r="B3950" s="121">
        <v>21</v>
      </c>
      <c r="C3950" s="121">
        <v>25</v>
      </c>
      <c r="D3950" s="121">
        <v>5</v>
      </c>
      <c r="E3950" s="121">
        <v>10000</v>
      </c>
    </row>
    <row r="3951" spans="1:5" ht="15">
      <c r="A3951" s="120" t="s">
        <v>481</v>
      </c>
      <c r="B3951" s="121">
        <v>21</v>
      </c>
      <c r="C3951" s="121">
        <v>26</v>
      </c>
      <c r="D3951" s="121">
        <v>2</v>
      </c>
      <c r="E3951" s="121">
        <v>2665353</v>
      </c>
    </row>
    <row r="3952" spans="1:5" ht="15">
      <c r="A3952" s="120" t="s">
        <v>481</v>
      </c>
      <c r="B3952" s="121">
        <v>21</v>
      </c>
      <c r="C3952" s="121">
        <v>26</v>
      </c>
      <c r="D3952" s="121">
        <v>3</v>
      </c>
      <c r="E3952" s="121">
        <v>285335</v>
      </c>
    </row>
    <row r="3953" spans="1:5" ht="15">
      <c r="A3953" s="120" t="s">
        <v>481</v>
      </c>
      <c r="B3953" s="121">
        <v>21</v>
      </c>
      <c r="C3953" s="121">
        <v>26</v>
      </c>
      <c r="D3953" s="121">
        <v>4</v>
      </c>
      <c r="E3953" s="121">
        <v>920800</v>
      </c>
    </row>
    <row r="3954" spans="1:5" ht="15">
      <c r="A3954" s="120" t="s">
        <v>481</v>
      </c>
      <c r="B3954" s="121">
        <v>21</v>
      </c>
      <c r="C3954" s="121">
        <v>26</v>
      </c>
      <c r="D3954" s="121">
        <v>5</v>
      </c>
      <c r="E3954" s="121">
        <v>49860</v>
      </c>
    </row>
    <row r="3955" spans="1:5" ht="15">
      <c r="A3955" s="120" t="s">
        <v>481</v>
      </c>
      <c r="B3955" s="121">
        <v>21</v>
      </c>
      <c r="C3955" s="121">
        <v>26</v>
      </c>
      <c r="D3955" s="121">
        <v>7</v>
      </c>
      <c r="E3955" s="121">
        <v>34435</v>
      </c>
    </row>
    <row r="3956" spans="1:5" ht="15">
      <c r="A3956" s="120" t="s">
        <v>481</v>
      </c>
      <c r="B3956" s="121">
        <v>21</v>
      </c>
      <c r="C3956" s="121">
        <v>26</v>
      </c>
      <c r="D3956" s="121">
        <v>8</v>
      </c>
      <c r="E3956" s="121">
        <v>9400</v>
      </c>
    </row>
    <row r="3957" spans="1:5" ht="15">
      <c r="A3957" s="120" t="s">
        <v>481</v>
      </c>
      <c r="B3957" s="121">
        <v>21</v>
      </c>
      <c r="C3957" s="121">
        <v>27</v>
      </c>
      <c r="D3957" s="121">
        <v>2</v>
      </c>
      <c r="E3957" s="121">
        <v>3167588</v>
      </c>
    </row>
    <row r="3958" spans="1:5" ht="15">
      <c r="A3958" s="120" t="s">
        <v>481</v>
      </c>
      <c r="B3958" s="121">
        <v>21</v>
      </c>
      <c r="C3958" s="121">
        <v>27</v>
      </c>
      <c r="D3958" s="121">
        <v>3</v>
      </c>
      <c r="E3958" s="121">
        <v>4472159</v>
      </c>
    </row>
    <row r="3959" spans="1:5" ht="15">
      <c r="A3959" s="120" t="s">
        <v>481</v>
      </c>
      <c r="B3959" s="121">
        <v>21</v>
      </c>
      <c r="C3959" s="121">
        <v>27</v>
      </c>
      <c r="D3959" s="121">
        <v>4</v>
      </c>
      <c r="E3959" s="121">
        <v>3358048</v>
      </c>
    </row>
    <row r="3960" spans="1:5" ht="15">
      <c r="A3960" s="120" t="s">
        <v>481</v>
      </c>
      <c r="B3960" s="121">
        <v>21</v>
      </c>
      <c r="C3960" s="121">
        <v>27</v>
      </c>
      <c r="D3960" s="121">
        <v>5</v>
      </c>
      <c r="E3960" s="121">
        <v>29100</v>
      </c>
    </row>
    <row r="3961" spans="1:5" ht="15">
      <c r="A3961" s="120" t="s">
        <v>481</v>
      </c>
      <c r="B3961" s="121">
        <v>21</v>
      </c>
      <c r="C3961" s="121">
        <v>27</v>
      </c>
      <c r="D3961" s="121">
        <v>7</v>
      </c>
      <c r="E3961" s="121">
        <v>998132</v>
      </c>
    </row>
    <row r="3962" spans="1:5" ht="15">
      <c r="A3962" s="120" t="s">
        <v>481</v>
      </c>
      <c r="B3962" s="121">
        <v>21</v>
      </c>
      <c r="C3962" s="121">
        <v>27</v>
      </c>
      <c r="D3962" s="121">
        <v>8</v>
      </c>
      <c r="E3962" s="121">
        <v>4500</v>
      </c>
    </row>
    <row r="3963" spans="1:5" ht="15">
      <c r="A3963" s="120" t="s">
        <v>481</v>
      </c>
      <c r="B3963" s="121">
        <v>21</v>
      </c>
      <c r="C3963" s="121">
        <v>31</v>
      </c>
      <c r="D3963" s="121">
        <v>2</v>
      </c>
      <c r="E3963" s="121">
        <v>105409</v>
      </c>
    </row>
    <row r="3964" spans="1:5" ht="15">
      <c r="A3964" s="120" t="s">
        <v>481</v>
      </c>
      <c r="B3964" s="121">
        <v>21</v>
      </c>
      <c r="C3964" s="121">
        <v>31</v>
      </c>
      <c r="D3964" s="121">
        <v>4</v>
      </c>
      <c r="E3964" s="121">
        <v>7472</v>
      </c>
    </row>
    <row r="3965" spans="1:5" ht="15">
      <c r="A3965" s="120" t="s">
        <v>481</v>
      </c>
      <c r="B3965" s="121">
        <v>21</v>
      </c>
      <c r="C3965" s="121">
        <v>34</v>
      </c>
      <c r="D3965" s="121">
        <v>2</v>
      </c>
      <c r="E3965" s="121">
        <v>101959</v>
      </c>
    </row>
    <row r="3966" spans="1:5" ht="15">
      <c r="A3966" s="120" t="s">
        <v>481</v>
      </c>
      <c r="B3966" s="121">
        <v>21</v>
      </c>
      <c r="C3966" s="121">
        <v>34</v>
      </c>
      <c r="D3966" s="121">
        <v>4</v>
      </c>
      <c r="E3966" s="121">
        <v>16207</v>
      </c>
    </row>
    <row r="3967" spans="1:5" ht="15">
      <c r="A3967" s="120" t="s">
        <v>301</v>
      </c>
      <c r="B3967" s="121">
        <v>24</v>
      </c>
      <c r="C3967" s="121">
        <v>27</v>
      </c>
      <c r="D3967" s="121">
        <v>2</v>
      </c>
      <c r="E3967" s="121">
        <v>302670</v>
      </c>
    </row>
    <row r="3968" spans="1:5" ht="15">
      <c r="A3968" s="120" t="s">
        <v>301</v>
      </c>
      <c r="B3968" s="121">
        <v>24</v>
      </c>
      <c r="C3968" s="121">
        <v>27</v>
      </c>
      <c r="D3968" s="121">
        <v>4</v>
      </c>
      <c r="E3968" s="121">
        <v>103879</v>
      </c>
    </row>
    <row r="3969" spans="1:5" ht="15">
      <c r="A3969" s="120" t="s">
        <v>481</v>
      </c>
      <c r="B3969" s="121">
        <v>24</v>
      </c>
      <c r="C3969" s="121">
        <v>27</v>
      </c>
      <c r="D3969" s="121">
        <v>2</v>
      </c>
      <c r="E3969" s="121">
        <v>751667</v>
      </c>
    </row>
    <row r="3970" spans="1:5" ht="15">
      <c r="A3970" s="120" t="s">
        <v>481</v>
      </c>
      <c r="B3970" s="121">
        <v>24</v>
      </c>
      <c r="C3970" s="121">
        <v>27</v>
      </c>
      <c r="D3970" s="121">
        <v>4</v>
      </c>
      <c r="E3970" s="121">
        <v>221726</v>
      </c>
    </row>
    <row r="3971" spans="1:5" ht="15">
      <c r="A3971" s="120" t="s">
        <v>481</v>
      </c>
      <c r="B3971" s="121">
        <v>24</v>
      </c>
      <c r="C3971" s="121">
        <v>31</v>
      </c>
      <c r="D3971" s="121">
        <v>2</v>
      </c>
      <c r="E3971" s="121">
        <v>1040</v>
      </c>
    </row>
    <row r="3972" spans="1:5" ht="15">
      <c r="A3972" s="120" t="s">
        <v>481</v>
      </c>
      <c r="B3972" s="121">
        <v>24</v>
      </c>
      <c r="C3972" s="121">
        <v>31</v>
      </c>
      <c r="D3972" s="121">
        <v>3</v>
      </c>
      <c r="E3972" s="121">
        <v>407</v>
      </c>
    </row>
    <row r="3973" spans="1:5" ht="15">
      <c r="A3973" s="120" t="s">
        <v>481</v>
      </c>
      <c r="B3973" s="121">
        <v>24</v>
      </c>
      <c r="C3973" s="121">
        <v>31</v>
      </c>
      <c r="D3973" s="121">
        <v>4</v>
      </c>
      <c r="E3973" s="121">
        <v>224</v>
      </c>
    </row>
    <row r="3974" spans="1:5" ht="15">
      <c r="A3974" s="120" t="s">
        <v>487</v>
      </c>
      <c r="B3974" s="121">
        <v>21</v>
      </c>
      <c r="C3974" s="121">
        <v>21</v>
      </c>
      <c r="D3974" s="121">
        <v>2</v>
      </c>
      <c r="E3974" s="121">
        <v>150000</v>
      </c>
    </row>
    <row r="3975" spans="1:5" ht="15">
      <c r="A3975" s="120" t="s">
        <v>487</v>
      </c>
      <c r="B3975" s="121">
        <v>21</v>
      </c>
      <c r="C3975" s="121">
        <v>21</v>
      </c>
      <c r="D3975" s="121">
        <v>3</v>
      </c>
      <c r="E3975" s="121">
        <v>102058</v>
      </c>
    </row>
    <row r="3976" spans="1:5" ht="15">
      <c r="A3976" s="120" t="s">
        <v>487</v>
      </c>
      <c r="B3976" s="121">
        <v>21</v>
      </c>
      <c r="C3976" s="121">
        <v>21</v>
      </c>
      <c r="D3976" s="121">
        <v>4</v>
      </c>
      <c r="E3976" s="121">
        <v>87559</v>
      </c>
    </row>
    <row r="3977" spans="1:5" ht="15">
      <c r="A3977" s="120" t="s">
        <v>487</v>
      </c>
      <c r="B3977" s="121">
        <v>21</v>
      </c>
      <c r="C3977" s="121">
        <v>21</v>
      </c>
      <c r="D3977" s="121">
        <v>5</v>
      </c>
      <c r="E3977" s="121">
        <v>100</v>
      </c>
    </row>
    <row r="3978" spans="1:5" ht="15">
      <c r="A3978" s="120" t="s">
        <v>487</v>
      </c>
      <c r="B3978" s="121">
        <v>21</v>
      </c>
      <c r="C3978" s="121">
        <v>25</v>
      </c>
      <c r="D3978" s="121">
        <v>3</v>
      </c>
      <c r="E3978" s="121">
        <v>125263</v>
      </c>
    </row>
    <row r="3979" spans="1:5" ht="15">
      <c r="A3979" s="120" t="s">
        <v>487</v>
      </c>
      <c r="B3979" s="121">
        <v>21</v>
      </c>
      <c r="C3979" s="121">
        <v>25</v>
      </c>
      <c r="D3979" s="121">
        <v>4</v>
      </c>
      <c r="E3979" s="121">
        <v>117994</v>
      </c>
    </row>
    <row r="3980" spans="1:5" ht="15">
      <c r="A3980" s="120" t="s">
        <v>487</v>
      </c>
      <c r="B3980" s="121">
        <v>21</v>
      </c>
      <c r="C3980" s="121">
        <v>26</v>
      </c>
      <c r="D3980" s="121">
        <v>2</v>
      </c>
      <c r="E3980" s="121">
        <v>671898</v>
      </c>
    </row>
    <row r="3981" spans="1:5" ht="15">
      <c r="A3981" s="120" t="s">
        <v>487</v>
      </c>
      <c r="B3981" s="121">
        <v>21</v>
      </c>
      <c r="C3981" s="121">
        <v>26</v>
      </c>
      <c r="D3981" s="121">
        <v>3</v>
      </c>
      <c r="E3981" s="121">
        <v>105830</v>
      </c>
    </row>
    <row r="3982" spans="1:5" ht="15">
      <c r="A3982" s="120" t="s">
        <v>487</v>
      </c>
      <c r="B3982" s="121">
        <v>21</v>
      </c>
      <c r="C3982" s="121">
        <v>26</v>
      </c>
      <c r="D3982" s="121">
        <v>4</v>
      </c>
      <c r="E3982" s="121">
        <v>269038</v>
      </c>
    </row>
    <row r="3983" spans="1:5" ht="15">
      <c r="A3983" s="120" t="s">
        <v>487</v>
      </c>
      <c r="B3983" s="121">
        <v>21</v>
      </c>
      <c r="C3983" s="121">
        <v>26</v>
      </c>
      <c r="D3983" s="121">
        <v>7</v>
      </c>
      <c r="E3983" s="121">
        <v>1156980</v>
      </c>
    </row>
    <row r="3984" spans="1:5" ht="15">
      <c r="A3984" s="120" t="s">
        <v>487</v>
      </c>
      <c r="B3984" s="121">
        <v>21</v>
      </c>
      <c r="C3984" s="121">
        <v>27</v>
      </c>
      <c r="D3984" s="121">
        <v>0</v>
      </c>
      <c r="E3984" s="121">
        <v>1000</v>
      </c>
    </row>
    <row r="3985" spans="1:5" ht="15">
      <c r="A3985" s="120" t="s">
        <v>487</v>
      </c>
      <c r="B3985" s="121">
        <v>21</v>
      </c>
      <c r="C3985" s="121">
        <v>27</v>
      </c>
      <c r="D3985" s="121">
        <v>2</v>
      </c>
      <c r="E3985" s="121">
        <v>1402946</v>
      </c>
    </row>
    <row r="3986" spans="1:5" ht="15">
      <c r="A3986" s="120" t="s">
        <v>487</v>
      </c>
      <c r="B3986" s="121">
        <v>21</v>
      </c>
      <c r="C3986" s="121">
        <v>27</v>
      </c>
      <c r="D3986" s="121">
        <v>3</v>
      </c>
      <c r="E3986" s="121">
        <v>1373704</v>
      </c>
    </row>
    <row r="3987" spans="1:5" ht="15">
      <c r="A3987" s="120" t="s">
        <v>487</v>
      </c>
      <c r="B3987" s="121">
        <v>21</v>
      </c>
      <c r="C3987" s="121">
        <v>27</v>
      </c>
      <c r="D3987" s="121">
        <v>4</v>
      </c>
      <c r="E3987" s="121">
        <v>1219738</v>
      </c>
    </row>
    <row r="3988" spans="1:5" ht="15">
      <c r="A3988" s="120" t="s">
        <v>487</v>
      </c>
      <c r="B3988" s="121">
        <v>21</v>
      </c>
      <c r="C3988" s="121">
        <v>27</v>
      </c>
      <c r="D3988" s="121">
        <v>5</v>
      </c>
      <c r="E3988" s="121">
        <v>23700</v>
      </c>
    </row>
    <row r="3989" spans="1:5" ht="15">
      <c r="A3989" s="120" t="s">
        <v>487</v>
      </c>
      <c r="B3989" s="121">
        <v>21</v>
      </c>
      <c r="C3989" s="121">
        <v>27</v>
      </c>
      <c r="D3989" s="121">
        <v>7</v>
      </c>
      <c r="E3989" s="121">
        <v>111200</v>
      </c>
    </row>
    <row r="3990" spans="1:5" ht="15">
      <c r="A3990" s="120" t="s">
        <v>487</v>
      </c>
      <c r="B3990" s="121">
        <v>21</v>
      </c>
      <c r="C3990" s="121">
        <v>31</v>
      </c>
      <c r="D3990" s="121">
        <v>2</v>
      </c>
      <c r="E3990" s="121">
        <v>11470</v>
      </c>
    </row>
    <row r="3991" spans="1:5" ht="15">
      <c r="A3991" s="120" t="s">
        <v>487</v>
      </c>
      <c r="B3991" s="121">
        <v>21</v>
      </c>
      <c r="C3991" s="121">
        <v>31</v>
      </c>
      <c r="D3991" s="121">
        <v>4</v>
      </c>
      <c r="E3991" s="121">
        <v>1860</v>
      </c>
    </row>
    <row r="3992" spans="1:5" ht="15">
      <c r="A3992" s="120" t="s">
        <v>487</v>
      </c>
      <c r="B3992" s="121">
        <v>21</v>
      </c>
      <c r="C3992" s="121">
        <v>34</v>
      </c>
      <c r="D3992" s="121">
        <v>2</v>
      </c>
      <c r="E3992" s="121">
        <v>35440</v>
      </c>
    </row>
    <row r="3993" spans="1:5" ht="15">
      <c r="A3993" s="120" t="s">
        <v>487</v>
      </c>
      <c r="B3993" s="121">
        <v>21</v>
      </c>
      <c r="C3993" s="121">
        <v>34</v>
      </c>
      <c r="D3993" s="121">
        <v>4</v>
      </c>
      <c r="E3993" s="121">
        <v>5750</v>
      </c>
    </row>
    <row r="3994" spans="1:5" ht="15">
      <c r="A3994" s="120" t="s">
        <v>487</v>
      </c>
      <c r="B3994" s="121">
        <v>24</v>
      </c>
      <c r="C3994" s="121">
        <v>27</v>
      </c>
      <c r="D3994" s="121">
        <v>2</v>
      </c>
      <c r="E3994" s="121">
        <v>396673</v>
      </c>
    </row>
    <row r="3995" spans="1:5" ht="15">
      <c r="A3995" s="120" t="s">
        <v>487</v>
      </c>
      <c r="B3995" s="121">
        <v>24</v>
      </c>
      <c r="C3995" s="121">
        <v>27</v>
      </c>
      <c r="D3995" s="121">
        <v>4</v>
      </c>
      <c r="E3995" s="121">
        <v>128879</v>
      </c>
    </row>
    <row r="3996" spans="1:5" ht="15">
      <c r="A3996" s="120" t="s">
        <v>487</v>
      </c>
      <c r="B3996" s="121">
        <v>24</v>
      </c>
      <c r="C3996" s="121">
        <v>31</v>
      </c>
      <c r="D3996" s="121">
        <v>2</v>
      </c>
      <c r="E3996" s="121">
        <v>8607</v>
      </c>
    </row>
    <row r="3997" spans="1:5" ht="15">
      <c r="A3997" s="120" t="s">
        <v>487</v>
      </c>
      <c r="B3997" s="121">
        <v>24</v>
      </c>
      <c r="C3997" s="121">
        <v>31</v>
      </c>
      <c r="D3997" s="121">
        <v>4</v>
      </c>
      <c r="E3997" s="121">
        <v>1392</v>
      </c>
    </row>
    <row r="3998" spans="1:5" ht="15">
      <c r="A3998" s="120" t="s">
        <v>443</v>
      </c>
      <c r="B3998" s="121">
        <v>21</v>
      </c>
      <c r="C3998" s="121">
        <v>21</v>
      </c>
      <c r="D3998" s="121">
        <v>2</v>
      </c>
      <c r="E3998" s="121">
        <v>67373</v>
      </c>
    </row>
    <row r="3999" spans="1:5" ht="15">
      <c r="A3999" s="120" t="s">
        <v>443</v>
      </c>
      <c r="B3999" s="121">
        <v>21</v>
      </c>
      <c r="C3999" s="121">
        <v>21</v>
      </c>
      <c r="D3999" s="121">
        <v>4</v>
      </c>
      <c r="E3999" s="121">
        <v>24928</v>
      </c>
    </row>
    <row r="4000" spans="1:5" ht="15">
      <c r="A4000" s="120" t="s">
        <v>443</v>
      </c>
      <c r="B4000" s="121">
        <v>21</v>
      </c>
      <c r="C4000" s="121">
        <v>26</v>
      </c>
      <c r="D4000" s="121">
        <v>7</v>
      </c>
      <c r="E4000" s="121">
        <v>194000</v>
      </c>
    </row>
    <row r="4001" spans="1:5" ht="15">
      <c r="A4001" s="120" t="s">
        <v>443</v>
      </c>
      <c r="B4001" s="121">
        <v>21</v>
      </c>
      <c r="C4001" s="121">
        <v>27</v>
      </c>
      <c r="D4001" s="121">
        <v>2</v>
      </c>
      <c r="E4001" s="121">
        <v>120378</v>
      </c>
    </row>
    <row r="4002" spans="1:5" ht="15">
      <c r="A4002" s="120" t="s">
        <v>443</v>
      </c>
      <c r="B4002" s="121">
        <v>21</v>
      </c>
      <c r="C4002" s="121">
        <v>27</v>
      </c>
      <c r="D4002" s="121">
        <v>4</v>
      </c>
      <c r="E4002" s="121">
        <v>42006</v>
      </c>
    </row>
    <row r="4003" spans="1:5" ht="15">
      <c r="A4003" s="120" t="s">
        <v>463</v>
      </c>
      <c r="B4003" s="121">
        <v>21</v>
      </c>
      <c r="C4003" s="121">
        <v>21</v>
      </c>
      <c r="D4003" s="121">
        <v>2</v>
      </c>
      <c r="E4003" s="121">
        <v>397724</v>
      </c>
    </row>
    <row r="4004" spans="1:5" ht="15">
      <c r="A4004" s="120" t="s">
        <v>463</v>
      </c>
      <c r="B4004" s="121">
        <v>21</v>
      </c>
      <c r="C4004" s="121">
        <v>21</v>
      </c>
      <c r="D4004" s="121">
        <v>3</v>
      </c>
      <c r="E4004" s="121">
        <v>214837</v>
      </c>
    </row>
    <row r="4005" spans="1:5" ht="15">
      <c r="A4005" s="120" t="s">
        <v>463</v>
      </c>
      <c r="B4005" s="121">
        <v>21</v>
      </c>
      <c r="C4005" s="121">
        <v>21</v>
      </c>
      <c r="D4005" s="121">
        <v>4</v>
      </c>
      <c r="E4005" s="121">
        <v>156464</v>
      </c>
    </row>
    <row r="4006" spans="1:5" ht="15">
      <c r="A4006" s="120" t="s">
        <v>463</v>
      </c>
      <c r="B4006" s="121">
        <v>21</v>
      </c>
      <c r="C4006" s="121">
        <v>21</v>
      </c>
      <c r="D4006" s="121">
        <v>5</v>
      </c>
      <c r="E4006" s="121">
        <v>5500</v>
      </c>
    </row>
    <row r="4007" spans="1:5" ht="15">
      <c r="A4007" s="120" t="s">
        <v>463</v>
      </c>
      <c r="B4007" s="121">
        <v>21</v>
      </c>
      <c r="C4007" s="121">
        <v>21</v>
      </c>
      <c r="D4007" s="121">
        <v>7</v>
      </c>
      <c r="E4007" s="121">
        <v>6500</v>
      </c>
    </row>
    <row r="4008" spans="1:5" ht="15">
      <c r="A4008" s="120" t="s">
        <v>463</v>
      </c>
      <c r="B4008" s="121">
        <v>21</v>
      </c>
      <c r="C4008" s="121">
        <v>21</v>
      </c>
      <c r="D4008" s="121">
        <v>8</v>
      </c>
      <c r="E4008" s="121">
        <v>5000</v>
      </c>
    </row>
    <row r="4009" spans="1:5" ht="15">
      <c r="A4009" s="120" t="s">
        <v>463</v>
      </c>
      <c r="B4009" s="121">
        <v>21</v>
      </c>
      <c r="C4009" s="121">
        <v>26</v>
      </c>
      <c r="D4009" s="121">
        <v>2</v>
      </c>
      <c r="E4009" s="121">
        <v>1259441</v>
      </c>
    </row>
    <row r="4010" spans="1:5" ht="15">
      <c r="A4010" s="120" t="s">
        <v>463</v>
      </c>
      <c r="B4010" s="121">
        <v>21</v>
      </c>
      <c r="C4010" s="121">
        <v>26</v>
      </c>
      <c r="D4010" s="121">
        <v>3</v>
      </c>
      <c r="E4010" s="121">
        <v>227890</v>
      </c>
    </row>
    <row r="4011" spans="1:5" ht="15">
      <c r="A4011" s="120" t="s">
        <v>463</v>
      </c>
      <c r="B4011" s="121">
        <v>21</v>
      </c>
      <c r="C4011" s="121">
        <v>26</v>
      </c>
      <c r="D4011" s="121">
        <v>4</v>
      </c>
      <c r="E4011" s="121">
        <v>536543</v>
      </c>
    </row>
    <row r="4012" spans="1:5" ht="15">
      <c r="A4012" s="120" t="s">
        <v>463</v>
      </c>
      <c r="B4012" s="121">
        <v>21</v>
      </c>
      <c r="C4012" s="121">
        <v>26</v>
      </c>
      <c r="D4012" s="121">
        <v>5</v>
      </c>
      <c r="E4012" s="121">
        <v>18100</v>
      </c>
    </row>
    <row r="4013" spans="1:5" ht="15">
      <c r="A4013" s="120" t="s">
        <v>463</v>
      </c>
      <c r="B4013" s="121">
        <v>21</v>
      </c>
      <c r="C4013" s="121">
        <v>26</v>
      </c>
      <c r="D4013" s="121">
        <v>7</v>
      </c>
      <c r="E4013" s="121">
        <v>28000</v>
      </c>
    </row>
    <row r="4014" spans="1:5" ht="15">
      <c r="A4014" s="120" t="s">
        <v>463</v>
      </c>
      <c r="B4014" s="121">
        <v>21</v>
      </c>
      <c r="C4014" s="121">
        <v>26</v>
      </c>
      <c r="D4014" s="121">
        <v>8</v>
      </c>
      <c r="E4014" s="121">
        <v>2000</v>
      </c>
    </row>
    <row r="4015" spans="1:5" ht="15">
      <c r="A4015" s="120" t="s">
        <v>463</v>
      </c>
      <c r="B4015" s="121">
        <v>21</v>
      </c>
      <c r="C4015" s="121">
        <v>27</v>
      </c>
      <c r="D4015" s="121">
        <v>2</v>
      </c>
      <c r="E4015" s="121">
        <v>1615606</v>
      </c>
    </row>
    <row r="4016" spans="1:5" ht="15">
      <c r="A4016" s="120" t="s">
        <v>463</v>
      </c>
      <c r="B4016" s="121">
        <v>21</v>
      </c>
      <c r="C4016" s="121">
        <v>27</v>
      </c>
      <c r="D4016" s="121">
        <v>3</v>
      </c>
      <c r="E4016" s="121">
        <v>745183</v>
      </c>
    </row>
    <row r="4017" spans="1:5" ht="15">
      <c r="A4017" s="120" t="s">
        <v>463</v>
      </c>
      <c r="B4017" s="121">
        <v>21</v>
      </c>
      <c r="C4017" s="121">
        <v>27</v>
      </c>
      <c r="D4017" s="121">
        <v>4</v>
      </c>
      <c r="E4017" s="121">
        <v>913695</v>
      </c>
    </row>
    <row r="4018" spans="1:5" ht="15">
      <c r="A4018" s="120" t="s">
        <v>463</v>
      </c>
      <c r="B4018" s="121">
        <v>21</v>
      </c>
      <c r="C4018" s="121">
        <v>27</v>
      </c>
      <c r="D4018" s="121">
        <v>5</v>
      </c>
      <c r="E4018" s="121">
        <v>12500</v>
      </c>
    </row>
    <row r="4019" spans="1:5" ht="15">
      <c r="A4019" s="120" t="s">
        <v>463</v>
      </c>
      <c r="B4019" s="121">
        <v>21</v>
      </c>
      <c r="C4019" s="121">
        <v>27</v>
      </c>
      <c r="D4019" s="121">
        <v>7</v>
      </c>
      <c r="E4019" s="121">
        <v>520118</v>
      </c>
    </row>
    <row r="4020" spans="1:5" ht="15">
      <c r="A4020" s="120" t="s">
        <v>463</v>
      </c>
      <c r="B4020" s="121">
        <v>21</v>
      </c>
      <c r="C4020" s="121">
        <v>27</v>
      </c>
      <c r="D4020" s="121">
        <v>8</v>
      </c>
      <c r="E4020" s="121">
        <v>23949</v>
      </c>
    </row>
    <row r="4021" spans="1:5" ht="15">
      <c r="A4021" s="120" t="s">
        <v>463</v>
      </c>
      <c r="B4021" s="121">
        <v>21</v>
      </c>
      <c r="C4021" s="121">
        <v>31</v>
      </c>
      <c r="D4021" s="121">
        <v>2</v>
      </c>
      <c r="E4021" s="121">
        <v>259407</v>
      </c>
    </row>
    <row r="4022" spans="1:5" ht="15">
      <c r="A4022" s="120" t="s">
        <v>463</v>
      </c>
      <c r="B4022" s="121">
        <v>21</v>
      </c>
      <c r="C4022" s="121">
        <v>31</v>
      </c>
      <c r="D4022" s="121">
        <v>3</v>
      </c>
      <c r="E4022" s="121">
        <v>10860</v>
      </c>
    </row>
    <row r="4023" spans="1:5" ht="15">
      <c r="A4023" s="120" t="s">
        <v>463</v>
      </c>
      <c r="B4023" s="121">
        <v>21</v>
      </c>
      <c r="C4023" s="121">
        <v>31</v>
      </c>
      <c r="D4023" s="121">
        <v>4</v>
      </c>
      <c r="E4023" s="121">
        <v>42331</v>
      </c>
    </row>
    <row r="4024" spans="1:5" ht="15">
      <c r="A4024" s="120" t="s">
        <v>463</v>
      </c>
      <c r="B4024" s="121">
        <v>21</v>
      </c>
      <c r="C4024" s="121">
        <v>31</v>
      </c>
      <c r="D4024" s="121">
        <v>7</v>
      </c>
      <c r="E4024" s="121">
        <v>13058</v>
      </c>
    </row>
    <row r="4025" spans="1:5" ht="15">
      <c r="A4025" s="120" t="s">
        <v>463</v>
      </c>
      <c r="B4025" s="121">
        <v>21</v>
      </c>
      <c r="C4025" s="121">
        <v>34</v>
      </c>
      <c r="D4025" s="121">
        <v>2</v>
      </c>
      <c r="E4025" s="121">
        <v>53923</v>
      </c>
    </row>
    <row r="4026" spans="1:5" ht="15">
      <c r="A4026" s="120" t="s">
        <v>463</v>
      </c>
      <c r="B4026" s="121">
        <v>21</v>
      </c>
      <c r="C4026" s="121">
        <v>34</v>
      </c>
      <c r="D4026" s="121">
        <v>4</v>
      </c>
      <c r="E4026" s="121">
        <v>8625</v>
      </c>
    </row>
    <row r="4027" spans="1:5" ht="15">
      <c r="A4027" s="120" t="s">
        <v>463</v>
      </c>
      <c r="B4027" s="121">
        <v>24</v>
      </c>
      <c r="C4027" s="121">
        <v>27</v>
      </c>
      <c r="D4027" s="121">
        <v>3</v>
      </c>
      <c r="E4027" s="121">
        <v>457784</v>
      </c>
    </row>
    <row r="4028" spans="1:5" ht="15">
      <c r="A4028" s="120" t="s">
        <v>463</v>
      </c>
      <c r="B4028" s="121">
        <v>24</v>
      </c>
      <c r="C4028" s="121">
        <v>27</v>
      </c>
      <c r="D4028" s="121">
        <v>4</v>
      </c>
      <c r="E4028" s="121">
        <v>290193</v>
      </c>
    </row>
    <row r="4029" spans="1:5" ht="15">
      <c r="A4029" s="120" t="s">
        <v>483</v>
      </c>
      <c r="B4029" s="121">
        <v>21</v>
      </c>
      <c r="C4029" s="121">
        <v>21</v>
      </c>
      <c r="D4029" s="121">
        <v>2</v>
      </c>
      <c r="E4029" s="121">
        <v>161531</v>
      </c>
    </row>
    <row r="4030" spans="1:5" ht="15">
      <c r="A4030" s="120" t="s">
        <v>483</v>
      </c>
      <c r="B4030" s="121">
        <v>21</v>
      </c>
      <c r="C4030" s="121">
        <v>21</v>
      </c>
      <c r="D4030" s="121">
        <v>3</v>
      </c>
      <c r="E4030" s="121">
        <v>58473</v>
      </c>
    </row>
    <row r="4031" spans="1:5" ht="15">
      <c r="A4031" s="120" t="s">
        <v>483</v>
      </c>
      <c r="B4031" s="121">
        <v>21</v>
      </c>
      <c r="C4031" s="121">
        <v>21</v>
      </c>
      <c r="D4031" s="121">
        <v>4</v>
      </c>
      <c r="E4031" s="121">
        <v>66959</v>
      </c>
    </row>
    <row r="4032" spans="1:5" ht="15">
      <c r="A4032" s="120" t="s">
        <v>483</v>
      </c>
      <c r="B4032" s="121">
        <v>21</v>
      </c>
      <c r="C4032" s="121">
        <v>21</v>
      </c>
      <c r="D4032" s="121">
        <v>5</v>
      </c>
      <c r="E4032" s="121">
        <v>3500</v>
      </c>
    </row>
    <row r="4033" spans="1:5" ht="15">
      <c r="A4033" s="120" t="s">
        <v>483</v>
      </c>
      <c r="B4033" s="121">
        <v>21</v>
      </c>
      <c r="C4033" s="121">
        <v>21</v>
      </c>
      <c r="D4033" s="121">
        <v>7</v>
      </c>
      <c r="E4033" s="121">
        <v>2000</v>
      </c>
    </row>
    <row r="4034" spans="1:5" ht="15">
      <c r="A4034" s="120" t="s">
        <v>483</v>
      </c>
      <c r="B4034" s="121">
        <v>21</v>
      </c>
      <c r="C4034" s="121">
        <v>21</v>
      </c>
      <c r="D4034" s="121">
        <v>8</v>
      </c>
      <c r="E4034" s="121">
        <v>1000</v>
      </c>
    </row>
    <row r="4035" spans="1:5" ht="15">
      <c r="A4035" s="120" t="s">
        <v>483</v>
      </c>
      <c r="B4035" s="121">
        <v>21</v>
      </c>
      <c r="C4035" s="121">
        <v>26</v>
      </c>
      <c r="D4035" s="121">
        <v>2</v>
      </c>
      <c r="E4035" s="121">
        <v>1079841</v>
      </c>
    </row>
    <row r="4036" spans="1:5" ht="15">
      <c r="A4036" s="120" t="s">
        <v>483</v>
      </c>
      <c r="B4036" s="121">
        <v>21</v>
      </c>
      <c r="C4036" s="121">
        <v>26</v>
      </c>
      <c r="D4036" s="121">
        <v>3</v>
      </c>
      <c r="E4036" s="121">
        <v>220712</v>
      </c>
    </row>
    <row r="4037" spans="1:5" ht="15">
      <c r="A4037" s="120" t="s">
        <v>483</v>
      </c>
      <c r="B4037" s="121">
        <v>21</v>
      </c>
      <c r="C4037" s="121">
        <v>26</v>
      </c>
      <c r="D4037" s="121">
        <v>4</v>
      </c>
      <c r="E4037" s="121">
        <v>450293</v>
      </c>
    </row>
    <row r="4038" spans="1:5" ht="15">
      <c r="A4038" s="120" t="s">
        <v>483</v>
      </c>
      <c r="B4038" s="121">
        <v>21</v>
      </c>
      <c r="C4038" s="121">
        <v>26</v>
      </c>
      <c r="D4038" s="121">
        <v>5</v>
      </c>
      <c r="E4038" s="121">
        <v>11000</v>
      </c>
    </row>
    <row r="4039" spans="1:5" ht="15">
      <c r="A4039" s="120" t="s">
        <v>483</v>
      </c>
      <c r="B4039" s="121">
        <v>21</v>
      </c>
      <c r="C4039" s="121">
        <v>26</v>
      </c>
      <c r="D4039" s="121">
        <v>7</v>
      </c>
      <c r="E4039" s="121">
        <v>480988</v>
      </c>
    </row>
    <row r="4040" spans="1:5" ht="15">
      <c r="A4040" s="120" t="s">
        <v>483</v>
      </c>
      <c r="B4040" s="121">
        <v>21</v>
      </c>
      <c r="C4040" s="121">
        <v>27</v>
      </c>
      <c r="D4040" s="121">
        <v>2</v>
      </c>
      <c r="E4040" s="121">
        <v>2062833</v>
      </c>
    </row>
    <row r="4041" spans="1:5" ht="15">
      <c r="A4041" s="120" t="s">
        <v>483</v>
      </c>
      <c r="B4041" s="121">
        <v>21</v>
      </c>
      <c r="C4041" s="121">
        <v>27</v>
      </c>
      <c r="D4041" s="121">
        <v>3</v>
      </c>
      <c r="E4041" s="121">
        <v>1028621</v>
      </c>
    </row>
    <row r="4042" spans="1:5" ht="15">
      <c r="A4042" s="120" t="s">
        <v>483</v>
      </c>
      <c r="B4042" s="121">
        <v>21</v>
      </c>
      <c r="C4042" s="121">
        <v>27</v>
      </c>
      <c r="D4042" s="121">
        <v>4</v>
      </c>
      <c r="E4042" s="121">
        <v>1409995</v>
      </c>
    </row>
    <row r="4043" spans="1:5" ht="15">
      <c r="A4043" s="120" t="s">
        <v>483</v>
      </c>
      <c r="B4043" s="121">
        <v>21</v>
      </c>
      <c r="C4043" s="121">
        <v>27</v>
      </c>
      <c r="D4043" s="121">
        <v>5</v>
      </c>
      <c r="E4043" s="121">
        <v>11000</v>
      </c>
    </row>
    <row r="4044" spans="1:5" ht="15">
      <c r="A4044" s="120" t="s">
        <v>483</v>
      </c>
      <c r="B4044" s="121">
        <v>21</v>
      </c>
      <c r="C4044" s="121">
        <v>27</v>
      </c>
      <c r="D4044" s="121">
        <v>7</v>
      </c>
      <c r="E4044" s="121">
        <v>76800</v>
      </c>
    </row>
    <row r="4045" spans="1:5" ht="15">
      <c r="A4045" s="120" t="s">
        <v>483</v>
      </c>
      <c r="B4045" s="121">
        <v>21</v>
      </c>
      <c r="C4045" s="121">
        <v>31</v>
      </c>
      <c r="D4045" s="121">
        <v>5</v>
      </c>
      <c r="E4045" s="121">
        <v>1000</v>
      </c>
    </row>
    <row r="4046" spans="1:5" ht="15">
      <c r="A4046" s="120" t="s">
        <v>483</v>
      </c>
      <c r="B4046" s="121">
        <v>21</v>
      </c>
      <c r="C4046" s="121">
        <v>33</v>
      </c>
      <c r="D4046" s="121">
        <v>5</v>
      </c>
      <c r="E4046" s="121">
        <v>9000</v>
      </c>
    </row>
    <row r="4047" spans="1:5" ht="15">
      <c r="A4047" s="120" t="s">
        <v>483</v>
      </c>
      <c r="B4047" s="121">
        <v>24</v>
      </c>
      <c r="C4047" s="121">
        <v>26</v>
      </c>
      <c r="D4047" s="121">
        <v>3</v>
      </c>
      <c r="E4047" s="121">
        <v>62675</v>
      </c>
    </row>
    <row r="4048" spans="1:5" ht="15">
      <c r="A4048" s="120" t="s">
        <v>483</v>
      </c>
      <c r="B4048" s="121">
        <v>24</v>
      </c>
      <c r="C4048" s="121">
        <v>26</v>
      </c>
      <c r="D4048" s="121">
        <v>4</v>
      </c>
      <c r="E4048" s="121">
        <v>41689</v>
      </c>
    </row>
    <row r="4049" spans="1:5" ht="15">
      <c r="A4049" s="120" t="s">
        <v>483</v>
      </c>
      <c r="B4049" s="121">
        <v>24</v>
      </c>
      <c r="C4049" s="121">
        <v>27</v>
      </c>
      <c r="D4049" s="121">
        <v>3</v>
      </c>
      <c r="E4049" s="121">
        <v>419147</v>
      </c>
    </row>
    <row r="4050" spans="1:5" ht="15">
      <c r="A4050" s="120" t="s">
        <v>483</v>
      </c>
      <c r="B4050" s="121">
        <v>24</v>
      </c>
      <c r="C4050" s="121">
        <v>27</v>
      </c>
      <c r="D4050" s="121">
        <v>4</v>
      </c>
      <c r="E4050" s="121">
        <v>298423</v>
      </c>
    </row>
    <row r="4051" spans="1:5" ht="15">
      <c r="A4051" s="120" t="s">
        <v>483</v>
      </c>
      <c r="B4051" s="121">
        <v>26</v>
      </c>
      <c r="C4051" s="121">
        <v>21</v>
      </c>
      <c r="D4051" s="121">
        <v>2</v>
      </c>
      <c r="E4051" s="121">
        <v>29856</v>
      </c>
    </row>
    <row r="4052" spans="1:5" ht="15">
      <c r="A4052" s="120" t="s">
        <v>483</v>
      </c>
      <c r="B4052" s="121">
        <v>26</v>
      </c>
      <c r="C4052" s="121">
        <v>21</v>
      </c>
      <c r="D4052" s="121">
        <v>4</v>
      </c>
      <c r="E4052" s="121">
        <v>7639</v>
      </c>
    </row>
    <row r="4053" spans="1:5" ht="15">
      <c r="A4053" s="120" t="s">
        <v>483</v>
      </c>
      <c r="B4053" s="121">
        <v>26</v>
      </c>
      <c r="C4053" s="121">
        <v>27</v>
      </c>
      <c r="D4053" s="121">
        <v>2</v>
      </c>
      <c r="E4053" s="121">
        <v>34293</v>
      </c>
    </row>
    <row r="4054" spans="1:5" ht="15">
      <c r="A4054" s="120" t="s">
        <v>483</v>
      </c>
      <c r="B4054" s="121">
        <v>26</v>
      </c>
      <c r="C4054" s="121">
        <v>27</v>
      </c>
      <c r="D4054" s="121">
        <v>3</v>
      </c>
      <c r="E4054" s="121">
        <v>60290</v>
      </c>
    </row>
    <row r="4055" spans="1:5" ht="15">
      <c r="A4055" s="120" t="s">
        <v>483</v>
      </c>
      <c r="B4055" s="121">
        <v>26</v>
      </c>
      <c r="C4055" s="121">
        <v>27</v>
      </c>
      <c r="D4055" s="121">
        <v>4</v>
      </c>
      <c r="E4055" s="121">
        <v>56014</v>
      </c>
    </row>
    <row r="4056" spans="1:5" ht="15">
      <c r="A4056" s="120" t="s">
        <v>483</v>
      </c>
      <c r="B4056" s="121">
        <v>26</v>
      </c>
      <c r="C4056" s="121">
        <v>27</v>
      </c>
      <c r="D4056" s="121">
        <v>5</v>
      </c>
      <c r="E4056" s="121">
        <v>2875</v>
      </c>
    </row>
    <row r="4057" spans="1:5" ht="15">
      <c r="A4057" s="120" t="s">
        <v>477</v>
      </c>
      <c r="B4057" s="121">
        <v>21</v>
      </c>
      <c r="C4057" s="121">
        <v>26</v>
      </c>
      <c r="D4057" s="121">
        <v>7</v>
      </c>
      <c r="E4057" s="121">
        <v>50000</v>
      </c>
    </row>
    <row r="4058" spans="1:5" ht="15">
      <c r="A4058" s="120" t="s">
        <v>477</v>
      </c>
      <c r="B4058" s="121">
        <v>21</v>
      </c>
      <c r="C4058" s="121">
        <v>27</v>
      </c>
      <c r="D4058" s="121">
        <v>2</v>
      </c>
      <c r="E4058" s="121">
        <v>43606</v>
      </c>
    </row>
    <row r="4059" spans="1:5" ht="15">
      <c r="A4059" s="120" t="s">
        <v>477</v>
      </c>
      <c r="B4059" s="121">
        <v>21</v>
      </c>
      <c r="C4059" s="121">
        <v>27</v>
      </c>
      <c r="D4059" s="121">
        <v>4</v>
      </c>
      <c r="E4059" s="121">
        <v>18848</v>
      </c>
    </row>
    <row r="4060" spans="1:5" ht="15">
      <c r="A4060" s="120" t="s">
        <v>477</v>
      </c>
      <c r="B4060" s="121">
        <v>21</v>
      </c>
      <c r="C4060" s="121">
        <v>27</v>
      </c>
      <c r="D4060" s="121">
        <v>5</v>
      </c>
      <c r="E4060" s="121">
        <v>750</v>
      </c>
    </row>
    <row r="4061" spans="1:5" ht="15">
      <c r="A4061" s="120" t="s">
        <v>477</v>
      </c>
      <c r="B4061" s="121">
        <v>21</v>
      </c>
      <c r="C4061" s="121">
        <v>27</v>
      </c>
      <c r="D4061" s="121">
        <v>7</v>
      </c>
      <c r="E4061" s="121">
        <v>300</v>
      </c>
    </row>
    <row r="4062" spans="1:5" ht="15">
      <c r="A4062" s="120" t="s">
        <v>477</v>
      </c>
      <c r="B4062" s="121">
        <v>21</v>
      </c>
      <c r="C4062" s="121">
        <v>29</v>
      </c>
      <c r="D4062" s="121">
        <v>7</v>
      </c>
      <c r="E4062" s="121">
        <v>140000</v>
      </c>
    </row>
    <row r="4063" spans="1:5" ht="15">
      <c r="A4063" s="120" t="s">
        <v>477</v>
      </c>
      <c r="B4063" s="121">
        <v>24</v>
      </c>
      <c r="C4063" s="121">
        <v>27</v>
      </c>
      <c r="D4063" s="121">
        <v>3</v>
      </c>
      <c r="E4063" s="121">
        <v>10229</v>
      </c>
    </row>
    <row r="4064" spans="1:5" ht="15">
      <c r="A4064" s="120" t="s">
        <v>477</v>
      </c>
      <c r="B4064" s="121">
        <v>24</v>
      </c>
      <c r="C4064" s="121">
        <v>27</v>
      </c>
      <c r="D4064" s="121">
        <v>4</v>
      </c>
      <c r="E4064" s="121">
        <v>6188</v>
      </c>
    </row>
    <row r="4065" spans="1:5" ht="15">
      <c r="A4065" s="120" t="s">
        <v>477</v>
      </c>
      <c r="B4065" s="121">
        <v>24</v>
      </c>
      <c r="C4065" s="121">
        <v>27</v>
      </c>
      <c r="D4065" s="121">
        <v>5</v>
      </c>
      <c r="E4065" s="121">
        <v>500</v>
      </c>
    </row>
    <row r="4066" spans="1:5" ht="15">
      <c r="A4066" s="120" t="s">
        <v>301</v>
      </c>
      <c r="B4066" s="121">
        <v>26</v>
      </c>
      <c r="C4066" s="121">
        <v>21</v>
      </c>
      <c r="D4066" s="121">
        <v>2</v>
      </c>
      <c r="E4066" s="121">
        <v>37589</v>
      </c>
    </row>
    <row r="4067" spans="1:5" ht="15">
      <c r="A4067" s="120" t="s">
        <v>301</v>
      </c>
      <c r="B4067" s="121">
        <v>26</v>
      </c>
      <c r="C4067" s="121">
        <v>21</v>
      </c>
      <c r="D4067" s="121">
        <v>3</v>
      </c>
      <c r="E4067" s="121">
        <v>13980</v>
      </c>
    </row>
    <row r="4068" spans="1:5" ht="15">
      <c r="A4068" s="120" t="s">
        <v>301</v>
      </c>
      <c r="B4068" s="121">
        <v>26</v>
      </c>
      <c r="C4068" s="121">
        <v>21</v>
      </c>
      <c r="D4068" s="121">
        <v>4</v>
      </c>
      <c r="E4068" s="121">
        <v>13145</v>
      </c>
    </row>
    <row r="4069" spans="1:5" ht="15">
      <c r="A4069" s="120" t="s">
        <v>441</v>
      </c>
      <c r="B4069" s="121">
        <v>21</v>
      </c>
      <c r="C4069" s="121">
        <v>21</v>
      </c>
      <c r="D4069" s="121">
        <v>2</v>
      </c>
      <c r="E4069" s="121">
        <v>95254</v>
      </c>
    </row>
    <row r="4070" spans="1:5" ht="15">
      <c r="A4070" s="120" t="s">
        <v>441</v>
      </c>
      <c r="B4070" s="121">
        <v>21</v>
      </c>
      <c r="C4070" s="121">
        <v>21</v>
      </c>
      <c r="D4070" s="121">
        <v>3</v>
      </c>
      <c r="E4070" s="121">
        <v>28829</v>
      </c>
    </row>
    <row r="4071" spans="1:5" ht="15">
      <c r="A4071" s="120" t="s">
        <v>441</v>
      </c>
      <c r="B4071" s="121">
        <v>21</v>
      </c>
      <c r="C4071" s="121">
        <v>21</v>
      </c>
      <c r="D4071" s="121">
        <v>4</v>
      </c>
      <c r="E4071" s="121">
        <v>44621</v>
      </c>
    </row>
    <row r="4072" spans="1:5" ht="15">
      <c r="A4072" s="120" t="s">
        <v>465</v>
      </c>
      <c r="B4072" s="121">
        <v>21</v>
      </c>
      <c r="C4072" s="121">
        <v>21</v>
      </c>
      <c r="D4072" s="121">
        <v>2</v>
      </c>
      <c r="E4072" s="121">
        <v>112636</v>
      </c>
    </row>
    <row r="4073" spans="1:5" ht="15">
      <c r="A4073" s="120" t="s">
        <v>465</v>
      </c>
      <c r="B4073" s="121">
        <v>21</v>
      </c>
      <c r="C4073" s="121">
        <v>21</v>
      </c>
      <c r="D4073" s="121">
        <v>3</v>
      </c>
      <c r="E4073" s="121">
        <v>38906</v>
      </c>
    </row>
    <row r="4074" spans="1:5" ht="15">
      <c r="A4074" s="120" t="s">
        <v>465</v>
      </c>
      <c r="B4074" s="121">
        <v>21</v>
      </c>
      <c r="C4074" s="121">
        <v>21</v>
      </c>
      <c r="D4074" s="121">
        <v>4</v>
      </c>
      <c r="E4074" s="121">
        <v>43673</v>
      </c>
    </row>
    <row r="4075" spans="1:5" ht="15">
      <c r="A4075" s="120" t="s">
        <v>465</v>
      </c>
      <c r="B4075" s="121">
        <v>21</v>
      </c>
      <c r="C4075" s="121">
        <v>21</v>
      </c>
      <c r="D4075" s="121">
        <v>5</v>
      </c>
      <c r="E4075" s="121">
        <v>15000</v>
      </c>
    </row>
    <row r="4076" spans="1:5" ht="15">
      <c r="A4076" s="120" t="s">
        <v>465</v>
      </c>
      <c r="B4076" s="121">
        <v>21</v>
      </c>
      <c r="C4076" s="121">
        <v>21</v>
      </c>
      <c r="D4076" s="121">
        <v>7</v>
      </c>
      <c r="E4076" s="121">
        <v>100</v>
      </c>
    </row>
    <row r="4077" spans="1:5" ht="15">
      <c r="A4077" s="120" t="s">
        <v>465</v>
      </c>
      <c r="B4077" s="121">
        <v>21</v>
      </c>
      <c r="C4077" s="121">
        <v>25</v>
      </c>
      <c r="D4077" s="121">
        <v>7</v>
      </c>
      <c r="E4077" s="121">
        <v>337022</v>
      </c>
    </row>
    <row r="4078" spans="1:5" ht="15">
      <c r="A4078" s="120" t="s">
        <v>465</v>
      </c>
      <c r="B4078" s="121">
        <v>21</v>
      </c>
      <c r="C4078" s="121">
        <v>26</v>
      </c>
      <c r="D4078" s="121">
        <v>2</v>
      </c>
      <c r="E4078" s="121">
        <v>702713</v>
      </c>
    </row>
    <row r="4079" spans="1:5" ht="15">
      <c r="A4079" s="120" t="s">
        <v>465</v>
      </c>
      <c r="B4079" s="121">
        <v>21</v>
      </c>
      <c r="C4079" s="121">
        <v>26</v>
      </c>
      <c r="D4079" s="121">
        <v>3</v>
      </c>
      <c r="E4079" s="121">
        <v>110108</v>
      </c>
    </row>
    <row r="4080" spans="1:5" ht="15">
      <c r="A4080" s="120" t="s">
        <v>465</v>
      </c>
      <c r="B4080" s="121">
        <v>21</v>
      </c>
      <c r="C4080" s="121">
        <v>26</v>
      </c>
      <c r="D4080" s="121">
        <v>4</v>
      </c>
      <c r="E4080" s="121">
        <v>281288</v>
      </c>
    </row>
    <row r="4081" spans="1:5" ht="15">
      <c r="A4081" s="120" t="s">
        <v>465</v>
      </c>
      <c r="B4081" s="121">
        <v>21</v>
      </c>
      <c r="C4081" s="121">
        <v>26</v>
      </c>
      <c r="D4081" s="121">
        <v>5</v>
      </c>
      <c r="E4081" s="121">
        <v>23200</v>
      </c>
    </row>
    <row r="4082" spans="1:5" ht="15">
      <c r="A4082" s="120" t="s">
        <v>465</v>
      </c>
      <c r="B4082" s="121">
        <v>21</v>
      </c>
      <c r="C4082" s="121">
        <v>26</v>
      </c>
      <c r="D4082" s="121">
        <v>7</v>
      </c>
      <c r="E4082" s="121">
        <v>1634580</v>
      </c>
    </row>
    <row r="4083" spans="1:5" ht="15">
      <c r="A4083" s="120" t="s">
        <v>465</v>
      </c>
      <c r="B4083" s="121">
        <v>21</v>
      </c>
      <c r="C4083" s="121">
        <v>27</v>
      </c>
      <c r="D4083" s="121">
        <v>2</v>
      </c>
      <c r="E4083" s="121">
        <v>1194999</v>
      </c>
    </row>
    <row r="4084" spans="1:5" ht="15">
      <c r="A4084" s="120" t="s">
        <v>465</v>
      </c>
      <c r="B4084" s="121">
        <v>21</v>
      </c>
      <c r="C4084" s="121">
        <v>27</v>
      </c>
      <c r="D4084" s="121">
        <v>3</v>
      </c>
      <c r="E4084" s="121">
        <v>1267264</v>
      </c>
    </row>
    <row r="4085" spans="1:5" ht="15">
      <c r="A4085" s="120" t="s">
        <v>465</v>
      </c>
      <c r="B4085" s="121">
        <v>21</v>
      </c>
      <c r="C4085" s="121">
        <v>27</v>
      </c>
      <c r="D4085" s="121">
        <v>4</v>
      </c>
      <c r="E4085" s="121">
        <v>1293628</v>
      </c>
    </row>
    <row r="4086" spans="1:5" ht="15">
      <c r="A4086" s="120" t="s">
        <v>465</v>
      </c>
      <c r="B4086" s="121">
        <v>21</v>
      </c>
      <c r="C4086" s="121">
        <v>27</v>
      </c>
      <c r="D4086" s="121">
        <v>5</v>
      </c>
      <c r="E4086" s="121">
        <v>20500</v>
      </c>
    </row>
    <row r="4087" spans="1:5" ht="15">
      <c r="A4087" s="120" t="s">
        <v>465</v>
      </c>
      <c r="B4087" s="121">
        <v>21</v>
      </c>
      <c r="C4087" s="121">
        <v>27</v>
      </c>
      <c r="D4087" s="121">
        <v>7</v>
      </c>
      <c r="E4087" s="121">
        <v>108169</v>
      </c>
    </row>
    <row r="4088" spans="1:5" ht="15">
      <c r="A4088" s="120" t="s">
        <v>465</v>
      </c>
      <c r="B4088" s="121">
        <v>21</v>
      </c>
      <c r="C4088" s="121">
        <v>27</v>
      </c>
      <c r="D4088" s="121">
        <v>8</v>
      </c>
      <c r="E4088" s="121">
        <v>300</v>
      </c>
    </row>
    <row r="4089" spans="1:5" ht="15">
      <c r="A4089" s="120" t="s">
        <v>465</v>
      </c>
      <c r="B4089" s="121">
        <v>21</v>
      </c>
      <c r="C4089" s="121">
        <v>31</v>
      </c>
      <c r="D4089" s="121">
        <v>5</v>
      </c>
      <c r="E4089" s="121">
        <v>100</v>
      </c>
    </row>
    <row r="4090" spans="1:5" ht="15">
      <c r="A4090" s="120" t="s">
        <v>465</v>
      </c>
      <c r="B4090" s="121">
        <v>21</v>
      </c>
      <c r="C4090" s="121">
        <v>31</v>
      </c>
      <c r="D4090" s="121">
        <v>7</v>
      </c>
      <c r="E4090" s="121">
        <v>1000</v>
      </c>
    </row>
    <row r="4091" spans="1:5" ht="15">
      <c r="A4091" s="120" t="s">
        <v>465</v>
      </c>
      <c r="B4091" s="121">
        <v>21</v>
      </c>
      <c r="C4091" s="121">
        <v>31</v>
      </c>
      <c r="D4091" s="121">
        <v>8</v>
      </c>
      <c r="E4091" s="121">
        <v>200</v>
      </c>
    </row>
    <row r="4092" spans="1:5" ht="15">
      <c r="A4092" s="120" t="s">
        <v>441</v>
      </c>
      <c r="B4092" s="121">
        <v>21</v>
      </c>
      <c r="C4092" s="121">
        <v>26</v>
      </c>
      <c r="D4092" s="121">
        <v>3</v>
      </c>
      <c r="E4092" s="121">
        <v>143404</v>
      </c>
    </row>
    <row r="4093" spans="1:5" ht="15">
      <c r="A4093" s="120" t="s">
        <v>441</v>
      </c>
      <c r="B4093" s="121">
        <v>21</v>
      </c>
      <c r="C4093" s="121">
        <v>26</v>
      </c>
      <c r="D4093" s="121">
        <v>4</v>
      </c>
      <c r="E4093" s="121">
        <v>85968</v>
      </c>
    </row>
    <row r="4094" spans="1:5" ht="15">
      <c r="A4094" s="120" t="s">
        <v>441</v>
      </c>
      <c r="B4094" s="121">
        <v>21</v>
      </c>
      <c r="C4094" s="121">
        <v>26</v>
      </c>
      <c r="D4094" s="121">
        <v>5</v>
      </c>
      <c r="E4094" s="121">
        <v>4800</v>
      </c>
    </row>
    <row r="4095" spans="1:5" ht="15">
      <c r="A4095" s="120" t="s">
        <v>441</v>
      </c>
      <c r="B4095" s="121">
        <v>21</v>
      </c>
      <c r="C4095" s="121">
        <v>26</v>
      </c>
      <c r="D4095" s="121">
        <v>7</v>
      </c>
      <c r="E4095" s="121">
        <v>483000</v>
      </c>
    </row>
    <row r="4096" spans="1:5" ht="15">
      <c r="A4096" s="120" t="s">
        <v>441</v>
      </c>
      <c r="B4096" s="121">
        <v>21</v>
      </c>
      <c r="C4096" s="121">
        <v>27</v>
      </c>
      <c r="D4096" s="121">
        <v>2</v>
      </c>
      <c r="E4096" s="121">
        <v>487156</v>
      </c>
    </row>
    <row r="4097" spans="1:5" ht="15">
      <c r="A4097" s="120" t="s">
        <v>441</v>
      </c>
      <c r="B4097" s="121">
        <v>21</v>
      </c>
      <c r="C4097" s="121">
        <v>27</v>
      </c>
      <c r="D4097" s="121">
        <v>3</v>
      </c>
      <c r="E4097" s="121">
        <v>346948</v>
      </c>
    </row>
    <row r="4098" spans="1:5" ht="15">
      <c r="A4098" s="120" t="s">
        <v>441</v>
      </c>
      <c r="B4098" s="121">
        <v>21</v>
      </c>
      <c r="C4098" s="121">
        <v>27</v>
      </c>
      <c r="D4098" s="121">
        <v>4</v>
      </c>
      <c r="E4098" s="121">
        <v>386111</v>
      </c>
    </row>
    <row r="4099" spans="1:5" ht="15">
      <c r="A4099" s="120" t="s">
        <v>441</v>
      </c>
      <c r="B4099" s="121">
        <v>21</v>
      </c>
      <c r="C4099" s="121">
        <v>27</v>
      </c>
      <c r="D4099" s="121">
        <v>5</v>
      </c>
      <c r="E4099" s="121">
        <v>10500</v>
      </c>
    </row>
    <row r="4100" spans="1:5" ht="15">
      <c r="A4100" s="120" t="s">
        <v>441</v>
      </c>
      <c r="B4100" s="121">
        <v>21</v>
      </c>
      <c r="C4100" s="121">
        <v>31</v>
      </c>
      <c r="D4100" s="121">
        <v>7</v>
      </c>
      <c r="E4100" s="121">
        <v>1000</v>
      </c>
    </row>
    <row r="4101" spans="1:5" ht="15">
      <c r="A4101" s="120" t="s">
        <v>441</v>
      </c>
      <c r="B4101" s="121">
        <v>21</v>
      </c>
      <c r="C4101" s="121">
        <v>32</v>
      </c>
      <c r="D4101" s="121">
        <v>5</v>
      </c>
      <c r="E4101" s="121">
        <v>1500</v>
      </c>
    </row>
    <row r="4102" spans="1:5" ht="15">
      <c r="A4102" s="120" t="s">
        <v>441</v>
      </c>
      <c r="B4102" s="121">
        <v>21</v>
      </c>
      <c r="C4102" s="121">
        <v>32</v>
      </c>
      <c r="D4102" s="121">
        <v>7</v>
      </c>
      <c r="E4102" s="121">
        <v>2500</v>
      </c>
    </row>
    <row r="4103" spans="1:5" ht="15">
      <c r="A4103" s="120" t="s">
        <v>441</v>
      </c>
      <c r="B4103" s="121">
        <v>21</v>
      </c>
      <c r="C4103" s="121">
        <v>34</v>
      </c>
      <c r="D4103" s="121">
        <v>2</v>
      </c>
      <c r="E4103" s="121">
        <v>8030</v>
      </c>
    </row>
    <row r="4104" spans="1:5" ht="15">
      <c r="A4104" s="120" t="s">
        <v>441</v>
      </c>
      <c r="B4104" s="121">
        <v>21</v>
      </c>
      <c r="C4104" s="121">
        <v>34</v>
      </c>
      <c r="D4104" s="121">
        <v>4</v>
      </c>
      <c r="E4104" s="121">
        <v>1293</v>
      </c>
    </row>
    <row r="4105" spans="1:5" ht="15">
      <c r="A4105" s="120" t="s">
        <v>489</v>
      </c>
      <c r="B4105" s="121">
        <v>21</v>
      </c>
      <c r="C4105" s="121">
        <v>26</v>
      </c>
      <c r="D4105" s="121">
        <v>7</v>
      </c>
      <c r="E4105" s="121">
        <v>3500</v>
      </c>
    </row>
    <row r="4106" spans="1:5" ht="15">
      <c r="A4106" s="120" t="s">
        <v>479</v>
      </c>
      <c r="B4106" s="121">
        <v>21</v>
      </c>
      <c r="C4106" s="121">
        <v>21</v>
      </c>
      <c r="D4106" s="121">
        <v>0</v>
      </c>
      <c r="E4106" s="121">
        <v>8200</v>
      </c>
    </row>
    <row r="4107" spans="1:5" ht="15">
      <c r="A4107" s="120" t="s">
        <v>479</v>
      </c>
      <c r="B4107" s="121">
        <v>21</v>
      </c>
      <c r="C4107" s="121">
        <v>21</v>
      </c>
      <c r="D4107" s="121">
        <v>2</v>
      </c>
      <c r="E4107" s="121">
        <v>1263841</v>
      </c>
    </row>
    <row r="4108" spans="1:5" ht="15">
      <c r="A4108" s="120" t="s">
        <v>479</v>
      </c>
      <c r="B4108" s="121">
        <v>21</v>
      </c>
      <c r="C4108" s="121">
        <v>21</v>
      </c>
      <c r="D4108" s="121">
        <v>3</v>
      </c>
      <c r="E4108" s="121">
        <v>1170779</v>
      </c>
    </row>
    <row r="4109" spans="1:5" ht="15">
      <c r="A4109" s="120" t="s">
        <v>479</v>
      </c>
      <c r="B4109" s="121">
        <v>21</v>
      </c>
      <c r="C4109" s="121">
        <v>21</v>
      </c>
      <c r="D4109" s="121">
        <v>4</v>
      </c>
      <c r="E4109" s="121">
        <v>755503</v>
      </c>
    </row>
    <row r="4110" spans="1:5" ht="15">
      <c r="A4110" s="120" t="s">
        <v>479</v>
      </c>
      <c r="B4110" s="121">
        <v>21</v>
      </c>
      <c r="C4110" s="121">
        <v>21</v>
      </c>
      <c r="D4110" s="121">
        <v>5</v>
      </c>
      <c r="E4110" s="121">
        <v>5100</v>
      </c>
    </row>
    <row r="4111" spans="1:5" ht="15">
      <c r="A4111" s="120" t="s">
        <v>479</v>
      </c>
      <c r="B4111" s="121">
        <v>21</v>
      </c>
      <c r="C4111" s="121">
        <v>21</v>
      </c>
      <c r="D4111" s="121">
        <v>7</v>
      </c>
      <c r="E4111" s="121">
        <v>16373</v>
      </c>
    </row>
    <row r="4112" spans="1:5" ht="15">
      <c r="A4112" s="120" t="s">
        <v>479</v>
      </c>
      <c r="B4112" s="121">
        <v>21</v>
      </c>
      <c r="C4112" s="121">
        <v>21</v>
      </c>
      <c r="D4112" s="121">
        <v>8</v>
      </c>
      <c r="E4112" s="121">
        <v>500</v>
      </c>
    </row>
    <row r="4113" spans="1:5" ht="15">
      <c r="A4113" s="120" t="s">
        <v>479</v>
      </c>
      <c r="B4113" s="121">
        <v>21</v>
      </c>
      <c r="C4113" s="121">
        <v>24</v>
      </c>
      <c r="D4113" s="121">
        <v>2</v>
      </c>
      <c r="E4113" s="121">
        <v>68027</v>
      </c>
    </row>
    <row r="4114" spans="1:5" ht="15">
      <c r="A4114" s="120" t="s">
        <v>479</v>
      </c>
      <c r="B4114" s="121">
        <v>21</v>
      </c>
      <c r="C4114" s="121">
        <v>24</v>
      </c>
      <c r="D4114" s="121">
        <v>4</v>
      </c>
      <c r="E4114" s="121">
        <v>20597</v>
      </c>
    </row>
    <row r="4115" spans="1:5" ht="15">
      <c r="A4115" s="120" t="s">
        <v>479</v>
      </c>
      <c r="B4115" s="121">
        <v>21</v>
      </c>
      <c r="C4115" s="121">
        <v>26</v>
      </c>
      <c r="D4115" s="121">
        <v>2</v>
      </c>
      <c r="E4115" s="121">
        <v>32873694</v>
      </c>
    </row>
    <row r="4116" spans="1:5" ht="15">
      <c r="A4116" s="120" t="s">
        <v>479</v>
      </c>
      <c r="B4116" s="121">
        <v>21</v>
      </c>
      <c r="C4116" s="121">
        <v>26</v>
      </c>
      <c r="D4116" s="121">
        <v>3</v>
      </c>
      <c r="E4116" s="121">
        <v>991222</v>
      </c>
    </row>
    <row r="4117" spans="1:5" ht="15">
      <c r="A4117" s="120" t="s">
        <v>479</v>
      </c>
      <c r="B4117" s="121">
        <v>21</v>
      </c>
      <c r="C4117" s="121">
        <v>26</v>
      </c>
      <c r="D4117" s="121">
        <v>4</v>
      </c>
      <c r="E4117" s="121">
        <v>10575814</v>
      </c>
    </row>
    <row r="4118" spans="1:5" ht="15">
      <c r="A4118" s="120" t="s">
        <v>479</v>
      </c>
      <c r="B4118" s="121">
        <v>21</v>
      </c>
      <c r="C4118" s="121">
        <v>26</v>
      </c>
      <c r="D4118" s="121">
        <v>5</v>
      </c>
      <c r="E4118" s="121">
        <v>282381</v>
      </c>
    </row>
    <row r="4119" spans="1:5" ht="15">
      <c r="A4119" s="120" t="s">
        <v>479</v>
      </c>
      <c r="B4119" s="121">
        <v>21</v>
      </c>
      <c r="C4119" s="121">
        <v>26</v>
      </c>
      <c r="D4119" s="121">
        <v>7</v>
      </c>
      <c r="E4119" s="121">
        <v>904327</v>
      </c>
    </row>
    <row r="4120" spans="1:5" ht="15">
      <c r="A4120" s="120" t="s">
        <v>479</v>
      </c>
      <c r="B4120" s="121">
        <v>21</v>
      </c>
      <c r="C4120" s="121">
        <v>26</v>
      </c>
      <c r="D4120" s="121">
        <v>8</v>
      </c>
      <c r="E4120" s="121">
        <v>18700</v>
      </c>
    </row>
    <row r="4121" spans="1:5" ht="15">
      <c r="A4121" s="120" t="s">
        <v>479</v>
      </c>
      <c r="B4121" s="121">
        <v>21</v>
      </c>
      <c r="C4121" s="121">
        <v>27</v>
      </c>
      <c r="D4121" s="121">
        <v>0</v>
      </c>
      <c r="E4121" s="121">
        <v>650</v>
      </c>
    </row>
    <row r="4122" spans="1:5" ht="15">
      <c r="A4122" s="120" t="s">
        <v>479</v>
      </c>
      <c r="B4122" s="121">
        <v>21</v>
      </c>
      <c r="C4122" s="121">
        <v>27</v>
      </c>
      <c r="D4122" s="121">
        <v>2</v>
      </c>
      <c r="E4122" s="121">
        <v>74040332</v>
      </c>
    </row>
    <row r="4123" spans="1:5" ht="15">
      <c r="A4123" s="120" t="s">
        <v>479</v>
      </c>
      <c r="B4123" s="121">
        <v>21</v>
      </c>
      <c r="C4123" s="121">
        <v>27</v>
      </c>
      <c r="D4123" s="121">
        <v>3</v>
      </c>
      <c r="E4123" s="121">
        <v>80134880</v>
      </c>
    </row>
    <row r="4124" spans="1:5" ht="15">
      <c r="A4124" s="120" t="s">
        <v>479</v>
      </c>
      <c r="B4124" s="121">
        <v>21</v>
      </c>
      <c r="C4124" s="121">
        <v>27</v>
      </c>
      <c r="D4124" s="121">
        <v>4</v>
      </c>
      <c r="E4124" s="121">
        <v>52810808</v>
      </c>
    </row>
    <row r="4125" spans="1:5" ht="15">
      <c r="A4125" s="120" t="s">
        <v>479</v>
      </c>
      <c r="B4125" s="121">
        <v>21</v>
      </c>
      <c r="C4125" s="121">
        <v>27</v>
      </c>
      <c r="D4125" s="121">
        <v>5</v>
      </c>
      <c r="E4125" s="121">
        <v>460005</v>
      </c>
    </row>
    <row r="4126" spans="1:5" ht="15">
      <c r="A4126" s="120" t="s">
        <v>479</v>
      </c>
      <c r="B4126" s="121">
        <v>21</v>
      </c>
      <c r="C4126" s="121">
        <v>27</v>
      </c>
      <c r="D4126" s="121">
        <v>7</v>
      </c>
      <c r="E4126" s="121">
        <v>24466680</v>
      </c>
    </row>
    <row r="4127" spans="1:5" ht="15">
      <c r="A4127" s="120" t="s">
        <v>479</v>
      </c>
      <c r="B4127" s="121">
        <v>21</v>
      </c>
      <c r="C4127" s="121">
        <v>27</v>
      </c>
      <c r="D4127" s="121">
        <v>8</v>
      </c>
      <c r="E4127" s="121">
        <v>8977</v>
      </c>
    </row>
    <row r="4128" spans="1:5" ht="15">
      <c r="A4128" s="120" t="s">
        <v>479</v>
      </c>
      <c r="B4128" s="121">
        <v>21</v>
      </c>
      <c r="C4128" s="121">
        <v>31</v>
      </c>
      <c r="D4128" s="121">
        <v>2</v>
      </c>
      <c r="E4128" s="121">
        <v>682472</v>
      </c>
    </row>
    <row r="4129" spans="1:5" ht="15">
      <c r="A4129" s="120" t="s">
        <v>479</v>
      </c>
      <c r="B4129" s="121">
        <v>21</v>
      </c>
      <c r="C4129" s="121">
        <v>31</v>
      </c>
      <c r="D4129" s="121">
        <v>3</v>
      </c>
      <c r="E4129" s="121">
        <v>531429</v>
      </c>
    </row>
    <row r="4130" spans="1:5" ht="15">
      <c r="A4130" s="120" t="s">
        <v>479</v>
      </c>
      <c r="B4130" s="121">
        <v>21</v>
      </c>
      <c r="C4130" s="121">
        <v>31</v>
      </c>
      <c r="D4130" s="121">
        <v>4</v>
      </c>
      <c r="E4130" s="121">
        <v>307596</v>
      </c>
    </row>
    <row r="4131" spans="1:5" ht="15">
      <c r="A4131" s="120" t="s">
        <v>479</v>
      </c>
      <c r="B4131" s="121">
        <v>21</v>
      </c>
      <c r="C4131" s="121">
        <v>31</v>
      </c>
      <c r="D4131" s="121">
        <v>5</v>
      </c>
      <c r="E4131" s="121">
        <v>14516</v>
      </c>
    </row>
    <row r="4132" spans="1:5" ht="15">
      <c r="A4132" s="120" t="s">
        <v>479</v>
      </c>
      <c r="B4132" s="121">
        <v>21</v>
      </c>
      <c r="C4132" s="121">
        <v>31</v>
      </c>
      <c r="D4132" s="121">
        <v>7</v>
      </c>
      <c r="E4132" s="121">
        <v>20000</v>
      </c>
    </row>
    <row r="4133" spans="1:5" ht="15">
      <c r="A4133" s="120" t="s">
        <v>479</v>
      </c>
      <c r="B4133" s="121">
        <v>21</v>
      </c>
      <c r="C4133" s="121">
        <v>31</v>
      </c>
      <c r="D4133" s="121">
        <v>8</v>
      </c>
      <c r="E4133" s="121">
        <v>2136</v>
      </c>
    </row>
    <row r="4134" spans="1:5" ht="15">
      <c r="A4134" s="120" t="s">
        <v>479</v>
      </c>
      <c r="B4134" s="121">
        <v>21</v>
      </c>
      <c r="C4134" s="121">
        <v>33</v>
      </c>
      <c r="D4134" s="121">
        <v>5</v>
      </c>
      <c r="E4134" s="121">
        <v>77521</v>
      </c>
    </row>
    <row r="4135" spans="1:5" ht="15">
      <c r="A4135" s="120" t="s">
        <v>441</v>
      </c>
      <c r="B4135" s="121">
        <v>24</v>
      </c>
      <c r="C4135" s="121">
        <v>26</v>
      </c>
      <c r="D4135" s="121">
        <v>7</v>
      </c>
      <c r="E4135" s="121">
        <v>210312</v>
      </c>
    </row>
    <row r="4136" spans="1:5" ht="15">
      <c r="A4136" s="120" t="s">
        <v>465</v>
      </c>
      <c r="B4136" s="121">
        <v>24</v>
      </c>
      <c r="C4136" s="121">
        <v>27</v>
      </c>
      <c r="D4136" s="121">
        <v>2</v>
      </c>
      <c r="E4136" s="121">
        <v>412924</v>
      </c>
    </row>
    <row r="4137" spans="1:5" ht="15">
      <c r="A4137" s="120" t="s">
        <v>465</v>
      </c>
      <c r="B4137" s="121">
        <v>24</v>
      </c>
      <c r="C4137" s="121">
        <v>27</v>
      </c>
      <c r="D4137" s="121">
        <v>4</v>
      </c>
      <c r="E4137" s="121">
        <v>136579</v>
      </c>
    </row>
    <row r="4138" spans="1:5" ht="15">
      <c r="A4138" s="120" t="s">
        <v>479</v>
      </c>
      <c r="B4138" s="121">
        <v>24</v>
      </c>
      <c r="C4138" s="121">
        <v>21</v>
      </c>
      <c r="D4138" s="121">
        <v>2</v>
      </c>
      <c r="E4138" s="121">
        <v>1891183</v>
      </c>
    </row>
    <row r="4139" spans="1:5" ht="15">
      <c r="A4139" s="120" t="s">
        <v>479</v>
      </c>
      <c r="B4139" s="121">
        <v>24</v>
      </c>
      <c r="C4139" s="121">
        <v>21</v>
      </c>
      <c r="D4139" s="121">
        <v>3</v>
      </c>
      <c r="E4139" s="121">
        <v>276754</v>
      </c>
    </row>
    <row r="4140" spans="1:5" ht="15">
      <c r="A4140" s="120" t="s">
        <v>479</v>
      </c>
      <c r="B4140" s="121">
        <v>24</v>
      </c>
      <c r="C4140" s="121">
        <v>21</v>
      </c>
      <c r="D4140" s="121">
        <v>4</v>
      </c>
      <c r="E4140" s="121">
        <v>533941</v>
      </c>
    </row>
    <row r="4141" spans="1:5" ht="15">
      <c r="A4141" s="120" t="s">
        <v>479</v>
      </c>
      <c r="B4141" s="121">
        <v>24</v>
      </c>
      <c r="C4141" s="121">
        <v>21</v>
      </c>
      <c r="D4141" s="121">
        <v>8</v>
      </c>
      <c r="E4141" s="121">
        <v>1112</v>
      </c>
    </row>
    <row r="4142" spans="1:5" ht="15">
      <c r="A4142" s="120" t="s">
        <v>479</v>
      </c>
      <c r="B4142" s="121">
        <v>24</v>
      </c>
      <c r="C4142" s="121">
        <v>26</v>
      </c>
      <c r="D4142" s="121">
        <v>2</v>
      </c>
      <c r="E4142" s="121">
        <v>1209968</v>
      </c>
    </row>
    <row r="4143" spans="1:5" ht="15">
      <c r="A4143" s="120" t="s">
        <v>479</v>
      </c>
      <c r="B4143" s="121">
        <v>24</v>
      </c>
      <c r="C4143" s="121">
        <v>26</v>
      </c>
      <c r="D4143" s="121">
        <v>3</v>
      </c>
      <c r="E4143" s="121">
        <v>71210</v>
      </c>
    </row>
    <row r="4144" spans="1:5" ht="15">
      <c r="A4144" s="120" t="s">
        <v>479</v>
      </c>
      <c r="B4144" s="121">
        <v>24</v>
      </c>
      <c r="C4144" s="121">
        <v>26</v>
      </c>
      <c r="D4144" s="121">
        <v>4</v>
      </c>
      <c r="E4144" s="121">
        <v>396713</v>
      </c>
    </row>
    <row r="4145" spans="1:5" ht="15">
      <c r="A4145" s="120" t="s">
        <v>479</v>
      </c>
      <c r="B4145" s="121">
        <v>24</v>
      </c>
      <c r="C4145" s="121">
        <v>26</v>
      </c>
      <c r="D4145" s="121">
        <v>5</v>
      </c>
      <c r="E4145" s="121">
        <v>191673</v>
      </c>
    </row>
    <row r="4146" spans="1:5" ht="15">
      <c r="A4146" s="120" t="s">
        <v>479</v>
      </c>
      <c r="B4146" s="121">
        <v>24</v>
      </c>
      <c r="C4146" s="121">
        <v>26</v>
      </c>
      <c r="D4146" s="121">
        <v>8</v>
      </c>
      <c r="E4146" s="121">
        <v>3400</v>
      </c>
    </row>
    <row r="4147" spans="1:5" ht="15">
      <c r="A4147" s="120" t="s">
        <v>479</v>
      </c>
      <c r="B4147" s="121">
        <v>24</v>
      </c>
      <c r="C4147" s="121">
        <v>27</v>
      </c>
      <c r="D4147" s="121">
        <v>2</v>
      </c>
      <c r="E4147" s="121">
        <v>1545702</v>
      </c>
    </row>
    <row r="4148" spans="1:5" ht="15">
      <c r="A4148" s="120" t="s">
        <v>479</v>
      </c>
      <c r="B4148" s="121">
        <v>24</v>
      </c>
      <c r="C4148" s="121">
        <v>27</v>
      </c>
      <c r="D4148" s="121">
        <v>3</v>
      </c>
      <c r="E4148" s="121">
        <v>2412080</v>
      </c>
    </row>
    <row r="4149" spans="1:5" ht="15">
      <c r="A4149" s="120" t="s">
        <v>479</v>
      </c>
      <c r="B4149" s="121">
        <v>24</v>
      </c>
      <c r="C4149" s="121">
        <v>27</v>
      </c>
      <c r="D4149" s="121">
        <v>4</v>
      </c>
      <c r="E4149" s="121">
        <v>1500794</v>
      </c>
    </row>
    <row r="4150" spans="1:5" ht="15">
      <c r="A4150" s="120" t="s">
        <v>479</v>
      </c>
      <c r="B4150" s="121">
        <v>24</v>
      </c>
      <c r="C4150" s="121">
        <v>27</v>
      </c>
      <c r="D4150" s="121">
        <v>5</v>
      </c>
      <c r="E4150" s="121">
        <v>301420</v>
      </c>
    </row>
    <row r="4151" spans="1:5" ht="15">
      <c r="A4151" s="120" t="s">
        <v>479</v>
      </c>
      <c r="B4151" s="121">
        <v>24</v>
      </c>
      <c r="C4151" s="121">
        <v>27</v>
      </c>
      <c r="D4151" s="121">
        <v>7</v>
      </c>
      <c r="E4151" s="121">
        <v>3279174</v>
      </c>
    </row>
    <row r="4152" spans="1:5" ht="15">
      <c r="A4152" s="120" t="s">
        <v>479</v>
      </c>
      <c r="B4152" s="121">
        <v>24</v>
      </c>
      <c r="C4152" s="121">
        <v>27</v>
      </c>
      <c r="D4152" s="121">
        <v>8</v>
      </c>
      <c r="E4152" s="121">
        <v>4716</v>
      </c>
    </row>
    <row r="4153" spans="1:5" ht="15">
      <c r="A4153" s="120" t="s">
        <v>479</v>
      </c>
      <c r="B4153" s="121">
        <v>24</v>
      </c>
      <c r="C4153" s="121">
        <v>31</v>
      </c>
      <c r="D4153" s="121">
        <v>2</v>
      </c>
      <c r="E4153" s="121">
        <v>2102668</v>
      </c>
    </row>
    <row r="4154" spans="1:5" ht="15">
      <c r="A4154" s="120" t="s">
        <v>479</v>
      </c>
      <c r="B4154" s="121">
        <v>24</v>
      </c>
      <c r="C4154" s="121">
        <v>31</v>
      </c>
      <c r="D4154" s="121">
        <v>4</v>
      </c>
      <c r="E4154" s="121">
        <v>521836</v>
      </c>
    </row>
    <row r="4155" spans="1:5" ht="15">
      <c r="A4155" s="120" t="s">
        <v>479</v>
      </c>
      <c r="B4155" s="121">
        <v>24</v>
      </c>
      <c r="C4155" s="121">
        <v>31</v>
      </c>
      <c r="D4155" s="121">
        <v>7</v>
      </c>
      <c r="E4155" s="121">
        <v>45808</v>
      </c>
    </row>
    <row r="4156" spans="1:5" ht="15">
      <c r="A4156" s="120" t="s">
        <v>479</v>
      </c>
      <c r="B4156" s="121">
        <v>24</v>
      </c>
      <c r="C4156" s="121">
        <v>31</v>
      </c>
      <c r="D4156" s="121">
        <v>8</v>
      </c>
      <c r="E4156" s="121">
        <v>15123</v>
      </c>
    </row>
    <row r="4157" spans="1:5" ht="15">
      <c r="A4157" s="120" t="s">
        <v>485</v>
      </c>
      <c r="B4157" s="121">
        <v>21</v>
      </c>
      <c r="C4157" s="121">
        <v>26</v>
      </c>
      <c r="D4157" s="121">
        <v>2</v>
      </c>
      <c r="E4157" s="121">
        <v>124510</v>
      </c>
    </row>
    <row r="4158" spans="1:5" ht="15">
      <c r="A4158" s="120" t="s">
        <v>485</v>
      </c>
      <c r="B4158" s="121">
        <v>21</v>
      </c>
      <c r="C4158" s="121">
        <v>26</v>
      </c>
      <c r="D4158" s="121">
        <v>4</v>
      </c>
      <c r="E4158" s="121">
        <v>46593</v>
      </c>
    </row>
    <row r="4159" spans="1:5" ht="15">
      <c r="A4159" s="120" t="s">
        <v>485</v>
      </c>
      <c r="B4159" s="121">
        <v>21</v>
      </c>
      <c r="C4159" s="121">
        <v>26</v>
      </c>
      <c r="D4159" s="121">
        <v>5</v>
      </c>
      <c r="E4159" s="121">
        <v>500</v>
      </c>
    </row>
    <row r="4160" spans="1:5" ht="15">
      <c r="A4160" s="120" t="s">
        <v>485</v>
      </c>
      <c r="B4160" s="121">
        <v>21</v>
      </c>
      <c r="C4160" s="121">
        <v>27</v>
      </c>
      <c r="D4160" s="121">
        <v>2</v>
      </c>
      <c r="E4160" s="121">
        <v>121944</v>
      </c>
    </row>
    <row r="4161" spans="1:5" ht="15">
      <c r="A4161" s="120" t="s">
        <v>485</v>
      </c>
      <c r="B4161" s="121">
        <v>21</v>
      </c>
      <c r="C4161" s="121">
        <v>27</v>
      </c>
      <c r="D4161" s="121">
        <v>3</v>
      </c>
      <c r="E4161" s="121">
        <v>179224</v>
      </c>
    </row>
    <row r="4162" spans="1:5" ht="15">
      <c r="A4162" s="120" t="s">
        <v>485</v>
      </c>
      <c r="B4162" s="121">
        <v>21</v>
      </c>
      <c r="C4162" s="121">
        <v>27</v>
      </c>
      <c r="D4162" s="121">
        <v>4</v>
      </c>
      <c r="E4162" s="121">
        <v>183202</v>
      </c>
    </row>
    <row r="4163" spans="1:5" ht="15">
      <c r="A4163" s="120" t="s">
        <v>485</v>
      </c>
      <c r="B4163" s="121">
        <v>21</v>
      </c>
      <c r="C4163" s="121">
        <v>27</v>
      </c>
      <c r="D4163" s="121">
        <v>5</v>
      </c>
      <c r="E4163" s="121">
        <v>5000</v>
      </c>
    </row>
    <row r="4164" spans="1:5" ht="15">
      <c r="A4164" s="120" t="s">
        <v>485</v>
      </c>
      <c r="B4164" s="121">
        <v>21</v>
      </c>
      <c r="C4164" s="121">
        <v>27</v>
      </c>
      <c r="D4164" s="121">
        <v>7</v>
      </c>
      <c r="E4164" s="121">
        <v>4000</v>
      </c>
    </row>
    <row r="4165" spans="1:5" ht="15">
      <c r="A4165" s="120" t="s">
        <v>485</v>
      </c>
      <c r="B4165" s="121">
        <v>21</v>
      </c>
      <c r="C4165" s="121">
        <v>34</v>
      </c>
      <c r="D4165" s="121">
        <v>7</v>
      </c>
      <c r="E4165" s="121">
        <v>500</v>
      </c>
    </row>
    <row r="4166" spans="1:5" ht="15">
      <c r="A4166" s="120" t="s">
        <v>485</v>
      </c>
      <c r="B4166" s="121">
        <v>24</v>
      </c>
      <c r="C4166" s="121">
        <v>26</v>
      </c>
      <c r="D4166" s="121">
        <v>2</v>
      </c>
      <c r="E4166" s="121">
        <v>23496</v>
      </c>
    </row>
    <row r="4167" spans="1:5" ht="15">
      <c r="A4167" s="120" t="s">
        <v>485</v>
      </c>
      <c r="B4167" s="121">
        <v>24</v>
      </c>
      <c r="C4167" s="121">
        <v>26</v>
      </c>
      <c r="D4167" s="121">
        <v>4</v>
      </c>
      <c r="E4167" s="121">
        <v>8815</v>
      </c>
    </row>
    <row r="4168" spans="1:5" ht="15">
      <c r="A4168" s="120" t="s">
        <v>485</v>
      </c>
      <c r="B4168" s="121">
        <v>24</v>
      </c>
      <c r="C4168" s="121">
        <v>26</v>
      </c>
      <c r="D4168" s="121">
        <v>7</v>
      </c>
      <c r="E4168" s="121">
        <v>18500</v>
      </c>
    </row>
    <row r="4169" spans="1:5" ht="15">
      <c r="A4169" s="120" t="s">
        <v>485</v>
      </c>
      <c r="B4169" s="121">
        <v>24</v>
      </c>
      <c r="C4169" s="121">
        <v>27</v>
      </c>
      <c r="D4169" s="121">
        <v>2</v>
      </c>
      <c r="E4169" s="121">
        <v>13352</v>
      </c>
    </row>
    <row r="4170" spans="1:5" ht="15">
      <c r="A4170" s="120" t="s">
        <v>485</v>
      </c>
      <c r="B4170" s="121">
        <v>24</v>
      </c>
      <c r="C4170" s="121">
        <v>27</v>
      </c>
      <c r="D4170" s="121">
        <v>3</v>
      </c>
      <c r="E4170" s="121">
        <v>7877</v>
      </c>
    </row>
    <row r="4171" spans="1:5" ht="15">
      <c r="A4171" s="120" t="s">
        <v>485</v>
      </c>
      <c r="B4171" s="121">
        <v>24</v>
      </c>
      <c r="C4171" s="121">
        <v>27</v>
      </c>
      <c r="D4171" s="121">
        <v>4</v>
      </c>
      <c r="E4171" s="121">
        <v>11104</v>
      </c>
    </row>
    <row r="4172" spans="1:5" ht="15">
      <c r="A4172" s="120" t="s">
        <v>445</v>
      </c>
      <c r="B4172" s="121">
        <v>21</v>
      </c>
      <c r="C4172" s="121">
        <v>26</v>
      </c>
      <c r="D4172" s="121">
        <v>7</v>
      </c>
      <c r="E4172" s="121">
        <v>338997</v>
      </c>
    </row>
    <row r="4173" spans="1:5" ht="15">
      <c r="A4173" s="120" t="s">
        <v>445</v>
      </c>
      <c r="B4173" s="121">
        <v>21</v>
      </c>
      <c r="C4173" s="121">
        <v>27</v>
      </c>
      <c r="D4173" s="121">
        <v>2</v>
      </c>
      <c r="E4173" s="121">
        <v>82776</v>
      </c>
    </row>
    <row r="4174" spans="1:5" ht="15">
      <c r="A4174" s="120" t="s">
        <v>445</v>
      </c>
      <c r="B4174" s="121">
        <v>21</v>
      </c>
      <c r="C4174" s="121">
        <v>27</v>
      </c>
      <c r="D4174" s="121">
        <v>3</v>
      </c>
      <c r="E4174" s="121">
        <v>206932</v>
      </c>
    </row>
    <row r="4175" spans="1:5" ht="15">
      <c r="A4175" s="120" t="s">
        <v>445</v>
      </c>
      <c r="B4175" s="121">
        <v>21</v>
      </c>
      <c r="C4175" s="121">
        <v>27</v>
      </c>
      <c r="D4175" s="121">
        <v>4</v>
      </c>
      <c r="E4175" s="121">
        <v>138639</v>
      </c>
    </row>
    <row r="4176" spans="1:5" ht="15">
      <c r="A4176" s="120" t="s">
        <v>445</v>
      </c>
      <c r="B4176" s="121">
        <v>21</v>
      </c>
      <c r="C4176" s="121">
        <v>27</v>
      </c>
      <c r="D4176" s="121">
        <v>5</v>
      </c>
      <c r="E4176" s="121">
        <v>2275</v>
      </c>
    </row>
    <row r="4177" spans="1:5" ht="15">
      <c r="A4177" s="120" t="s">
        <v>445</v>
      </c>
      <c r="B4177" s="121">
        <v>21</v>
      </c>
      <c r="C4177" s="121">
        <v>27</v>
      </c>
      <c r="D4177" s="121">
        <v>7</v>
      </c>
      <c r="E4177" s="121">
        <v>25500</v>
      </c>
    </row>
    <row r="4178" spans="1:5" ht="15">
      <c r="A4178" s="120" t="s">
        <v>445</v>
      </c>
      <c r="B4178" s="121">
        <v>24</v>
      </c>
      <c r="C4178" s="121">
        <v>27</v>
      </c>
      <c r="D4178" s="121">
        <v>2</v>
      </c>
      <c r="E4178" s="121">
        <v>82776</v>
      </c>
    </row>
    <row r="4179" spans="1:5" ht="15">
      <c r="A4179" s="120" t="s">
        <v>445</v>
      </c>
      <c r="B4179" s="121">
        <v>24</v>
      </c>
      <c r="C4179" s="121">
        <v>27</v>
      </c>
      <c r="D4179" s="121">
        <v>4</v>
      </c>
      <c r="E4179" s="121">
        <v>32506</v>
      </c>
    </row>
    <row r="4180" spans="1:5" ht="15">
      <c r="A4180" s="120" t="s">
        <v>467</v>
      </c>
      <c r="B4180" s="121">
        <v>21</v>
      </c>
      <c r="C4180" s="121">
        <v>29</v>
      </c>
      <c r="D4180" s="121">
        <v>7</v>
      </c>
      <c r="E4180" s="121">
        <v>40848</v>
      </c>
    </row>
    <row r="4181" spans="1:5" ht="15">
      <c r="A4181" s="120" t="s">
        <v>301</v>
      </c>
      <c r="B4181" s="121">
        <v>26</v>
      </c>
      <c r="C4181" s="121">
        <v>26</v>
      </c>
      <c r="D4181" s="121">
        <v>2</v>
      </c>
      <c r="E4181" s="121">
        <v>20745</v>
      </c>
    </row>
    <row r="4182" spans="1:5" ht="15">
      <c r="A4182" s="120" t="s">
        <v>301</v>
      </c>
      <c r="B4182" s="121">
        <v>26</v>
      </c>
      <c r="C4182" s="121">
        <v>26</v>
      </c>
      <c r="D4182" s="121">
        <v>4</v>
      </c>
      <c r="E4182" s="121">
        <v>7117</v>
      </c>
    </row>
    <row r="4183" spans="1:5" ht="15">
      <c r="A4183" s="120" t="s">
        <v>301</v>
      </c>
      <c r="B4183" s="121">
        <v>26</v>
      </c>
      <c r="C4183" s="121">
        <v>26</v>
      </c>
      <c r="D4183" s="121">
        <v>7</v>
      </c>
      <c r="E4183" s="121">
        <v>53813</v>
      </c>
    </row>
    <row r="4184" spans="1:5" ht="15">
      <c r="A4184" s="120" t="s">
        <v>301</v>
      </c>
      <c r="B4184" s="121">
        <v>26</v>
      </c>
      <c r="C4184" s="121">
        <v>27</v>
      </c>
      <c r="D4184" s="121">
        <v>2</v>
      </c>
      <c r="E4184" s="121">
        <v>23994</v>
      </c>
    </row>
    <row r="4185" spans="1:5" ht="15">
      <c r="A4185" s="120" t="s">
        <v>301</v>
      </c>
      <c r="B4185" s="121">
        <v>26</v>
      </c>
      <c r="C4185" s="121">
        <v>27</v>
      </c>
      <c r="D4185" s="121">
        <v>3</v>
      </c>
      <c r="E4185" s="121">
        <v>27429</v>
      </c>
    </row>
    <row r="4186" spans="1:5" ht="15">
      <c r="A4186" s="120" t="s">
        <v>301</v>
      </c>
      <c r="B4186" s="121">
        <v>26</v>
      </c>
      <c r="C4186" s="121">
        <v>27</v>
      </c>
      <c r="D4186" s="121">
        <v>4</v>
      </c>
      <c r="E4186" s="121">
        <v>30335</v>
      </c>
    </row>
    <row r="4187" spans="1:5" ht="15">
      <c r="A4187" s="120" t="s">
        <v>493</v>
      </c>
      <c r="B4187" s="121">
        <v>21</v>
      </c>
      <c r="C4187" s="121">
        <v>21</v>
      </c>
      <c r="D4187" s="121">
        <v>2</v>
      </c>
      <c r="E4187" s="121">
        <v>518231</v>
      </c>
    </row>
    <row r="4188" spans="1:5" ht="15">
      <c r="A4188" s="120" t="s">
        <v>493</v>
      </c>
      <c r="B4188" s="121">
        <v>21</v>
      </c>
      <c r="C4188" s="121">
        <v>21</v>
      </c>
      <c r="D4188" s="121">
        <v>3</v>
      </c>
      <c r="E4188" s="121">
        <v>282980</v>
      </c>
    </row>
    <row r="4189" spans="1:5" ht="15">
      <c r="A4189" s="120" t="s">
        <v>493</v>
      </c>
      <c r="B4189" s="121">
        <v>21</v>
      </c>
      <c r="C4189" s="121">
        <v>21</v>
      </c>
      <c r="D4189" s="121">
        <v>4</v>
      </c>
      <c r="E4189" s="121">
        <v>225562</v>
      </c>
    </row>
    <row r="4190" spans="1:5" ht="15">
      <c r="A4190" s="120" t="s">
        <v>493</v>
      </c>
      <c r="B4190" s="121">
        <v>21</v>
      </c>
      <c r="C4190" s="121">
        <v>25</v>
      </c>
      <c r="D4190" s="121">
        <v>3</v>
      </c>
      <c r="E4190" s="121">
        <v>308440</v>
      </c>
    </row>
    <row r="4191" spans="1:5" ht="15">
      <c r="A4191" s="120" t="s">
        <v>493</v>
      </c>
      <c r="B4191" s="121">
        <v>21</v>
      </c>
      <c r="C4191" s="121">
        <v>25</v>
      </c>
      <c r="D4191" s="121">
        <v>4</v>
      </c>
      <c r="E4191" s="121">
        <v>203823</v>
      </c>
    </row>
    <row r="4192" spans="1:5" ht="15">
      <c r="A4192" s="120" t="s">
        <v>493</v>
      </c>
      <c r="B4192" s="121">
        <v>21</v>
      </c>
      <c r="C4192" s="121">
        <v>26</v>
      </c>
      <c r="D4192" s="121">
        <v>2</v>
      </c>
      <c r="E4192" s="121">
        <v>4418596</v>
      </c>
    </row>
    <row r="4193" spans="1:5" ht="15">
      <c r="A4193" s="120" t="s">
        <v>493</v>
      </c>
      <c r="B4193" s="121">
        <v>21</v>
      </c>
      <c r="C4193" s="121">
        <v>26</v>
      </c>
      <c r="D4193" s="121">
        <v>3</v>
      </c>
      <c r="E4193" s="121">
        <v>188650</v>
      </c>
    </row>
    <row r="4194" spans="1:5" ht="15">
      <c r="A4194" s="120" t="s">
        <v>493</v>
      </c>
      <c r="B4194" s="121">
        <v>21</v>
      </c>
      <c r="C4194" s="121">
        <v>26</v>
      </c>
      <c r="D4194" s="121">
        <v>4</v>
      </c>
      <c r="E4194" s="121">
        <v>1341588</v>
      </c>
    </row>
    <row r="4195" spans="1:5" ht="15">
      <c r="A4195" s="120" t="s">
        <v>493</v>
      </c>
      <c r="B4195" s="121">
        <v>21</v>
      </c>
      <c r="C4195" s="121">
        <v>26</v>
      </c>
      <c r="D4195" s="121">
        <v>5</v>
      </c>
      <c r="E4195" s="121">
        <v>70000</v>
      </c>
    </row>
    <row r="4196" spans="1:5" ht="15">
      <c r="A4196" s="120" t="s">
        <v>493</v>
      </c>
      <c r="B4196" s="121">
        <v>21</v>
      </c>
      <c r="C4196" s="121">
        <v>26</v>
      </c>
      <c r="D4196" s="121">
        <v>7</v>
      </c>
      <c r="E4196" s="121">
        <v>375000</v>
      </c>
    </row>
    <row r="4197" spans="1:5" ht="15">
      <c r="A4197" s="120" t="s">
        <v>493</v>
      </c>
      <c r="B4197" s="121">
        <v>21</v>
      </c>
      <c r="C4197" s="121">
        <v>27</v>
      </c>
      <c r="D4197" s="121">
        <v>0</v>
      </c>
      <c r="E4197" s="121">
        <v>80000</v>
      </c>
    </row>
    <row r="4198" spans="1:5" ht="15">
      <c r="A4198" s="120" t="s">
        <v>493</v>
      </c>
      <c r="B4198" s="121">
        <v>21</v>
      </c>
      <c r="C4198" s="121">
        <v>27</v>
      </c>
      <c r="D4198" s="121">
        <v>2</v>
      </c>
      <c r="E4198" s="121">
        <v>7431905</v>
      </c>
    </row>
    <row r="4199" spans="1:5" ht="15">
      <c r="A4199" s="120" t="s">
        <v>493</v>
      </c>
      <c r="B4199" s="121">
        <v>21</v>
      </c>
      <c r="C4199" s="121">
        <v>27</v>
      </c>
      <c r="D4199" s="121">
        <v>3</v>
      </c>
      <c r="E4199" s="121">
        <v>7162151</v>
      </c>
    </row>
    <row r="4200" spans="1:5" ht="15">
      <c r="A4200" s="120" t="s">
        <v>493</v>
      </c>
      <c r="B4200" s="121">
        <v>21</v>
      </c>
      <c r="C4200" s="121">
        <v>27</v>
      </c>
      <c r="D4200" s="121">
        <v>4</v>
      </c>
      <c r="E4200" s="121">
        <v>6108121</v>
      </c>
    </row>
    <row r="4201" spans="1:5" ht="15">
      <c r="A4201" s="120" t="s">
        <v>493</v>
      </c>
      <c r="B4201" s="121">
        <v>21</v>
      </c>
      <c r="C4201" s="121">
        <v>27</v>
      </c>
      <c r="D4201" s="121">
        <v>5</v>
      </c>
      <c r="E4201" s="121">
        <v>39999</v>
      </c>
    </row>
    <row r="4202" spans="1:5" ht="15">
      <c r="A4202" s="120" t="s">
        <v>493</v>
      </c>
      <c r="B4202" s="121">
        <v>21</v>
      </c>
      <c r="C4202" s="121">
        <v>27</v>
      </c>
      <c r="D4202" s="121">
        <v>7</v>
      </c>
      <c r="E4202" s="121">
        <v>3139279</v>
      </c>
    </row>
    <row r="4203" spans="1:5" ht="15">
      <c r="A4203" s="120" t="s">
        <v>493</v>
      </c>
      <c r="B4203" s="121">
        <v>21</v>
      </c>
      <c r="C4203" s="121">
        <v>27</v>
      </c>
      <c r="D4203" s="121">
        <v>8</v>
      </c>
      <c r="E4203" s="121">
        <v>3000</v>
      </c>
    </row>
    <row r="4204" spans="1:5" ht="15">
      <c r="A4204" s="120" t="s">
        <v>493</v>
      </c>
      <c r="B4204" s="121">
        <v>21</v>
      </c>
      <c r="C4204" s="121">
        <v>29</v>
      </c>
      <c r="D4204" s="121">
        <v>7</v>
      </c>
      <c r="E4204" s="121">
        <v>662000</v>
      </c>
    </row>
    <row r="4205" spans="1:5" ht="15">
      <c r="A4205" s="120" t="s">
        <v>493</v>
      </c>
      <c r="B4205" s="121">
        <v>21</v>
      </c>
      <c r="C4205" s="121">
        <v>31</v>
      </c>
      <c r="D4205" s="121">
        <v>2</v>
      </c>
      <c r="E4205" s="121">
        <v>156475</v>
      </c>
    </row>
    <row r="4206" spans="1:5" ht="15">
      <c r="A4206" s="120" t="s">
        <v>493</v>
      </c>
      <c r="B4206" s="121">
        <v>21</v>
      </c>
      <c r="C4206" s="121">
        <v>31</v>
      </c>
      <c r="D4206" s="121">
        <v>3</v>
      </c>
      <c r="E4206" s="121">
        <v>5000</v>
      </c>
    </row>
    <row r="4207" spans="1:5" ht="15">
      <c r="A4207" s="120" t="s">
        <v>493</v>
      </c>
      <c r="B4207" s="121">
        <v>21</v>
      </c>
      <c r="C4207" s="121">
        <v>31</v>
      </c>
      <c r="D4207" s="121">
        <v>4</v>
      </c>
      <c r="E4207" s="121">
        <v>43635</v>
      </c>
    </row>
    <row r="4208" spans="1:5" ht="15">
      <c r="A4208" s="120" t="s">
        <v>493</v>
      </c>
      <c r="B4208" s="121">
        <v>21</v>
      </c>
      <c r="C4208" s="121">
        <v>31</v>
      </c>
      <c r="D4208" s="121">
        <v>5</v>
      </c>
      <c r="E4208" s="121">
        <v>10000</v>
      </c>
    </row>
    <row r="4209" spans="1:5" ht="15">
      <c r="A4209" s="120" t="s">
        <v>493</v>
      </c>
      <c r="B4209" s="121">
        <v>21</v>
      </c>
      <c r="C4209" s="121">
        <v>31</v>
      </c>
      <c r="D4209" s="121">
        <v>8</v>
      </c>
      <c r="E4209" s="121">
        <v>500</v>
      </c>
    </row>
    <row r="4210" spans="1:5" ht="15">
      <c r="A4210" s="120" t="s">
        <v>493</v>
      </c>
      <c r="B4210" s="121">
        <v>21</v>
      </c>
      <c r="C4210" s="121">
        <v>34</v>
      </c>
      <c r="D4210" s="121">
        <v>2</v>
      </c>
      <c r="E4210" s="121">
        <v>159774</v>
      </c>
    </row>
    <row r="4211" spans="1:5" ht="15">
      <c r="A4211" s="120" t="s">
        <v>493</v>
      </c>
      <c r="B4211" s="121">
        <v>21</v>
      </c>
      <c r="C4211" s="121">
        <v>34</v>
      </c>
      <c r="D4211" s="121">
        <v>4</v>
      </c>
      <c r="E4211" s="121">
        <v>26041</v>
      </c>
    </row>
    <row r="4212" spans="1:5" ht="15">
      <c r="A4212" s="120" t="s">
        <v>493</v>
      </c>
      <c r="B4212" s="121">
        <v>24</v>
      </c>
      <c r="C4212" s="121">
        <v>26</v>
      </c>
      <c r="D4212" s="121">
        <v>2</v>
      </c>
      <c r="E4212" s="121">
        <v>1488235</v>
      </c>
    </row>
    <row r="4213" spans="1:5" ht="15">
      <c r="A4213" s="120" t="s">
        <v>493</v>
      </c>
      <c r="B4213" s="121">
        <v>24</v>
      </c>
      <c r="C4213" s="121">
        <v>26</v>
      </c>
      <c r="D4213" s="121">
        <v>4</v>
      </c>
      <c r="E4213" s="121">
        <v>419990</v>
      </c>
    </row>
    <row r="4214" spans="1:5" ht="15">
      <c r="A4214" s="120" t="s">
        <v>493</v>
      </c>
      <c r="B4214" s="121">
        <v>24</v>
      </c>
      <c r="C4214" s="121">
        <v>27</v>
      </c>
      <c r="D4214" s="121">
        <v>2</v>
      </c>
      <c r="E4214" s="121">
        <v>60857</v>
      </c>
    </row>
    <row r="4215" spans="1:5" ht="15">
      <c r="A4215" s="120" t="s">
        <v>493</v>
      </c>
      <c r="B4215" s="121">
        <v>24</v>
      </c>
      <c r="C4215" s="121">
        <v>27</v>
      </c>
      <c r="D4215" s="121">
        <v>4</v>
      </c>
      <c r="E4215" s="121">
        <v>16089</v>
      </c>
    </row>
    <row r="4216" spans="1:5" ht="15">
      <c r="A4216" s="120" t="s">
        <v>493</v>
      </c>
      <c r="B4216" s="121">
        <v>24</v>
      </c>
      <c r="C4216" s="121">
        <v>31</v>
      </c>
      <c r="D4216" s="121">
        <v>2</v>
      </c>
      <c r="E4216" s="121">
        <v>405271</v>
      </c>
    </row>
    <row r="4217" spans="1:5" ht="15">
      <c r="A4217" s="120" t="s">
        <v>493</v>
      </c>
      <c r="B4217" s="121">
        <v>24</v>
      </c>
      <c r="C4217" s="121">
        <v>31</v>
      </c>
      <c r="D4217" s="121">
        <v>4</v>
      </c>
      <c r="E4217" s="121">
        <v>110774</v>
      </c>
    </row>
    <row r="4218" spans="1:5" ht="15">
      <c r="A4218" s="120" t="s">
        <v>493</v>
      </c>
      <c r="B4218" s="121">
        <v>26</v>
      </c>
      <c r="C4218" s="121">
        <v>27</v>
      </c>
      <c r="D4218" s="121">
        <v>2</v>
      </c>
      <c r="E4218" s="121">
        <v>28327</v>
      </c>
    </row>
    <row r="4219" spans="1:5" ht="15">
      <c r="A4219" s="120" t="s">
        <v>493</v>
      </c>
      <c r="B4219" s="121">
        <v>26</v>
      </c>
      <c r="C4219" s="121">
        <v>27</v>
      </c>
      <c r="D4219" s="121">
        <v>4</v>
      </c>
      <c r="E4219" s="121">
        <v>7711</v>
      </c>
    </row>
    <row r="4220" spans="1:5" ht="15">
      <c r="A4220" s="120" t="s">
        <v>493</v>
      </c>
      <c r="B4220" s="121">
        <v>26</v>
      </c>
      <c r="C4220" s="121">
        <v>27</v>
      </c>
      <c r="D4220" s="121">
        <v>5</v>
      </c>
      <c r="E4220" s="121">
        <v>1</v>
      </c>
    </row>
    <row r="4221" spans="1:5" ht="15">
      <c r="A4221" s="120" t="s">
        <v>493</v>
      </c>
      <c r="B4221" s="121">
        <v>26</v>
      </c>
      <c r="C4221" s="121">
        <v>27</v>
      </c>
      <c r="D4221" s="121">
        <v>7</v>
      </c>
      <c r="E4221" s="121">
        <v>113721</v>
      </c>
    </row>
    <row r="4222" spans="1:5" ht="15">
      <c r="A4222" s="120" t="s">
        <v>493</v>
      </c>
      <c r="B4222" s="121">
        <v>26</v>
      </c>
      <c r="C4222" s="121">
        <v>34</v>
      </c>
      <c r="D4222" s="121">
        <v>2</v>
      </c>
      <c r="E4222" s="121">
        <v>209</v>
      </c>
    </row>
    <row r="4223" spans="1:5" ht="15">
      <c r="A4223" s="120" t="s">
        <v>493</v>
      </c>
      <c r="B4223" s="121">
        <v>26</v>
      </c>
      <c r="C4223" s="121">
        <v>34</v>
      </c>
      <c r="D4223" s="121">
        <v>4</v>
      </c>
      <c r="E4223" s="121">
        <v>34</v>
      </c>
    </row>
    <row r="4224" spans="1:5" ht="15">
      <c r="A4224" s="120" t="s">
        <v>491</v>
      </c>
      <c r="B4224" s="121">
        <v>21</v>
      </c>
      <c r="C4224" s="121">
        <v>21</v>
      </c>
      <c r="D4224" s="121">
        <v>2</v>
      </c>
      <c r="E4224" s="121">
        <v>168807</v>
      </c>
    </row>
    <row r="4225" spans="1:5" ht="15">
      <c r="A4225" s="120" t="s">
        <v>491</v>
      </c>
      <c r="B4225" s="121">
        <v>21</v>
      </c>
      <c r="C4225" s="121">
        <v>21</v>
      </c>
      <c r="D4225" s="121">
        <v>3</v>
      </c>
      <c r="E4225" s="121">
        <v>152981</v>
      </c>
    </row>
    <row r="4226" spans="1:5" ht="15">
      <c r="A4226" s="120" t="s">
        <v>491</v>
      </c>
      <c r="B4226" s="121">
        <v>21</v>
      </c>
      <c r="C4226" s="121">
        <v>21</v>
      </c>
      <c r="D4226" s="121">
        <v>4</v>
      </c>
      <c r="E4226" s="121">
        <v>113447</v>
      </c>
    </row>
    <row r="4227" spans="1:5" ht="15">
      <c r="A4227" s="120" t="s">
        <v>491</v>
      </c>
      <c r="B4227" s="121">
        <v>21</v>
      </c>
      <c r="C4227" s="121">
        <v>21</v>
      </c>
      <c r="D4227" s="121">
        <v>5</v>
      </c>
      <c r="E4227" s="121">
        <v>2400</v>
      </c>
    </row>
    <row r="4228" spans="1:5" ht="15">
      <c r="A4228" s="120" t="s">
        <v>491</v>
      </c>
      <c r="B4228" s="121">
        <v>21</v>
      </c>
      <c r="C4228" s="121">
        <v>21</v>
      </c>
      <c r="D4228" s="121">
        <v>7</v>
      </c>
      <c r="E4228" s="121">
        <v>7900</v>
      </c>
    </row>
    <row r="4229" spans="1:5" ht="15">
      <c r="A4229" s="120" t="s">
        <v>491</v>
      </c>
      <c r="B4229" s="121">
        <v>21</v>
      </c>
      <c r="C4229" s="121">
        <v>21</v>
      </c>
      <c r="D4229" s="121">
        <v>8</v>
      </c>
      <c r="E4229" s="121">
        <v>830</v>
      </c>
    </row>
    <row r="4230" spans="1:5" ht="15">
      <c r="A4230" s="120" t="s">
        <v>491</v>
      </c>
      <c r="B4230" s="121">
        <v>21</v>
      </c>
      <c r="C4230" s="121">
        <v>26</v>
      </c>
      <c r="D4230" s="121">
        <v>2</v>
      </c>
      <c r="E4230" s="121">
        <v>1187488</v>
      </c>
    </row>
    <row r="4231" spans="1:5" ht="15">
      <c r="A4231" s="120" t="s">
        <v>491</v>
      </c>
      <c r="B4231" s="121">
        <v>21</v>
      </c>
      <c r="C4231" s="121">
        <v>26</v>
      </c>
      <c r="D4231" s="121">
        <v>3</v>
      </c>
      <c r="E4231" s="121">
        <v>108269</v>
      </c>
    </row>
    <row r="4232" spans="1:5" ht="15">
      <c r="A4232" s="120" t="s">
        <v>491</v>
      </c>
      <c r="B4232" s="121">
        <v>21</v>
      </c>
      <c r="C4232" s="121">
        <v>26</v>
      </c>
      <c r="D4232" s="121">
        <v>4</v>
      </c>
      <c r="E4232" s="121">
        <v>377307</v>
      </c>
    </row>
    <row r="4233" spans="1:5" ht="15">
      <c r="A4233" s="120" t="s">
        <v>491</v>
      </c>
      <c r="B4233" s="121">
        <v>21</v>
      </c>
      <c r="C4233" s="121">
        <v>26</v>
      </c>
      <c r="D4233" s="121">
        <v>5</v>
      </c>
      <c r="E4233" s="121">
        <v>3000</v>
      </c>
    </row>
    <row r="4234" spans="1:5" ht="15">
      <c r="A4234" s="120" t="s">
        <v>491</v>
      </c>
      <c r="B4234" s="121">
        <v>21</v>
      </c>
      <c r="C4234" s="121">
        <v>26</v>
      </c>
      <c r="D4234" s="121">
        <v>7</v>
      </c>
      <c r="E4234" s="121">
        <v>442120</v>
      </c>
    </row>
    <row r="4235" spans="1:5" ht="15">
      <c r="A4235" s="120" t="s">
        <v>491</v>
      </c>
      <c r="B4235" s="121">
        <v>21</v>
      </c>
      <c r="C4235" s="121">
        <v>26</v>
      </c>
      <c r="D4235" s="121">
        <v>8</v>
      </c>
      <c r="E4235" s="121">
        <v>500</v>
      </c>
    </row>
    <row r="4236" spans="1:5" ht="15">
      <c r="A4236" s="120" t="s">
        <v>491</v>
      </c>
      <c r="B4236" s="121">
        <v>21</v>
      </c>
      <c r="C4236" s="121">
        <v>27</v>
      </c>
      <c r="D4236" s="121">
        <v>0</v>
      </c>
      <c r="E4236" s="121">
        <v>21400</v>
      </c>
    </row>
    <row r="4237" spans="1:5" ht="15">
      <c r="A4237" s="120" t="s">
        <v>491</v>
      </c>
      <c r="B4237" s="121">
        <v>21</v>
      </c>
      <c r="C4237" s="121">
        <v>27</v>
      </c>
      <c r="D4237" s="121">
        <v>2</v>
      </c>
      <c r="E4237" s="121">
        <v>3644002</v>
      </c>
    </row>
    <row r="4238" spans="1:5" ht="15">
      <c r="A4238" s="120" t="s">
        <v>491</v>
      </c>
      <c r="B4238" s="121">
        <v>21</v>
      </c>
      <c r="C4238" s="121">
        <v>27</v>
      </c>
      <c r="D4238" s="121">
        <v>3</v>
      </c>
      <c r="E4238" s="121">
        <v>1745282</v>
      </c>
    </row>
    <row r="4239" spans="1:5" ht="15">
      <c r="A4239" s="120" t="s">
        <v>491</v>
      </c>
      <c r="B4239" s="121">
        <v>21</v>
      </c>
      <c r="C4239" s="121">
        <v>27</v>
      </c>
      <c r="D4239" s="121">
        <v>4</v>
      </c>
      <c r="E4239" s="121">
        <v>2024205</v>
      </c>
    </row>
    <row r="4240" spans="1:5" ht="15">
      <c r="A4240" s="120" t="s">
        <v>491</v>
      </c>
      <c r="B4240" s="121">
        <v>21</v>
      </c>
      <c r="C4240" s="121">
        <v>27</v>
      </c>
      <c r="D4240" s="121">
        <v>5</v>
      </c>
      <c r="E4240" s="121">
        <v>35000</v>
      </c>
    </row>
    <row r="4241" spans="1:5" ht="15">
      <c r="A4241" s="120" t="s">
        <v>491</v>
      </c>
      <c r="B4241" s="121">
        <v>21</v>
      </c>
      <c r="C4241" s="121">
        <v>27</v>
      </c>
      <c r="D4241" s="121">
        <v>7</v>
      </c>
      <c r="E4241" s="121">
        <v>310998</v>
      </c>
    </row>
    <row r="4242" spans="1:5" ht="15">
      <c r="A4242" s="120" t="s">
        <v>491</v>
      </c>
      <c r="B4242" s="121">
        <v>21</v>
      </c>
      <c r="C4242" s="121">
        <v>27</v>
      </c>
      <c r="D4242" s="121">
        <v>8</v>
      </c>
      <c r="E4242" s="121">
        <v>500</v>
      </c>
    </row>
    <row r="4243" spans="1:5" ht="15">
      <c r="A4243" s="120" t="s">
        <v>491</v>
      </c>
      <c r="B4243" s="121">
        <v>21</v>
      </c>
      <c r="C4243" s="121">
        <v>31</v>
      </c>
      <c r="D4243" s="121">
        <v>2</v>
      </c>
      <c r="E4243" s="121">
        <v>5000</v>
      </c>
    </row>
    <row r="4244" spans="1:5" ht="15">
      <c r="A4244" s="120" t="s">
        <v>491</v>
      </c>
      <c r="B4244" s="121">
        <v>21</v>
      </c>
      <c r="C4244" s="121">
        <v>31</v>
      </c>
      <c r="D4244" s="121">
        <v>3</v>
      </c>
      <c r="E4244" s="121">
        <v>5000</v>
      </c>
    </row>
    <row r="4245" spans="1:5" ht="15">
      <c r="A4245" s="120" t="s">
        <v>491</v>
      </c>
      <c r="B4245" s="121">
        <v>21</v>
      </c>
      <c r="C4245" s="121">
        <v>31</v>
      </c>
      <c r="D4245" s="121">
        <v>4</v>
      </c>
      <c r="E4245" s="121">
        <v>1673</v>
      </c>
    </row>
    <row r="4246" spans="1:5" ht="15">
      <c r="A4246" s="120" t="s">
        <v>491</v>
      </c>
      <c r="B4246" s="121">
        <v>21</v>
      </c>
      <c r="C4246" s="121">
        <v>31</v>
      </c>
      <c r="D4246" s="121">
        <v>5</v>
      </c>
      <c r="E4246" s="121">
        <v>2448</v>
      </c>
    </row>
    <row r="4247" spans="1:5" ht="15">
      <c r="A4247" s="120" t="s">
        <v>491</v>
      </c>
      <c r="B4247" s="121">
        <v>21</v>
      </c>
      <c r="C4247" s="121">
        <v>34</v>
      </c>
      <c r="D4247" s="121">
        <v>2</v>
      </c>
      <c r="E4247" s="121">
        <v>187500</v>
      </c>
    </row>
    <row r="4248" spans="1:5" ht="15">
      <c r="A4248" s="120" t="s">
        <v>491</v>
      </c>
      <c r="B4248" s="121">
        <v>21</v>
      </c>
      <c r="C4248" s="121">
        <v>34</v>
      </c>
      <c r="D4248" s="121">
        <v>4</v>
      </c>
      <c r="E4248" s="121">
        <v>23711</v>
      </c>
    </row>
    <row r="4249" spans="1:5" ht="15">
      <c r="A4249" s="120" t="s">
        <v>491</v>
      </c>
      <c r="B4249" s="121">
        <v>24</v>
      </c>
      <c r="C4249" s="121">
        <v>26</v>
      </c>
      <c r="D4249" s="121">
        <v>2</v>
      </c>
      <c r="E4249" s="121">
        <v>239818</v>
      </c>
    </row>
    <row r="4250" spans="1:5" ht="15">
      <c r="A4250" s="120" t="s">
        <v>491</v>
      </c>
      <c r="B4250" s="121">
        <v>24</v>
      </c>
      <c r="C4250" s="121">
        <v>26</v>
      </c>
      <c r="D4250" s="121">
        <v>4</v>
      </c>
      <c r="E4250" s="121">
        <v>63791</v>
      </c>
    </row>
    <row r="4251" spans="1:5" ht="15">
      <c r="A4251" s="120" t="s">
        <v>491</v>
      </c>
      <c r="B4251" s="121">
        <v>24</v>
      </c>
      <c r="C4251" s="121">
        <v>27</v>
      </c>
      <c r="D4251" s="121">
        <v>2</v>
      </c>
      <c r="E4251" s="121">
        <v>298044</v>
      </c>
    </row>
    <row r="4252" spans="1:5" ht="15">
      <c r="A4252" s="120" t="s">
        <v>491</v>
      </c>
      <c r="B4252" s="121">
        <v>24</v>
      </c>
      <c r="C4252" s="121">
        <v>27</v>
      </c>
      <c r="D4252" s="121">
        <v>3</v>
      </c>
      <c r="E4252" s="121">
        <v>189825</v>
      </c>
    </row>
    <row r="4253" spans="1:5" ht="15">
      <c r="A4253" s="120" t="s">
        <v>491</v>
      </c>
      <c r="B4253" s="121">
        <v>24</v>
      </c>
      <c r="C4253" s="121">
        <v>27</v>
      </c>
      <c r="D4253" s="121">
        <v>4</v>
      </c>
      <c r="E4253" s="121">
        <v>172454</v>
      </c>
    </row>
    <row r="4254" spans="1:5" ht="15">
      <c r="A4254" s="120" t="s">
        <v>491</v>
      </c>
      <c r="B4254" s="121">
        <v>24</v>
      </c>
      <c r="C4254" s="121">
        <v>27</v>
      </c>
      <c r="D4254" s="121">
        <v>5</v>
      </c>
      <c r="E4254" s="121">
        <v>1518</v>
      </c>
    </row>
    <row r="4255" spans="1:5" ht="15">
      <c r="A4255" s="120" t="s">
        <v>301</v>
      </c>
      <c r="B4255" s="121">
        <v>29</v>
      </c>
      <c r="C4255" s="121">
        <v>27</v>
      </c>
      <c r="D4255" s="121">
        <v>3</v>
      </c>
      <c r="E4255" s="121">
        <v>56995</v>
      </c>
    </row>
    <row r="4256" spans="1:5" ht="15">
      <c r="A4256" s="120" t="s">
        <v>301</v>
      </c>
      <c r="B4256" s="121">
        <v>29</v>
      </c>
      <c r="C4256" s="121">
        <v>27</v>
      </c>
      <c r="D4256" s="121">
        <v>4</v>
      </c>
      <c r="E4256" s="121">
        <v>40589</v>
      </c>
    </row>
    <row r="4257" spans="1:5" ht="15">
      <c r="A4257" s="120" t="s">
        <v>699</v>
      </c>
      <c r="B4257" s="121">
        <v>21</v>
      </c>
      <c r="C4257" s="121">
        <v>24</v>
      </c>
      <c r="D4257" s="121">
        <v>2</v>
      </c>
      <c r="E4257" s="121">
        <v>9225</v>
      </c>
    </row>
    <row r="4258" spans="1:5" ht="15">
      <c r="A4258" s="120" t="s">
        <v>699</v>
      </c>
      <c r="B4258" s="121">
        <v>21</v>
      </c>
      <c r="C4258" s="121">
        <v>24</v>
      </c>
      <c r="D4258" s="121">
        <v>4</v>
      </c>
      <c r="E4258" s="121">
        <v>3690</v>
      </c>
    </row>
    <row r="4259" spans="1:5" ht="15">
      <c r="A4259" s="120" t="s">
        <v>699</v>
      </c>
      <c r="B4259" s="121">
        <v>21</v>
      </c>
      <c r="C4259" s="121">
        <v>26</v>
      </c>
      <c r="D4259" s="121">
        <v>5</v>
      </c>
      <c r="E4259" s="121">
        <v>2562</v>
      </c>
    </row>
    <row r="4260" spans="1:5" ht="15">
      <c r="A4260" s="120" t="s">
        <v>699</v>
      </c>
      <c r="B4260" s="121">
        <v>21</v>
      </c>
      <c r="C4260" s="121">
        <v>26</v>
      </c>
      <c r="D4260" s="121">
        <v>7</v>
      </c>
      <c r="E4260" s="121">
        <v>79878</v>
      </c>
    </row>
    <row r="4261" spans="1:5" ht="15">
      <c r="A4261" s="120" t="s">
        <v>699</v>
      </c>
      <c r="B4261" s="121">
        <v>21</v>
      </c>
      <c r="C4261" s="121">
        <v>27</v>
      </c>
      <c r="D4261" s="121">
        <v>2</v>
      </c>
      <c r="E4261" s="121">
        <v>60030</v>
      </c>
    </row>
    <row r="4262" spans="1:5" ht="15">
      <c r="A4262" s="120" t="s">
        <v>699</v>
      </c>
      <c r="B4262" s="121">
        <v>21</v>
      </c>
      <c r="C4262" s="121">
        <v>27</v>
      </c>
      <c r="D4262" s="121">
        <v>3</v>
      </c>
      <c r="E4262" s="121">
        <v>140000</v>
      </c>
    </row>
    <row r="4263" spans="1:5" ht="15">
      <c r="A4263" s="120" t="s">
        <v>699</v>
      </c>
      <c r="B4263" s="121">
        <v>21</v>
      </c>
      <c r="C4263" s="121">
        <v>27</v>
      </c>
      <c r="D4263" s="121">
        <v>4</v>
      </c>
      <c r="E4263" s="121">
        <v>80012</v>
      </c>
    </row>
    <row r="4264" spans="1:5" ht="15">
      <c r="A4264" s="120" t="s">
        <v>447</v>
      </c>
      <c r="B4264" s="121">
        <v>21</v>
      </c>
      <c r="C4264" s="121">
        <v>27</v>
      </c>
      <c r="D4264" s="121">
        <v>2</v>
      </c>
      <c r="E4264" s="121">
        <v>322579</v>
      </c>
    </row>
    <row r="4265" spans="1:5" ht="15">
      <c r="A4265" s="120" t="s">
        <v>447</v>
      </c>
      <c r="B4265" s="121">
        <v>21</v>
      </c>
      <c r="C4265" s="121">
        <v>27</v>
      </c>
      <c r="D4265" s="121">
        <v>3</v>
      </c>
      <c r="E4265" s="121">
        <v>232540</v>
      </c>
    </row>
    <row r="4266" spans="1:5" ht="15">
      <c r="A4266" s="120" t="s">
        <v>447</v>
      </c>
      <c r="B4266" s="121">
        <v>21</v>
      </c>
      <c r="C4266" s="121">
        <v>27</v>
      </c>
      <c r="D4266" s="121">
        <v>4</v>
      </c>
      <c r="E4266" s="121">
        <v>249127</v>
      </c>
    </row>
    <row r="4267" spans="1:5" ht="15">
      <c r="A4267" s="120" t="s">
        <v>447</v>
      </c>
      <c r="B4267" s="121">
        <v>21</v>
      </c>
      <c r="C4267" s="121">
        <v>27</v>
      </c>
      <c r="D4267" s="121">
        <v>5</v>
      </c>
      <c r="E4267" s="121">
        <v>97600</v>
      </c>
    </row>
    <row r="4268" spans="1:5" ht="15">
      <c r="A4268" s="120" t="s">
        <v>447</v>
      </c>
      <c r="B4268" s="121">
        <v>21</v>
      </c>
      <c r="C4268" s="121">
        <v>29</v>
      </c>
      <c r="D4268" s="121">
        <v>7</v>
      </c>
      <c r="E4268" s="121">
        <v>215000</v>
      </c>
    </row>
    <row r="4269" spans="1:5" ht="15">
      <c r="A4269" s="120" t="s">
        <v>447</v>
      </c>
      <c r="B4269" s="121">
        <v>21</v>
      </c>
      <c r="C4269" s="121">
        <v>32</v>
      </c>
      <c r="D4269" s="121">
        <v>5</v>
      </c>
      <c r="E4269" s="121">
        <v>7500</v>
      </c>
    </row>
    <row r="4270" spans="1:5" ht="15">
      <c r="A4270" s="120" t="s">
        <v>699</v>
      </c>
      <c r="B4270" s="121">
        <v>24</v>
      </c>
      <c r="C4270" s="121">
        <v>27</v>
      </c>
      <c r="D4270" s="121">
        <v>2</v>
      </c>
      <c r="E4270" s="121">
        <v>4333</v>
      </c>
    </row>
    <row r="4271" spans="1:5" ht="15">
      <c r="A4271" s="120" t="s">
        <v>699</v>
      </c>
      <c r="B4271" s="121">
        <v>24</v>
      </c>
      <c r="C4271" s="121">
        <v>27</v>
      </c>
      <c r="D4271" s="121">
        <v>4</v>
      </c>
      <c r="E4271" s="121">
        <v>1733</v>
      </c>
    </row>
    <row r="4272" spans="1:5" ht="15">
      <c r="A4272" s="120" t="s">
        <v>447</v>
      </c>
      <c r="B4272" s="121">
        <v>24</v>
      </c>
      <c r="C4272" s="121">
        <v>29</v>
      </c>
      <c r="D4272" s="121">
        <v>7</v>
      </c>
      <c r="E4272" s="121">
        <v>150000</v>
      </c>
    </row>
    <row r="4273" spans="1:5" ht="15">
      <c r="A4273" s="120" t="s">
        <v>495</v>
      </c>
      <c r="B4273" s="121">
        <v>21</v>
      </c>
      <c r="C4273" s="121">
        <v>29</v>
      </c>
      <c r="D4273" s="121">
        <v>7</v>
      </c>
      <c r="E4273" s="121">
        <v>149942</v>
      </c>
    </row>
    <row r="4274" spans="1:5" ht="15">
      <c r="A4274" s="120" t="s">
        <v>501</v>
      </c>
      <c r="B4274" s="121">
        <v>21</v>
      </c>
      <c r="C4274" s="121">
        <v>21</v>
      </c>
      <c r="D4274" s="121">
        <v>2</v>
      </c>
      <c r="E4274" s="121">
        <v>188979</v>
      </c>
    </row>
    <row r="4275" spans="1:5" ht="15">
      <c r="A4275" s="120" t="s">
        <v>501</v>
      </c>
      <c r="B4275" s="121">
        <v>21</v>
      </c>
      <c r="C4275" s="121">
        <v>21</v>
      </c>
      <c r="D4275" s="121">
        <v>3</v>
      </c>
      <c r="E4275" s="121">
        <v>55372</v>
      </c>
    </row>
    <row r="4276" spans="1:5" ht="15">
      <c r="A4276" s="120" t="s">
        <v>501</v>
      </c>
      <c r="B4276" s="121">
        <v>21</v>
      </c>
      <c r="C4276" s="121">
        <v>21</v>
      </c>
      <c r="D4276" s="121">
        <v>4</v>
      </c>
      <c r="E4276" s="121">
        <v>65466</v>
      </c>
    </row>
    <row r="4277" spans="1:5" ht="15">
      <c r="A4277" s="120" t="s">
        <v>501</v>
      </c>
      <c r="B4277" s="121">
        <v>21</v>
      </c>
      <c r="C4277" s="121">
        <v>23</v>
      </c>
      <c r="D4277" s="121">
        <v>2</v>
      </c>
      <c r="E4277" s="121">
        <v>48151</v>
      </c>
    </row>
    <row r="4278" spans="1:5" ht="15">
      <c r="A4278" s="120" t="s">
        <v>501</v>
      </c>
      <c r="B4278" s="121">
        <v>21</v>
      </c>
      <c r="C4278" s="121">
        <v>23</v>
      </c>
      <c r="D4278" s="121">
        <v>3</v>
      </c>
      <c r="E4278" s="121">
        <v>48883</v>
      </c>
    </row>
    <row r="4279" spans="1:5" ht="15">
      <c r="A4279" s="120" t="s">
        <v>501</v>
      </c>
      <c r="B4279" s="121">
        <v>21</v>
      </c>
      <c r="C4279" s="121">
        <v>23</v>
      </c>
      <c r="D4279" s="121">
        <v>4</v>
      </c>
      <c r="E4279" s="121">
        <v>35692</v>
      </c>
    </row>
    <row r="4280" spans="1:5" ht="15">
      <c r="A4280" s="120" t="s">
        <v>501</v>
      </c>
      <c r="B4280" s="121">
        <v>21</v>
      </c>
      <c r="C4280" s="121">
        <v>26</v>
      </c>
      <c r="D4280" s="121">
        <v>2</v>
      </c>
      <c r="E4280" s="121">
        <v>2920745</v>
      </c>
    </row>
    <row r="4281" spans="1:5" ht="15">
      <c r="A4281" s="120" t="s">
        <v>501</v>
      </c>
      <c r="B4281" s="121">
        <v>21</v>
      </c>
      <c r="C4281" s="121">
        <v>26</v>
      </c>
      <c r="D4281" s="121">
        <v>3</v>
      </c>
      <c r="E4281" s="121">
        <v>79078</v>
      </c>
    </row>
    <row r="4282" spans="1:5" ht="15">
      <c r="A4282" s="120" t="s">
        <v>501</v>
      </c>
      <c r="B4282" s="121">
        <v>21</v>
      </c>
      <c r="C4282" s="121">
        <v>26</v>
      </c>
      <c r="D4282" s="121">
        <v>4</v>
      </c>
      <c r="E4282" s="121">
        <v>948107</v>
      </c>
    </row>
    <row r="4283" spans="1:5" ht="15">
      <c r="A4283" s="120" t="s">
        <v>501</v>
      </c>
      <c r="B4283" s="121">
        <v>21</v>
      </c>
      <c r="C4283" s="121">
        <v>26</v>
      </c>
      <c r="D4283" s="121">
        <v>7</v>
      </c>
      <c r="E4283" s="121">
        <v>800000</v>
      </c>
    </row>
    <row r="4284" spans="1:5" ht="15">
      <c r="A4284" s="120" t="s">
        <v>501</v>
      </c>
      <c r="B4284" s="121">
        <v>21</v>
      </c>
      <c r="C4284" s="121">
        <v>27</v>
      </c>
      <c r="D4284" s="121">
        <v>2</v>
      </c>
      <c r="E4284" s="121">
        <v>5263984</v>
      </c>
    </row>
    <row r="4285" spans="1:5" ht="15">
      <c r="A4285" s="120" t="s">
        <v>501</v>
      </c>
      <c r="B4285" s="121">
        <v>21</v>
      </c>
      <c r="C4285" s="121">
        <v>27</v>
      </c>
      <c r="D4285" s="121">
        <v>3</v>
      </c>
      <c r="E4285" s="121">
        <v>2444025</v>
      </c>
    </row>
    <row r="4286" spans="1:5" ht="15">
      <c r="A4286" s="120" t="s">
        <v>501</v>
      </c>
      <c r="B4286" s="121">
        <v>21</v>
      </c>
      <c r="C4286" s="121">
        <v>27</v>
      </c>
      <c r="D4286" s="121">
        <v>4</v>
      </c>
      <c r="E4286" s="121">
        <v>3056554</v>
      </c>
    </row>
    <row r="4287" spans="1:5" ht="15">
      <c r="A4287" s="120" t="s">
        <v>501</v>
      </c>
      <c r="B4287" s="121">
        <v>21</v>
      </c>
      <c r="C4287" s="121">
        <v>27</v>
      </c>
      <c r="D4287" s="121">
        <v>7</v>
      </c>
      <c r="E4287" s="121">
        <v>2429238</v>
      </c>
    </row>
    <row r="4288" spans="1:5" ht="15">
      <c r="A4288" s="120" t="s">
        <v>501</v>
      </c>
      <c r="B4288" s="121">
        <v>21</v>
      </c>
      <c r="C4288" s="121">
        <v>29</v>
      </c>
      <c r="D4288" s="121">
        <v>7</v>
      </c>
      <c r="E4288" s="121">
        <v>789000</v>
      </c>
    </row>
    <row r="4289" spans="1:5" ht="15">
      <c r="A4289" s="120" t="s">
        <v>501</v>
      </c>
      <c r="B4289" s="121">
        <v>21</v>
      </c>
      <c r="C4289" s="121">
        <v>31</v>
      </c>
      <c r="D4289" s="121">
        <v>2</v>
      </c>
      <c r="E4289" s="121">
        <v>90000</v>
      </c>
    </row>
    <row r="4290" spans="1:5" ht="15">
      <c r="A4290" s="120" t="s">
        <v>501</v>
      </c>
      <c r="B4290" s="121">
        <v>21</v>
      </c>
      <c r="C4290" s="121">
        <v>31</v>
      </c>
      <c r="D4290" s="121">
        <v>3</v>
      </c>
      <c r="E4290" s="121">
        <v>25000</v>
      </c>
    </row>
    <row r="4291" spans="1:5" ht="15">
      <c r="A4291" s="120" t="s">
        <v>501</v>
      </c>
      <c r="B4291" s="121">
        <v>21</v>
      </c>
      <c r="C4291" s="121">
        <v>31</v>
      </c>
      <c r="D4291" s="121">
        <v>4</v>
      </c>
      <c r="E4291" s="121">
        <v>19089</v>
      </c>
    </row>
    <row r="4292" spans="1:5" ht="15">
      <c r="A4292" s="120" t="s">
        <v>501</v>
      </c>
      <c r="B4292" s="121">
        <v>21</v>
      </c>
      <c r="C4292" s="121">
        <v>34</v>
      </c>
      <c r="D4292" s="121">
        <v>2</v>
      </c>
      <c r="E4292" s="121">
        <v>115309</v>
      </c>
    </row>
    <row r="4293" spans="1:5" ht="15">
      <c r="A4293" s="120" t="s">
        <v>501</v>
      </c>
      <c r="B4293" s="121">
        <v>21</v>
      </c>
      <c r="C4293" s="121">
        <v>34</v>
      </c>
      <c r="D4293" s="121">
        <v>4</v>
      </c>
      <c r="E4293" s="121">
        <v>18442</v>
      </c>
    </row>
    <row r="4294" spans="1:5" ht="15">
      <c r="A4294" s="120" t="s">
        <v>501</v>
      </c>
      <c r="B4294" s="121">
        <v>24</v>
      </c>
      <c r="C4294" s="121">
        <v>27</v>
      </c>
      <c r="D4294" s="121">
        <v>2</v>
      </c>
      <c r="E4294" s="121">
        <v>15247</v>
      </c>
    </row>
    <row r="4295" spans="1:5" ht="15">
      <c r="A4295" s="120" t="s">
        <v>501</v>
      </c>
      <c r="B4295" s="121">
        <v>24</v>
      </c>
      <c r="C4295" s="121">
        <v>27</v>
      </c>
      <c r="D4295" s="121">
        <v>3</v>
      </c>
      <c r="E4295" s="121">
        <v>30496</v>
      </c>
    </row>
    <row r="4296" spans="1:5" ht="15">
      <c r="A4296" s="120" t="s">
        <v>501</v>
      </c>
      <c r="B4296" s="121">
        <v>24</v>
      </c>
      <c r="C4296" s="121">
        <v>27</v>
      </c>
      <c r="D4296" s="121">
        <v>4</v>
      </c>
      <c r="E4296" s="121">
        <v>22769</v>
      </c>
    </row>
    <row r="4297" spans="1:5" ht="15">
      <c r="A4297" s="120" t="s">
        <v>501</v>
      </c>
      <c r="B4297" s="121">
        <v>24</v>
      </c>
      <c r="C4297" s="121">
        <v>27</v>
      </c>
      <c r="D4297" s="121">
        <v>7</v>
      </c>
      <c r="E4297" s="121">
        <v>820180</v>
      </c>
    </row>
    <row r="4298" spans="1:5" ht="15">
      <c r="A4298" s="120" t="s">
        <v>501</v>
      </c>
      <c r="B4298" s="121">
        <v>24</v>
      </c>
      <c r="C4298" s="121">
        <v>29</v>
      </c>
      <c r="D4298" s="121">
        <v>7</v>
      </c>
      <c r="E4298" s="121">
        <v>206000</v>
      </c>
    </row>
    <row r="4299" spans="1:5" ht="15">
      <c r="A4299" s="120" t="s">
        <v>501</v>
      </c>
      <c r="B4299" s="121">
        <v>24</v>
      </c>
      <c r="C4299" s="121">
        <v>31</v>
      </c>
      <c r="D4299" s="121">
        <v>2</v>
      </c>
      <c r="E4299" s="121">
        <v>354758</v>
      </c>
    </row>
    <row r="4300" spans="1:5" ht="15">
      <c r="A4300" s="120" t="s">
        <v>501</v>
      </c>
      <c r="B4300" s="121">
        <v>24</v>
      </c>
      <c r="C4300" s="121">
        <v>31</v>
      </c>
      <c r="D4300" s="121">
        <v>3</v>
      </c>
      <c r="E4300" s="121">
        <v>10000</v>
      </c>
    </row>
    <row r="4301" spans="1:5" ht="15">
      <c r="A4301" s="120" t="s">
        <v>501</v>
      </c>
      <c r="B4301" s="121">
        <v>24</v>
      </c>
      <c r="C4301" s="121">
        <v>31</v>
      </c>
      <c r="D4301" s="121">
        <v>4</v>
      </c>
      <c r="E4301" s="121">
        <v>105655</v>
      </c>
    </row>
    <row r="4302" spans="1:5" ht="15">
      <c r="A4302" s="120" t="s">
        <v>497</v>
      </c>
      <c r="B4302" s="121">
        <v>21</v>
      </c>
      <c r="C4302" s="121">
        <v>26</v>
      </c>
      <c r="D4302" s="121">
        <v>7</v>
      </c>
      <c r="E4302" s="121">
        <v>47692</v>
      </c>
    </row>
    <row r="4303" spans="1:5" ht="15">
      <c r="A4303" s="120" t="s">
        <v>497</v>
      </c>
      <c r="B4303" s="121">
        <v>21</v>
      </c>
      <c r="C4303" s="121">
        <v>26</v>
      </c>
      <c r="D4303" s="121">
        <v>8</v>
      </c>
      <c r="E4303" s="121">
        <v>500</v>
      </c>
    </row>
    <row r="4304" spans="1:5" ht="15">
      <c r="A4304" s="120" t="s">
        <v>497</v>
      </c>
      <c r="B4304" s="121">
        <v>21</v>
      </c>
      <c r="C4304" s="121">
        <v>27</v>
      </c>
      <c r="D4304" s="121">
        <v>2</v>
      </c>
      <c r="E4304" s="121">
        <v>132500</v>
      </c>
    </row>
    <row r="4305" spans="1:5" ht="15">
      <c r="A4305" s="120" t="s">
        <v>497</v>
      </c>
      <c r="B4305" s="121">
        <v>21</v>
      </c>
      <c r="C4305" s="121">
        <v>27</v>
      </c>
      <c r="D4305" s="121">
        <v>3</v>
      </c>
      <c r="E4305" s="121">
        <v>11775</v>
      </c>
    </row>
    <row r="4306" spans="1:5" ht="15">
      <c r="A4306" s="120" t="s">
        <v>497</v>
      </c>
      <c r="B4306" s="121">
        <v>21</v>
      </c>
      <c r="C4306" s="121">
        <v>27</v>
      </c>
      <c r="D4306" s="121">
        <v>4</v>
      </c>
      <c r="E4306" s="121">
        <v>47190</v>
      </c>
    </row>
    <row r="4307" spans="1:5" ht="15">
      <c r="A4307" s="120" t="s">
        <v>497</v>
      </c>
      <c r="B4307" s="121">
        <v>21</v>
      </c>
      <c r="C4307" s="121">
        <v>27</v>
      </c>
      <c r="D4307" s="121">
        <v>5</v>
      </c>
      <c r="E4307" s="121">
        <v>3300</v>
      </c>
    </row>
    <row r="4308" spans="1:5" ht="15">
      <c r="A4308" s="120" t="s">
        <v>497</v>
      </c>
      <c r="B4308" s="121">
        <v>21</v>
      </c>
      <c r="C4308" s="121">
        <v>27</v>
      </c>
      <c r="D4308" s="121">
        <v>7</v>
      </c>
      <c r="E4308" s="121">
        <v>300</v>
      </c>
    </row>
    <row r="4309" spans="1:5" ht="15">
      <c r="A4309" s="120" t="s">
        <v>497</v>
      </c>
      <c r="B4309" s="121">
        <v>21</v>
      </c>
      <c r="C4309" s="121">
        <v>34</v>
      </c>
      <c r="D4309" s="121">
        <v>2</v>
      </c>
      <c r="E4309" s="121">
        <v>2098</v>
      </c>
    </row>
    <row r="4310" spans="1:5" ht="15">
      <c r="A4310" s="120" t="s">
        <v>497</v>
      </c>
      <c r="B4310" s="121">
        <v>21</v>
      </c>
      <c r="C4310" s="121">
        <v>34</v>
      </c>
      <c r="D4310" s="121">
        <v>4</v>
      </c>
      <c r="E4310" s="121">
        <v>375</v>
      </c>
    </row>
    <row r="4311" spans="1:5" ht="15">
      <c r="A4311" s="120" t="s">
        <v>497</v>
      </c>
      <c r="B4311" s="121">
        <v>24</v>
      </c>
      <c r="C4311" s="121">
        <v>27</v>
      </c>
      <c r="D4311" s="121">
        <v>7</v>
      </c>
      <c r="E4311" s="121">
        <v>13000</v>
      </c>
    </row>
    <row r="4312" spans="1:5" ht="15">
      <c r="A4312" s="120" t="s">
        <v>507</v>
      </c>
      <c r="B4312" s="121">
        <v>21</v>
      </c>
      <c r="C4312" s="121">
        <v>21</v>
      </c>
      <c r="D4312" s="121">
        <v>2</v>
      </c>
      <c r="E4312" s="121">
        <v>639167</v>
      </c>
    </row>
    <row r="4313" spans="1:5" ht="15">
      <c r="A4313" s="120" t="s">
        <v>507</v>
      </c>
      <c r="B4313" s="121">
        <v>21</v>
      </c>
      <c r="C4313" s="121">
        <v>21</v>
      </c>
      <c r="D4313" s="121">
        <v>3</v>
      </c>
      <c r="E4313" s="121">
        <v>413401</v>
      </c>
    </row>
    <row r="4314" spans="1:5" ht="15">
      <c r="A4314" s="120" t="s">
        <v>507</v>
      </c>
      <c r="B4314" s="121">
        <v>21</v>
      </c>
      <c r="C4314" s="121">
        <v>21</v>
      </c>
      <c r="D4314" s="121">
        <v>4</v>
      </c>
      <c r="E4314" s="121">
        <v>332161</v>
      </c>
    </row>
    <row r="4315" spans="1:5" ht="15">
      <c r="A4315" s="120" t="s">
        <v>507</v>
      </c>
      <c r="B4315" s="121">
        <v>21</v>
      </c>
      <c r="C4315" s="121">
        <v>21</v>
      </c>
      <c r="D4315" s="121">
        <v>5</v>
      </c>
      <c r="E4315" s="121">
        <v>9500</v>
      </c>
    </row>
    <row r="4316" spans="1:5" ht="15">
      <c r="A4316" s="120" t="s">
        <v>507</v>
      </c>
      <c r="B4316" s="121">
        <v>21</v>
      </c>
      <c r="C4316" s="121">
        <v>21</v>
      </c>
      <c r="D4316" s="121">
        <v>7</v>
      </c>
      <c r="E4316" s="121">
        <v>18500</v>
      </c>
    </row>
    <row r="4317" spans="1:5" ht="15">
      <c r="A4317" s="120" t="s">
        <v>507</v>
      </c>
      <c r="B4317" s="121">
        <v>21</v>
      </c>
      <c r="C4317" s="121">
        <v>21</v>
      </c>
      <c r="D4317" s="121">
        <v>8</v>
      </c>
      <c r="E4317" s="121">
        <v>3700</v>
      </c>
    </row>
    <row r="4318" spans="1:5" ht="15">
      <c r="A4318" s="120" t="s">
        <v>507</v>
      </c>
      <c r="B4318" s="121">
        <v>21</v>
      </c>
      <c r="C4318" s="121">
        <v>26</v>
      </c>
      <c r="D4318" s="121">
        <v>2</v>
      </c>
      <c r="E4318" s="121">
        <v>102865</v>
      </c>
    </row>
    <row r="4319" spans="1:5" ht="15">
      <c r="A4319" s="120" t="s">
        <v>507</v>
      </c>
      <c r="B4319" s="121">
        <v>21</v>
      </c>
      <c r="C4319" s="121">
        <v>26</v>
      </c>
      <c r="D4319" s="121">
        <v>3</v>
      </c>
      <c r="E4319" s="121">
        <v>524910</v>
      </c>
    </row>
    <row r="4320" spans="1:5" ht="15">
      <c r="A4320" s="120" t="s">
        <v>507</v>
      </c>
      <c r="B4320" s="121">
        <v>21</v>
      </c>
      <c r="C4320" s="121">
        <v>26</v>
      </c>
      <c r="D4320" s="121">
        <v>4</v>
      </c>
      <c r="E4320" s="121">
        <v>222644</v>
      </c>
    </row>
    <row r="4321" spans="1:5" ht="15">
      <c r="A4321" s="120" t="s">
        <v>507</v>
      </c>
      <c r="B4321" s="121">
        <v>21</v>
      </c>
      <c r="C4321" s="121">
        <v>26</v>
      </c>
      <c r="D4321" s="121">
        <v>5</v>
      </c>
      <c r="E4321" s="121">
        <v>68500</v>
      </c>
    </row>
    <row r="4322" spans="1:5" ht="15">
      <c r="A4322" s="120" t="s">
        <v>507</v>
      </c>
      <c r="B4322" s="121">
        <v>21</v>
      </c>
      <c r="C4322" s="121">
        <v>26</v>
      </c>
      <c r="D4322" s="121">
        <v>7</v>
      </c>
      <c r="E4322" s="121">
        <v>3518000</v>
      </c>
    </row>
    <row r="4323" spans="1:5" ht="15">
      <c r="A4323" s="120" t="s">
        <v>507</v>
      </c>
      <c r="B4323" s="121">
        <v>21</v>
      </c>
      <c r="C4323" s="121">
        <v>26</v>
      </c>
      <c r="D4323" s="121">
        <v>8</v>
      </c>
      <c r="E4323" s="121">
        <v>5000</v>
      </c>
    </row>
    <row r="4324" spans="1:5" ht="15">
      <c r="A4324" s="120" t="s">
        <v>507</v>
      </c>
      <c r="B4324" s="121">
        <v>21</v>
      </c>
      <c r="C4324" s="121">
        <v>27</v>
      </c>
      <c r="D4324" s="121">
        <v>0</v>
      </c>
      <c r="E4324" s="121">
        <v>11000</v>
      </c>
    </row>
    <row r="4325" spans="1:5" ht="15">
      <c r="A4325" s="120" t="s">
        <v>507</v>
      </c>
      <c r="B4325" s="121">
        <v>21</v>
      </c>
      <c r="C4325" s="121">
        <v>27</v>
      </c>
      <c r="D4325" s="121">
        <v>2</v>
      </c>
      <c r="E4325" s="121">
        <v>9016330</v>
      </c>
    </row>
    <row r="4326" spans="1:5" ht="15">
      <c r="A4326" s="120" t="s">
        <v>507</v>
      </c>
      <c r="B4326" s="121">
        <v>21</v>
      </c>
      <c r="C4326" s="121">
        <v>27</v>
      </c>
      <c r="D4326" s="121">
        <v>3</v>
      </c>
      <c r="E4326" s="121">
        <v>8347850</v>
      </c>
    </row>
    <row r="4327" spans="1:5" ht="15">
      <c r="A4327" s="120" t="s">
        <v>507</v>
      </c>
      <c r="B4327" s="121">
        <v>21</v>
      </c>
      <c r="C4327" s="121">
        <v>27</v>
      </c>
      <c r="D4327" s="121">
        <v>4</v>
      </c>
      <c r="E4327" s="121">
        <v>7263847</v>
      </c>
    </row>
    <row r="4328" spans="1:5" ht="15">
      <c r="A4328" s="120" t="s">
        <v>507</v>
      </c>
      <c r="B4328" s="121">
        <v>21</v>
      </c>
      <c r="C4328" s="121">
        <v>27</v>
      </c>
      <c r="D4328" s="121">
        <v>5</v>
      </c>
      <c r="E4328" s="121">
        <v>49500</v>
      </c>
    </row>
    <row r="4329" spans="1:5" ht="15">
      <c r="A4329" s="120" t="s">
        <v>507</v>
      </c>
      <c r="B4329" s="121">
        <v>21</v>
      </c>
      <c r="C4329" s="121">
        <v>27</v>
      </c>
      <c r="D4329" s="121">
        <v>7</v>
      </c>
      <c r="E4329" s="121">
        <v>1900200</v>
      </c>
    </row>
    <row r="4330" spans="1:5" ht="15">
      <c r="A4330" s="120" t="s">
        <v>507</v>
      </c>
      <c r="B4330" s="121">
        <v>21</v>
      </c>
      <c r="C4330" s="121">
        <v>29</v>
      </c>
      <c r="D4330" s="121">
        <v>7</v>
      </c>
      <c r="E4330" s="121">
        <v>155000</v>
      </c>
    </row>
    <row r="4331" spans="1:5" ht="15">
      <c r="A4331" s="120" t="s">
        <v>507</v>
      </c>
      <c r="B4331" s="121">
        <v>21</v>
      </c>
      <c r="C4331" s="121">
        <v>31</v>
      </c>
      <c r="D4331" s="121">
        <v>2</v>
      </c>
      <c r="E4331" s="121">
        <v>243925</v>
      </c>
    </row>
    <row r="4332" spans="1:5" ht="15">
      <c r="A4332" s="120" t="s">
        <v>507</v>
      </c>
      <c r="B4332" s="121">
        <v>21</v>
      </c>
      <c r="C4332" s="121">
        <v>31</v>
      </c>
      <c r="D4332" s="121">
        <v>4</v>
      </c>
      <c r="E4332" s="121">
        <v>69996</v>
      </c>
    </row>
    <row r="4333" spans="1:5" ht="15">
      <c r="A4333" s="120" t="s">
        <v>507</v>
      </c>
      <c r="B4333" s="121">
        <v>21</v>
      </c>
      <c r="C4333" s="121">
        <v>31</v>
      </c>
      <c r="D4333" s="121">
        <v>7</v>
      </c>
      <c r="E4333" s="121">
        <v>150000</v>
      </c>
    </row>
    <row r="4334" spans="1:5" ht="15">
      <c r="A4334" s="120" t="s">
        <v>507</v>
      </c>
      <c r="B4334" s="121">
        <v>21</v>
      </c>
      <c r="C4334" s="121">
        <v>31</v>
      </c>
      <c r="D4334" s="121">
        <v>8</v>
      </c>
      <c r="E4334" s="121">
        <v>540</v>
      </c>
    </row>
    <row r="4335" spans="1:5" ht="15">
      <c r="A4335" s="120" t="s">
        <v>507</v>
      </c>
      <c r="B4335" s="121">
        <v>21</v>
      </c>
      <c r="C4335" s="121">
        <v>32</v>
      </c>
      <c r="D4335" s="121">
        <v>5</v>
      </c>
      <c r="E4335" s="121">
        <v>15000</v>
      </c>
    </row>
    <row r="4336" spans="1:5" ht="15">
      <c r="A4336" s="120" t="s">
        <v>507</v>
      </c>
      <c r="B4336" s="121">
        <v>21</v>
      </c>
      <c r="C4336" s="121">
        <v>32</v>
      </c>
      <c r="D4336" s="121">
        <v>7</v>
      </c>
      <c r="E4336" s="121">
        <v>10000</v>
      </c>
    </row>
    <row r="4337" spans="1:5" ht="15">
      <c r="A4337" s="120" t="s">
        <v>507</v>
      </c>
      <c r="B4337" s="121">
        <v>21</v>
      </c>
      <c r="C4337" s="121">
        <v>34</v>
      </c>
      <c r="D4337" s="121">
        <v>2</v>
      </c>
      <c r="E4337" s="121">
        <v>136347</v>
      </c>
    </row>
    <row r="4338" spans="1:5" ht="15">
      <c r="A4338" s="120" t="s">
        <v>507</v>
      </c>
      <c r="B4338" s="121">
        <v>21</v>
      </c>
      <c r="C4338" s="121">
        <v>34</v>
      </c>
      <c r="D4338" s="121">
        <v>4</v>
      </c>
      <c r="E4338" s="121">
        <v>43188</v>
      </c>
    </row>
    <row r="4339" spans="1:5" ht="15">
      <c r="A4339" s="120" t="s">
        <v>507</v>
      </c>
      <c r="B4339" s="121">
        <v>24</v>
      </c>
      <c r="C4339" s="121">
        <v>26</v>
      </c>
      <c r="D4339" s="121">
        <v>2</v>
      </c>
      <c r="E4339" s="121">
        <v>3155720</v>
      </c>
    </row>
    <row r="4340" spans="1:5" ht="15">
      <c r="A4340" s="120" t="s">
        <v>507</v>
      </c>
      <c r="B4340" s="121">
        <v>24</v>
      </c>
      <c r="C4340" s="121">
        <v>26</v>
      </c>
      <c r="D4340" s="121">
        <v>4</v>
      </c>
      <c r="E4340" s="121">
        <v>960007</v>
      </c>
    </row>
    <row r="4341" spans="1:5" ht="15">
      <c r="A4341" s="120" t="s">
        <v>449</v>
      </c>
      <c r="B4341" s="121">
        <v>21</v>
      </c>
      <c r="C4341" s="121">
        <v>21</v>
      </c>
      <c r="D4341" s="121">
        <v>2</v>
      </c>
      <c r="E4341" s="121">
        <v>87804</v>
      </c>
    </row>
    <row r="4342" spans="1:5" ht="15">
      <c r="A4342" s="120" t="s">
        <v>449</v>
      </c>
      <c r="B4342" s="121">
        <v>21</v>
      </c>
      <c r="C4342" s="121">
        <v>21</v>
      </c>
      <c r="D4342" s="121">
        <v>3</v>
      </c>
      <c r="E4342" s="121">
        <v>15428</v>
      </c>
    </row>
    <row r="4343" spans="1:5" ht="15">
      <c r="A4343" s="120" t="s">
        <v>449</v>
      </c>
      <c r="B4343" s="121">
        <v>21</v>
      </c>
      <c r="C4343" s="121">
        <v>21</v>
      </c>
      <c r="D4343" s="121">
        <v>4</v>
      </c>
      <c r="E4343" s="121">
        <v>30718</v>
      </c>
    </row>
    <row r="4344" spans="1:5" ht="15">
      <c r="A4344" s="120" t="s">
        <v>449</v>
      </c>
      <c r="B4344" s="121">
        <v>21</v>
      </c>
      <c r="C4344" s="121">
        <v>26</v>
      </c>
      <c r="D4344" s="121">
        <v>5</v>
      </c>
      <c r="E4344" s="121">
        <v>1500</v>
      </c>
    </row>
    <row r="4345" spans="1:5" ht="15">
      <c r="A4345" s="120" t="s">
        <v>449</v>
      </c>
      <c r="B4345" s="121">
        <v>21</v>
      </c>
      <c r="C4345" s="121">
        <v>26</v>
      </c>
      <c r="D4345" s="121">
        <v>7</v>
      </c>
      <c r="E4345" s="121">
        <v>150000</v>
      </c>
    </row>
    <row r="4346" spans="1:5" ht="15">
      <c r="A4346" s="120" t="s">
        <v>449</v>
      </c>
      <c r="B4346" s="121">
        <v>21</v>
      </c>
      <c r="C4346" s="121">
        <v>27</v>
      </c>
      <c r="D4346" s="121">
        <v>2</v>
      </c>
      <c r="E4346" s="121">
        <v>205468</v>
      </c>
    </row>
    <row r="4347" spans="1:5" ht="15">
      <c r="A4347" s="120" t="s">
        <v>449</v>
      </c>
      <c r="B4347" s="121">
        <v>21</v>
      </c>
      <c r="C4347" s="121">
        <v>27</v>
      </c>
      <c r="D4347" s="121">
        <v>3</v>
      </c>
      <c r="E4347" s="121">
        <v>248023</v>
      </c>
    </row>
    <row r="4348" spans="1:5" ht="15">
      <c r="A4348" s="120" t="s">
        <v>449</v>
      </c>
      <c r="B4348" s="121">
        <v>21</v>
      </c>
      <c r="C4348" s="121">
        <v>27</v>
      </c>
      <c r="D4348" s="121">
        <v>4</v>
      </c>
      <c r="E4348" s="121">
        <v>197532</v>
      </c>
    </row>
    <row r="4349" spans="1:5" ht="15">
      <c r="A4349" s="120" t="s">
        <v>449</v>
      </c>
      <c r="B4349" s="121">
        <v>21</v>
      </c>
      <c r="C4349" s="121">
        <v>27</v>
      </c>
      <c r="D4349" s="121">
        <v>5</v>
      </c>
      <c r="E4349" s="121">
        <v>35851</v>
      </c>
    </row>
    <row r="4350" spans="1:5" ht="15">
      <c r="A4350" s="120" t="s">
        <v>449</v>
      </c>
      <c r="B4350" s="121">
        <v>21</v>
      </c>
      <c r="C4350" s="121">
        <v>27</v>
      </c>
      <c r="D4350" s="121">
        <v>7</v>
      </c>
      <c r="E4350" s="121">
        <v>1500</v>
      </c>
    </row>
    <row r="4351" spans="1:5" ht="15">
      <c r="A4351" s="120" t="s">
        <v>449</v>
      </c>
      <c r="B4351" s="121">
        <v>21</v>
      </c>
      <c r="C4351" s="121">
        <v>31</v>
      </c>
      <c r="D4351" s="121">
        <v>7</v>
      </c>
      <c r="E4351" s="121">
        <v>99176</v>
      </c>
    </row>
    <row r="4352" spans="1:5" ht="15">
      <c r="A4352" s="120" t="s">
        <v>449</v>
      </c>
      <c r="B4352" s="121">
        <v>21</v>
      </c>
      <c r="C4352" s="121">
        <v>31</v>
      </c>
      <c r="D4352" s="121">
        <v>8</v>
      </c>
      <c r="E4352" s="121">
        <v>1000</v>
      </c>
    </row>
    <row r="4353" spans="1:5" ht="15">
      <c r="A4353" s="120" t="s">
        <v>449</v>
      </c>
      <c r="B4353" s="121">
        <v>21</v>
      </c>
      <c r="C4353" s="121">
        <v>33</v>
      </c>
      <c r="D4353" s="121">
        <v>5</v>
      </c>
      <c r="E4353" s="121">
        <v>48225</v>
      </c>
    </row>
    <row r="4354" spans="1:5" ht="15">
      <c r="A4354" s="120" t="s">
        <v>469</v>
      </c>
      <c r="B4354" s="121">
        <v>21</v>
      </c>
      <c r="C4354" s="121">
        <v>21</v>
      </c>
      <c r="D4354" s="121">
        <v>2</v>
      </c>
      <c r="E4354" s="121">
        <v>15000</v>
      </c>
    </row>
    <row r="4355" spans="1:5" ht="15">
      <c r="A4355" s="120" t="s">
        <v>469</v>
      </c>
      <c r="B4355" s="121">
        <v>21</v>
      </c>
      <c r="C4355" s="121">
        <v>21</v>
      </c>
      <c r="D4355" s="121">
        <v>4</v>
      </c>
      <c r="E4355" s="121">
        <v>3974</v>
      </c>
    </row>
    <row r="4356" spans="1:5" ht="15">
      <c r="A4356" s="120" t="s">
        <v>469</v>
      </c>
      <c r="B4356" s="121">
        <v>21</v>
      </c>
      <c r="C4356" s="121">
        <v>26</v>
      </c>
      <c r="D4356" s="121">
        <v>7</v>
      </c>
      <c r="E4356" s="121">
        <v>25000</v>
      </c>
    </row>
    <row r="4357" spans="1:5" ht="15">
      <c r="A4357" s="120" t="s">
        <v>469</v>
      </c>
      <c r="B4357" s="121">
        <v>21</v>
      </c>
      <c r="C4357" s="121">
        <v>27</v>
      </c>
      <c r="D4357" s="121">
        <v>2</v>
      </c>
      <c r="E4357" s="121">
        <v>50857</v>
      </c>
    </row>
    <row r="4358" spans="1:5" ht="15">
      <c r="A4358" s="120" t="s">
        <v>469</v>
      </c>
      <c r="B4358" s="121">
        <v>21</v>
      </c>
      <c r="C4358" s="121">
        <v>27</v>
      </c>
      <c r="D4358" s="121">
        <v>3</v>
      </c>
      <c r="E4358" s="121">
        <v>109915</v>
      </c>
    </row>
    <row r="4359" spans="1:5" ht="15">
      <c r="A4359" s="120" t="s">
        <v>469</v>
      </c>
      <c r="B4359" s="121">
        <v>21</v>
      </c>
      <c r="C4359" s="121">
        <v>27</v>
      </c>
      <c r="D4359" s="121">
        <v>4</v>
      </c>
      <c r="E4359" s="121">
        <v>114066</v>
      </c>
    </row>
    <row r="4360" spans="1:5" ht="15">
      <c r="A4360" s="120" t="s">
        <v>469</v>
      </c>
      <c r="B4360" s="121">
        <v>21</v>
      </c>
      <c r="C4360" s="121">
        <v>27</v>
      </c>
      <c r="D4360" s="121">
        <v>5</v>
      </c>
      <c r="E4360" s="121">
        <v>2200</v>
      </c>
    </row>
    <row r="4361" spans="1:5" ht="15">
      <c r="A4361" s="120" t="s">
        <v>469</v>
      </c>
      <c r="B4361" s="121">
        <v>21</v>
      </c>
      <c r="C4361" s="121">
        <v>27</v>
      </c>
      <c r="D4361" s="121">
        <v>7</v>
      </c>
      <c r="E4361" s="121">
        <v>32500</v>
      </c>
    </row>
    <row r="4362" spans="1:5" ht="15">
      <c r="A4362" s="120" t="s">
        <v>469</v>
      </c>
      <c r="B4362" s="121">
        <v>21</v>
      </c>
      <c r="C4362" s="121">
        <v>27</v>
      </c>
      <c r="D4362" s="121">
        <v>8</v>
      </c>
      <c r="E4362" s="121">
        <v>200</v>
      </c>
    </row>
    <row r="4363" spans="1:5" ht="15">
      <c r="A4363" s="120" t="s">
        <v>469</v>
      </c>
      <c r="B4363" s="121">
        <v>24</v>
      </c>
      <c r="C4363" s="121">
        <v>26</v>
      </c>
      <c r="D4363" s="121">
        <v>7</v>
      </c>
      <c r="E4363" s="121">
        <v>30000</v>
      </c>
    </row>
    <row r="4364" spans="1:5" ht="15">
      <c r="A4364" s="120" t="s">
        <v>503</v>
      </c>
      <c r="B4364" s="121">
        <v>21</v>
      </c>
      <c r="C4364" s="121">
        <v>21</v>
      </c>
      <c r="D4364" s="121">
        <v>2</v>
      </c>
      <c r="E4364" s="121">
        <v>55105</v>
      </c>
    </row>
    <row r="4365" spans="1:5" ht="15">
      <c r="A4365" s="120" t="s">
        <v>503</v>
      </c>
      <c r="B4365" s="121">
        <v>21</v>
      </c>
      <c r="C4365" s="121">
        <v>21</v>
      </c>
      <c r="D4365" s="121">
        <v>3</v>
      </c>
      <c r="E4365" s="121">
        <v>21770</v>
      </c>
    </row>
    <row r="4366" spans="1:5" ht="15">
      <c r="A4366" s="120" t="s">
        <v>503</v>
      </c>
      <c r="B4366" s="121">
        <v>21</v>
      </c>
      <c r="C4366" s="121">
        <v>21</v>
      </c>
      <c r="D4366" s="121">
        <v>4</v>
      </c>
      <c r="E4366" s="121">
        <v>28007</v>
      </c>
    </row>
    <row r="4367" spans="1:5" ht="15">
      <c r="A4367" s="120" t="s">
        <v>503</v>
      </c>
      <c r="B4367" s="121">
        <v>21</v>
      </c>
      <c r="C4367" s="121">
        <v>21</v>
      </c>
      <c r="D4367" s="121">
        <v>5</v>
      </c>
      <c r="E4367" s="121">
        <v>200</v>
      </c>
    </row>
    <row r="4368" spans="1:5" ht="15">
      <c r="A4368" s="120" t="s">
        <v>503</v>
      </c>
      <c r="B4368" s="121">
        <v>21</v>
      </c>
      <c r="C4368" s="121">
        <v>21</v>
      </c>
      <c r="D4368" s="121">
        <v>8</v>
      </c>
      <c r="E4368" s="121">
        <v>500</v>
      </c>
    </row>
    <row r="4369" spans="1:5" ht="15">
      <c r="A4369" s="120" t="s">
        <v>503</v>
      </c>
      <c r="B4369" s="121">
        <v>21</v>
      </c>
      <c r="C4369" s="121">
        <v>25</v>
      </c>
      <c r="D4369" s="121">
        <v>3</v>
      </c>
      <c r="E4369" s="121">
        <v>2051</v>
      </c>
    </row>
    <row r="4370" spans="1:5" ht="15">
      <c r="A4370" s="120" t="s">
        <v>503</v>
      </c>
      <c r="B4370" s="121">
        <v>21</v>
      </c>
      <c r="C4370" s="121">
        <v>25</v>
      </c>
      <c r="D4370" s="121">
        <v>4</v>
      </c>
      <c r="E4370" s="121">
        <v>1088</v>
      </c>
    </row>
    <row r="4371" spans="1:5" ht="15">
      <c r="A4371" s="120" t="s">
        <v>503</v>
      </c>
      <c r="B4371" s="121">
        <v>21</v>
      </c>
      <c r="C4371" s="121">
        <v>26</v>
      </c>
      <c r="D4371" s="121">
        <v>2</v>
      </c>
      <c r="E4371" s="121">
        <v>60072</v>
      </c>
    </row>
    <row r="4372" spans="1:5" ht="15">
      <c r="A4372" s="120" t="s">
        <v>503</v>
      </c>
      <c r="B4372" s="121">
        <v>21</v>
      </c>
      <c r="C4372" s="121">
        <v>26</v>
      </c>
      <c r="D4372" s="121">
        <v>3</v>
      </c>
      <c r="E4372" s="121">
        <v>49223</v>
      </c>
    </row>
    <row r="4373" spans="1:5" ht="15">
      <c r="A4373" s="120" t="s">
        <v>503</v>
      </c>
      <c r="B4373" s="121">
        <v>21</v>
      </c>
      <c r="C4373" s="121">
        <v>26</v>
      </c>
      <c r="D4373" s="121">
        <v>4</v>
      </c>
      <c r="E4373" s="121">
        <v>41457</v>
      </c>
    </row>
    <row r="4374" spans="1:5" ht="15">
      <c r="A4374" s="120" t="s">
        <v>503</v>
      </c>
      <c r="B4374" s="121">
        <v>21</v>
      </c>
      <c r="C4374" s="121">
        <v>26</v>
      </c>
      <c r="D4374" s="121">
        <v>5</v>
      </c>
      <c r="E4374" s="121">
        <v>500</v>
      </c>
    </row>
    <row r="4375" spans="1:5" ht="15">
      <c r="A4375" s="120" t="s">
        <v>503</v>
      </c>
      <c r="B4375" s="121">
        <v>21</v>
      </c>
      <c r="C4375" s="121">
        <v>26</v>
      </c>
      <c r="D4375" s="121">
        <v>7</v>
      </c>
      <c r="E4375" s="121">
        <v>517118</v>
      </c>
    </row>
    <row r="4376" spans="1:5" ht="15">
      <c r="A4376" s="120" t="s">
        <v>503</v>
      </c>
      <c r="B4376" s="121">
        <v>21</v>
      </c>
      <c r="C4376" s="121">
        <v>27</v>
      </c>
      <c r="D4376" s="121">
        <v>2</v>
      </c>
      <c r="E4376" s="121">
        <v>235326</v>
      </c>
    </row>
    <row r="4377" spans="1:5" ht="15">
      <c r="A4377" s="120" t="s">
        <v>503</v>
      </c>
      <c r="B4377" s="121">
        <v>21</v>
      </c>
      <c r="C4377" s="121">
        <v>27</v>
      </c>
      <c r="D4377" s="121">
        <v>3</v>
      </c>
      <c r="E4377" s="121">
        <v>379706</v>
      </c>
    </row>
    <row r="4378" spans="1:5" ht="15">
      <c r="A4378" s="120" t="s">
        <v>503</v>
      </c>
      <c r="B4378" s="121">
        <v>21</v>
      </c>
      <c r="C4378" s="121">
        <v>27</v>
      </c>
      <c r="D4378" s="121">
        <v>4</v>
      </c>
      <c r="E4378" s="121">
        <v>302613</v>
      </c>
    </row>
    <row r="4379" spans="1:5" ht="15">
      <c r="A4379" s="120" t="s">
        <v>503</v>
      </c>
      <c r="B4379" s="121">
        <v>21</v>
      </c>
      <c r="C4379" s="121">
        <v>27</v>
      </c>
      <c r="D4379" s="121">
        <v>5</v>
      </c>
      <c r="E4379" s="121">
        <v>6200</v>
      </c>
    </row>
    <row r="4380" spans="1:5" ht="15">
      <c r="A4380" s="120" t="s">
        <v>503</v>
      </c>
      <c r="B4380" s="121">
        <v>21</v>
      </c>
      <c r="C4380" s="121">
        <v>27</v>
      </c>
      <c r="D4380" s="121">
        <v>7</v>
      </c>
      <c r="E4380" s="121">
        <v>8300</v>
      </c>
    </row>
    <row r="4381" spans="1:5" ht="15">
      <c r="A4381" s="120" t="s">
        <v>503</v>
      </c>
      <c r="B4381" s="121">
        <v>21</v>
      </c>
      <c r="C4381" s="121">
        <v>31</v>
      </c>
      <c r="D4381" s="121">
        <v>7</v>
      </c>
      <c r="E4381" s="121">
        <v>3475</v>
      </c>
    </row>
    <row r="4382" spans="1:5" ht="15">
      <c r="A4382" s="120" t="s">
        <v>503</v>
      </c>
      <c r="B4382" s="121">
        <v>21</v>
      </c>
      <c r="C4382" s="121">
        <v>34</v>
      </c>
      <c r="D4382" s="121">
        <v>2</v>
      </c>
      <c r="E4382" s="121">
        <v>4310</v>
      </c>
    </row>
    <row r="4383" spans="1:5" ht="15">
      <c r="A4383" s="120" t="s">
        <v>503</v>
      </c>
      <c r="B4383" s="121">
        <v>21</v>
      </c>
      <c r="C4383" s="121">
        <v>34</v>
      </c>
      <c r="D4383" s="121">
        <v>4</v>
      </c>
      <c r="E4383" s="121">
        <v>719</v>
      </c>
    </row>
    <row r="4384" spans="1:5" ht="15">
      <c r="A4384" s="120" t="s">
        <v>503</v>
      </c>
      <c r="B4384" s="121">
        <v>24</v>
      </c>
      <c r="C4384" s="121">
        <v>21</v>
      </c>
      <c r="D4384" s="121">
        <v>3</v>
      </c>
      <c r="E4384" s="121">
        <v>20410</v>
      </c>
    </row>
    <row r="4385" spans="1:5" ht="15">
      <c r="A4385" s="120" t="s">
        <v>503</v>
      </c>
      <c r="B4385" s="121">
        <v>24</v>
      </c>
      <c r="C4385" s="121">
        <v>21</v>
      </c>
      <c r="D4385" s="121">
        <v>4</v>
      </c>
      <c r="E4385" s="121">
        <v>10444</v>
      </c>
    </row>
    <row r="4386" spans="1:5" ht="15">
      <c r="A4386" s="120" t="s">
        <v>503</v>
      </c>
      <c r="B4386" s="121">
        <v>24</v>
      </c>
      <c r="C4386" s="121">
        <v>27</v>
      </c>
      <c r="D4386" s="121">
        <v>2</v>
      </c>
      <c r="E4386" s="121">
        <v>63061</v>
      </c>
    </row>
    <row r="4387" spans="1:5" ht="15">
      <c r="A4387" s="120" t="s">
        <v>503</v>
      </c>
      <c r="B4387" s="121">
        <v>24</v>
      </c>
      <c r="C4387" s="121">
        <v>27</v>
      </c>
      <c r="D4387" s="121">
        <v>4</v>
      </c>
      <c r="E4387" s="121">
        <v>24040</v>
      </c>
    </row>
    <row r="4388" spans="1:5" ht="15">
      <c r="A4388" s="120" t="s">
        <v>503</v>
      </c>
      <c r="B4388" s="121">
        <v>24</v>
      </c>
      <c r="C4388" s="121">
        <v>31</v>
      </c>
      <c r="D4388" s="121">
        <v>7</v>
      </c>
      <c r="E4388" s="121">
        <v>2335</v>
      </c>
    </row>
    <row r="4389" spans="1:5" ht="15">
      <c r="A4389" s="120" t="s">
        <v>449</v>
      </c>
      <c r="B4389" s="121">
        <v>24</v>
      </c>
      <c r="C4389" s="121">
        <v>26</v>
      </c>
      <c r="D4389" s="121">
        <v>7</v>
      </c>
      <c r="E4389" s="121">
        <v>2000</v>
      </c>
    </row>
    <row r="4390" spans="1:5" ht="15">
      <c r="A4390" s="120" t="s">
        <v>449</v>
      </c>
      <c r="B4390" s="121">
        <v>24</v>
      </c>
      <c r="C4390" s="121">
        <v>27</v>
      </c>
      <c r="D4390" s="121">
        <v>2</v>
      </c>
      <c r="E4390" s="121">
        <v>75545</v>
      </c>
    </row>
    <row r="4391" spans="1:5" ht="15">
      <c r="A4391" s="120" t="s">
        <v>449</v>
      </c>
      <c r="B4391" s="121">
        <v>24</v>
      </c>
      <c r="C4391" s="121">
        <v>27</v>
      </c>
      <c r="D4391" s="121">
        <v>3</v>
      </c>
      <c r="E4391" s="121">
        <v>38466</v>
      </c>
    </row>
    <row r="4392" spans="1:5" ht="15">
      <c r="A4392" s="120" t="s">
        <v>449</v>
      </c>
      <c r="B4392" s="121">
        <v>24</v>
      </c>
      <c r="C4392" s="121">
        <v>27</v>
      </c>
      <c r="D4392" s="121">
        <v>4</v>
      </c>
      <c r="E4392" s="121">
        <v>58292</v>
      </c>
    </row>
    <row r="4393" spans="1:5" ht="15">
      <c r="A4393" s="120" t="s">
        <v>449</v>
      </c>
      <c r="B4393" s="121">
        <v>24</v>
      </c>
      <c r="C4393" s="121">
        <v>27</v>
      </c>
      <c r="D4393" s="121">
        <v>5</v>
      </c>
      <c r="E4393" s="121">
        <v>3650</v>
      </c>
    </row>
    <row r="4394" spans="1:5" ht="15">
      <c r="A4394" s="120" t="s">
        <v>449</v>
      </c>
      <c r="B4394" s="121">
        <v>24</v>
      </c>
      <c r="C4394" s="121">
        <v>27</v>
      </c>
      <c r="D4394" s="121">
        <v>7</v>
      </c>
      <c r="E4394" s="121">
        <v>1000</v>
      </c>
    </row>
    <row r="4395" spans="1:5" ht="15">
      <c r="A4395" s="120" t="s">
        <v>499</v>
      </c>
      <c r="B4395" s="121">
        <v>21</v>
      </c>
      <c r="C4395" s="121">
        <v>21</v>
      </c>
      <c r="D4395" s="121">
        <v>2</v>
      </c>
      <c r="E4395" s="121">
        <v>1068404</v>
      </c>
    </row>
    <row r="4396" spans="1:5" ht="15">
      <c r="A4396" s="120" t="s">
        <v>499</v>
      </c>
      <c r="B4396" s="121">
        <v>21</v>
      </c>
      <c r="C4396" s="121">
        <v>21</v>
      </c>
      <c r="D4396" s="121">
        <v>3</v>
      </c>
      <c r="E4396" s="121">
        <v>158325</v>
      </c>
    </row>
    <row r="4397" spans="1:5" ht="15">
      <c r="A4397" s="120" t="s">
        <v>499</v>
      </c>
      <c r="B4397" s="121">
        <v>21</v>
      </c>
      <c r="C4397" s="121">
        <v>21</v>
      </c>
      <c r="D4397" s="121">
        <v>4</v>
      </c>
      <c r="E4397" s="121">
        <v>327952</v>
      </c>
    </row>
    <row r="4398" spans="1:5" ht="15">
      <c r="A4398" s="120" t="s">
        <v>499</v>
      </c>
      <c r="B4398" s="121">
        <v>21</v>
      </c>
      <c r="C4398" s="121">
        <v>21</v>
      </c>
      <c r="D4398" s="121">
        <v>5</v>
      </c>
      <c r="E4398" s="121">
        <v>7100</v>
      </c>
    </row>
    <row r="4399" spans="1:5" ht="15">
      <c r="A4399" s="120" t="s">
        <v>499</v>
      </c>
      <c r="B4399" s="121">
        <v>21</v>
      </c>
      <c r="C4399" s="121">
        <v>21</v>
      </c>
      <c r="D4399" s="121">
        <v>7</v>
      </c>
      <c r="E4399" s="121">
        <v>500</v>
      </c>
    </row>
    <row r="4400" spans="1:5" ht="15">
      <c r="A4400" s="120" t="s">
        <v>499</v>
      </c>
      <c r="B4400" s="121">
        <v>21</v>
      </c>
      <c r="C4400" s="121">
        <v>21</v>
      </c>
      <c r="D4400" s="121">
        <v>8</v>
      </c>
      <c r="E4400" s="121">
        <v>2600</v>
      </c>
    </row>
    <row r="4401" spans="1:5" ht="15">
      <c r="A4401" s="120" t="s">
        <v>499</v>
      </c>
      <c r="B4401" s="121">
        <v>21</v>
      </c>
      <c r="C4401" s="121">
        <v>23</v>
      </c>
      <c r="D4401" s="121">
        <v>2</v>
      </c>
      <c r="E4401" s="121">
        <v>7500</v>
      </c>
    </row>
    <row r="4402" spans="1:5" ht="15">
      <c r="A4402" s="120" t="s">
        <v>499</v>
      </c>
      <c r="B4402" s="121">
        <v>21</v>
      </c>
      <c r="C4402" s="121">
        <v>23</v>
      </c>
      <c r="D4402" s="121">
        <v>4</v>
      </c>
      <c r="E4402" s="121">
        <v>1081</v>
      </c>
    </row>
    <row r="4403" spans="1:5" ht="15">
      <c r="A4403" s="120" t="s">
        <v>499</v>
      </c>
      <c r="B4403" s="121">
        <v>21</v>
      </c>
      <c r="C4403" s="121">
        <v>26</v>
      </c>
      <c r="D4403" s="121">
        <v>2</v>
      </c>
      <c r="E4403" s="121">
        <v>3584663</v>
      </c>
    </row>
    <row r="4404" spans="1:5" ht="15">
      <c r="A4404" s="120" t="s">
        <v>499</v>
      </c>
      <c r="B4404" s="121">
        <v>21</v>
      </c>
      <c r="C4404" s="121">
        <v>26</v>
      </c>
      <c r="D4404" s="121">
        <v>3</v>
      </c>
      <c r="E4404" s="121">
        <v>614207</v>
      </c>
    </row>
    <row r="4405" spans="1:5" ht="15">
      <c r="A4405" s="120" t="s">
        <v>499</v>
      </c>
      <c r="B4405" s="121">
        <v>21</v>
      </c>
      <c r="C4405" s="121">
        <v>26</v>
      </c>
      <c r="D4405" s="121">
        <v>4</v>
      </c>
      <c r="E4405" s="121">
        <v>1312419</v>
      </c>
    </row>
    <row r="4406" spans="1:5" ht="15">
      <c r="A4406" s="120" t="s">
        <v>499</v>
      </c>
      <c r="B4406" s="121">
        <v>21</v>
      </c>
      <c r="C4406" s="121">
        <v>26</v>
      </c>
      <c r="D4406" s="121">
        <v>5</v>
      </c>
      <c r="E4406" s="121">
        <v>55500</v>
      </c>
    </row>
    <row r="4407" spans="1:5" ht="15">
      <c r="A4407" s="120" t="s">
        <v>499</v>
      </c>
      <c r="B4407" s="121">
        <v>21</v>
      </c>
      <c r="C4407" s="121">
        <v>26</v>
      </c>
      <c r="D4407" s="121">
        <v>7</v>
      </c>
      <c r="E4407" s="121">
        <v>210000</v>
      </c>
    </row>
    <row r="4408" spans="1:5" ht="15">
      <c r="A4408" s="120" t="s">
        <v>499</v>
      </c>
      <c r="B4408" s="121">
        <v>21</v>
      </c>
      <c r="C4408" s="121">
        <v>26</v>
      </c>
      <c r="D4408" s="121">
        <v>8</v>
      </c>
      <c r="E4408" s="121">
        <v>4500</v>
      </c>
    </row>
    <row r="4409" spans="1:5" ht="15">
      <c r="A4409" s="120" t="s">
        <v>499</v>
      </c>
      <c r="B4409" s="121">
        <v>21</v>
      </c>
      <c r="C4409" s="121">
        <v>27</v>
      </c>
      <c r="D4409" s="121">
        <v>0</v>
      </c>
      <c r="E4409" s="121">
        <v>20100</v>
      </c>
    </row>
    <row r="4410" spans="1:5" ht="15">
      <c r="A4410" s="120" t="s">
        <v>499</v>
      </c>
      <c r="B4410" s="121">
        <v>21</v>
      </c>
      <c r="C4410" s="121">
        <v>27</v>
      </c>
      <c r="D4410" s="121">
        <v>2</v>
      </c>
      <c r="E4410" s="121">
        <v>6890376</v>
      </c>
    </row>
    <row r="4411" spans="1:5" ht="15">
      <c r="A4411" s="120" t="s">
        <v>499</v>
      </c>
      <c r="B4411" s="121">
        <v>21</v>
      </c>
      <c r="C4411" s="121">
        <v>27</v>
      </c>
      <c r="D4411" s="121">
        <v>3</v>
      </c>
      <c r="E4411" s="121">
        <v>6395895</v>
      </c>
    </row>
    <row r="4412" spans="1:5" ht="15">
      <c r="A4412" s="120" t="s">
        <v>499</v>
      </c>
      <c r="B4412" s="121">
        <v>21</v>
      </c>
      <c r="C4412" s="121">
        <v>27</v>
      </c>
      <c r="D4412" s="121">
        <v>4</v>
      </c>
      <c r="E4412" s="121">
        <v>5302902</v>
      </c>
    </row>
    <row r="4413" spans="1:5" ht="15">
      <c r="A4413" s="120" t="s">
        <v>499</v>
      </c>
      <c r="B4413" s="121">
        <v>21</v>
      </c>
      <c r="C4413" s="121">
        <v>27</v>
      </c>
      <c r="D4413" s="121">
        <v>5</v>
      </c>
      <c r="E4413" s="121">
        <v>74469</v>
      </c>
    </row>
    <row r="4414" spans="1:5" ht="15">
      <c r="A4414" s="120" t="s">
        <v>499</v>
      </c>
      <c r="B4414" s="121">
        <v>21</v>
      </c>
      <c r="C4414" s="121">
        <v>27</v>
      </c>
      <c r="D4414" s="121">
        <v>7</v>
      </c>
      <c r="E4414" s="121">
        <v>3338059</v>
      </c>
    </row>
    <row r="4415" spans="1:5" ht="15">
      <c r="A4415" s="120" t="s">
        <v>499</v>
      </c>
      <c r="B4415" s="121">
        <v>21</v>
      </c>
      <c r="C4415" s="121">
        <v>27</v>
      </c>
      <c r="D4415" s="121">
        <v>8</v>
      </c>
      <c r="E4415" s="121">
        <v>2200</v>
      </c>
    </row>
    <row r="4416" spans="1:5" ht="15">
      <c r="A4416" s="120" t="s">
        <v>499</v>
      </c>
      <c r="B4416" s="121">
        <v>21</v>
      </c>
      <c r="C4416" s="121">
        <v>29</v>
      </c>
      <c r="D4416" s="121">
        <v>7</v>
      </c>
      <c r="E4416" s="121">
        <v>519681</v>
      </c>
    </row>
    <row r="4417" spans="1:5" ht="15">
      <c r="A4417" s="120" t="s">
        <v>499</v>
      </c>
      <c r="B4417" s="121">
        <v>21</v>
      </c>
      <c r="C4417" s="121">
        <v>31</v>
      </c>
      <c r="D4417" s="121">
        <v>2</v>
      </c>
      <c r="E4417" s="121">
        <v>14491</v>
      </c>
    </row>
    <row r="4418" spans="1:5" ht="15">
      <c r="A4418" s="120" t="s">
        <v>499</v>
      </c>
      <c r="B4418" s="121">
        <v>21</v>
      </c>
      <c r="C4418" s="121">
        <v>31</v>
      </c>
      <c r="D4418" s="121">
        <v>3</v>
      </c>
      <c r="E4418" s="121">
        <v>888</v>
      </c>
    </row>
    <row r="4419" spans="1:5" ht="15">
      <c r="A4419" s="120" t="s">
        <v>499</v>
      </c>
      <c r="B4419" s="121">
        <v>21</v>
      </c>
      <c r="C4419" s="121">
        <v>31</v>
      </c>
      <c r="D4419" s="121">
        <v>4</v>
      </c>
      <c r="E4419" s="121">
        <v>2052</v>
      </c>
    </row>
    <row r="4420" spans="1:5" ht="15">
      <c r="A4420" s="120" t="s">
        <v>499</v>
      </c>
      <c r="B4420" s="121">
        <v>21</v>
      </c>
      <c r="C4420" s="121">
        <v>31</v>
      </c>
      <c r="D4420" s="121">
        <v>5</v>
      </c>
      <c r="E4420" s="121">
        <v>1000</v>
      </c>
    </row>
    <row r="4421" spans="1:5" ht="15">
      <c r="A4421" s="120" t="s">
        <v>499</v>
      </c>
      <c r="B4421" s="121">
        <v>21</v>
      </c>
      <c r="C4421" s="121">
        <v>31</v>
      </c>
      <c r="D4421" s="121">
        <v>7</v>
      </c>
      <c r="E4421" s="121">
        <v>190000</v>
      </c>
    </row>
    <row r="4422" spans="1:5" ht="15">
      <c r="A4422" s="120" t="s">
        <v>499</v>
      </c>
      <c r="B4422" s="121">
        <v>21</v>
      </c>
      <c r="C4422" s="121">
        <v>33</v>
      </c>
      <c r="D4422" s="121">
        <v>5</v>
      </c>
      <c r="E4422" s="121">
        <v>20000</v>
      </c>
    </row>
    <row r="4423" spans="1:5" ht="15">
      <c r="A4423" s="120" t="s">
        <v>499</v>
      </c>
      <c r="B4423" s="121">
        <v>21</v>
      </c>
      <c r="C4423" s="121">
        <v>34</v>
      </c>
      <c r="D4423" s="121">
        <v>2</v>
      </c>
      <c r="E4423" s="121">
        <v>152446</v>
      </c>
    </row>
    <row r="4424" spans="1:5" ht="15">
      <c r="A4424" s="120" t="s">
        <v>499</v>
      </c>
      <c r="B4424" s="121">
        <v>21</v>
      </c>
      <c r="C4424" s="121">
        <v>34</v>
      </c>
      <c r="D4424" s="121">
        <v>4</v>
      </c>
      <c r="E4424" s="121">
        <v>25546</v>
      </c>
    </row>
    <row r="4425" spans="1:5" ht="15">
      <c r="A4425" s="120" t="s">
        <v>499</v>
      </c>
      <c r="B4425" s="121">
        <v>24</v>
      </c>
      <c r="C4425" s="121">
        <v>26</v>
      </c>
      <c r="D4425" s="121">
        <v>3</v>
      </c>
      <c r="E4425" s="121">
        <v>176993</v>
      </c>
    </row>
    <row r="4426" spans="1:5" ht="15">
      <c r="A4426" s="120" t="s">
        <v>499</v>
      </c>
      <c r="B4426" s="121">
        <v>24</v>
      </c>
      <c r="C4426" s="121">
        <v>26</v>
      </c>
      <c r="D4426" s="121">
        <v>4</v>
      </c>
      <c r="E4426" s="121">
        <v>73734</v>
      </c>
    </row>
    <row r="4427" spans="1:5" ht="15">
      <c r="A4427" s="120" t="s">
        <v>499</v>
      </c>
      <c r="B4427" s="121">
        <v>24</v>
      </c>
      <c r="C4427" s="121">
        <v>27</v>
      </c>
      <c r="D4427" s="121">
        <v>2</v>
      </c>
      <c r="E4427" s="121">
        <v>791121</v>
      </c>
    </row>
    <row r="4428" spans="1:5" ht="15">
      <c r="A4428" s="120" t="s">
        <v>499</v>
      </c>
      <c r="B4428" s="121">
        <v>24</v>
      </c>
      <c r="C4428" s="121">
        <v>27</v>
      </c>
      <c r="D4428" s="121">
        <v>3</v>
      </c>
      <c r="E4428" s="121">
        <v>478097</v>
      </c>
    </row>
    <row r="4429" spans="1:5" ht="15">
      <c r="A4429" s="120" t="s">
        <v>499</v>
      </c>
      <c r="B4429" s="121">
        <v>24</v>
      </c>
      <c r="C4429" s="121">
        <v>27</v>
      </c>
      <c r="D4429" s="121">
        <v>4</v>
      </c>
      <c r="E4429" s="121">
        <v>511694</v>
      </c>
    </row>
    <row r="4430" spans="1:5" ht="15">
      <c r="A4430" s="120" t="s">
        <v>473</v>
      </c>
      <c r="B4430" s="121">
        <v>21</v>
      </c>
      <c r="C4430" s="121">
        <v>21</v>
      </c>
      <c r="D4430" s="121">
        <v>2</v>
      </c>
      <c r="E4430" s="121">
        <v>24435</v>
      </c>
    </row>
    <row r="4431" spans="1:5" ht="15">
      <c r="A4431" s="120" t="s">
        <v>473</v>
      </c>
      <c r="B4431" s="121">
        <v>21</v>
      </c>
      <c r="C4431" s="121">
        <v>21</v>
      </c>
      <c r="D4431" s="121">
        <v>4</v>
      </c>
      <c r="E4431" s="121">
        <v>6465</v>
      </c>
    </row>
    <row r="4432" spans="1:5" ht="15">
      <c r="A4432" s="120" t="s">
        <v>473</v>
      </c>
      <c r="B4432" s="121">
        <v>21</v>
      </c>
      <c r="C4432" s="121">
        <v>26</v>
      </c>
      <c r="D4432" s="121">
        <v>7</v>
      </c>
      <c r="E4432" s="121">
        <v>43500</v>
      </c>
    </row>
    <row r="4433" spans="1:5" ht="15">
      <c r="A4433" s="120" t="s">
        <v>473</v>
      </c>
      <c r="B4433" s="121">
        <v>21</v>
      </c>
      <c r="C4433" s="121">
        <v>27</v>
      </c>
      <c r="D4433" s="121">
        <v>2</v>
      </c>
      <c r="E4433" s="121">
        <v>73128</v>
      </c>
    </row>
    <row r="4434" spans="1:5" ht="15">
      <c r="A4434" s="120" t="s">
        <v>473</v>
      </c>
      <c r="B4434" s="121">
        <v>21</v>
      </c>
      <c r="C4434" s="121">
        <v>27</v>
      </c>
      <c r="D4434" s="121">
        <v>3</v>
      </c>
      <c r="E4434" s="121">
        <v>89773</v>
      </c>
    </row>
    <row r="4435" spans="1:5" ht="15">
      <c r="A4435" s="120" t="s">
        <v>473</v>
      </c>
      <c r="B4435" s="121">
        <v>21</v>
      </c>
      <c r="C4435" s="121">
        <v>27</v>
      </c>
      <c r="D4435" s="121">
        <v>4</v>
      </c>
      <c r="E4435" s="121">
        <v>74031</v>
      </c>
    </row>
    <row r="4436" spans="1:5" ht="15">
      <c r="A4436" s="120" t="s">
        <v>473</v>
      </c>
      <c r="B4436" s="121">
        <v>21</v>
      </c>
      <c r="C4436" s="121">
        <v>27</v>
      </c>
      <c r="D4436" s="121">
        <v>5</v>
      </c>
      <c r="E4436" s="121">
        <v>2200</v>
      </c>
    </row>
    <row r="4437" spans="1:5" ht="15">
      <c r="A4437" s="120" t="s">
        <v>515</v>
      </c>
      <c r="B4437" s="121">
        <v>21</v>
      </c>
      <c r="C4437" s="121">
        <v>21</v>
      </c>
      <c r="D4437" s="121">
        <v>2</v>
      </c>
      <c r="E4437" s="121">
        <v>62710</v>
      </c>
    </row>
    <row r="4438" spans="1:5" ht="15">
      <c r="A4438" s="120" t="s">
        <v>515</v>
      </c>
      <c r="B4438" s="121">
        <v>21</v>
      </c>
      <c r="C4438" s="121">
        <v>21</v>
      </c>
      <c r="D4438" s="121">
        <v>4</v>
      </c>
      <c r="E4438" s="121">
        <v>24367</v>
      </c>
    </row>
    <row r="4439" spans="1:5" ht="15">
      <c r="A4439" s="120" t="s">
        <v>515</v>
      </c>
      <c r="B4439" s="121">
        <v>21</v>
      </c>
      <c r="C4439" s="121">
        <v>21</v>
      </c>
      <c r="D4439" s="121">
        <v>5</v>
      </c>
      <c r="E4439" s="121">
        <v>225</v>
      </c>
    </row>
    <row r="4440" spans="1:5" ht="15">
      <c r="A4440" s="120" t="s">
        <v>515</v>
      </c>
      <c r="B4440" s="121">
        <v>21</v>
      </c>
      <c r="C4440" s="121">
        <v>26</v>
      </c>
      <c r="D4440" s="121">
        <v>2</v>
      </c>
      <c r="E4440" s="121">
        <v>150765</v>
      </c>
    </row>
    <row r="4441" spans="1:5" ht="15">
      <c r="A4441" s="120" t="s">
        <v>515</v>
      </c>
      <c r="B4441" s="121">
        <v>21</v>
      </c>
      <c r="C4441" s="121">
        <v>26</v>
      </c>
      <c r="D4441" s="121">
        <v>4</v>
      </c>
      <c r="E4441" s="121">
        <v>60143</v>
      </c>
    </row>
    <row r="4442" spans="1:5" ht="15">
      <c r="A4442" s="120" t="s">
        <v>515</v>
      </c>
      <c r="B4442" s="121">
        <v>21</v>
      </c>
      <c r="C4442" s="121">
        <v>26</v>
      </c>
      <c r="D4442" s="121">
        <v>5</v>
      </c>
      <c r="E4442" s="121">
        <v>1470</v>
      </c>
    </row>
    <row r="4443" spans="1:5" ht="15">
      <c r="A4443" s="120" t="s">
        <v>515</v>
      </c>
      <c r="B4443" s="121">
        <v>21</v>
      </c>
      <c r="C4443" s="121">
        <v>26</v>
      </c>
      <c r="D4443" s="121">
        <v>7</v>
      </c>
      <c r="E4443" s="121">
        <v>165620</v>
      </c>
    </row>
    <row r="4444" spans="1:5" ht="15">
      <c r="A4444" s="120" t="s">
        <v>515</v>
      </c>
      <c r="B4444" s="121">
        <v>21</v>
      </c>
      <c r="C4444" s="121">
        <v>27</v>
      </c>
      <c r="D4444" s="121">
        <v>2</v>
      </c>
      <c r="E4444" s="121">
        <v>182212</v>
      </c>
    </row>
    <row r="4445" spans="1:5" ht="15">
      <c r="A4445" s="120" t="s">
        <v>515</v>
      </c>
      <c r="B4445" s="121">
        <v>21</v>
      </c>
      <c r="C4445" s="121">
        <v>27</v>
      </c>
      <c r="D4445" s="121">
        <v>3</v>
      </c>
      <c r="E4445" s="121">
        <v>411003</v>
      </c>
    </row>
    <row r="4446" spans="1:5" ht="15">
      <c r="A4446" s="120" t="s">
        <v>515</v>
      </c>
      <c r="B4446" s="121">
        <v>21</v>
      </c>
      <c r="C4446" s="121">
        <v>27</v>
      </c>
      <c r="D4446" s="121">
        <v>4</v>
      </c>
      <c r="E4446" s="121">
        <v>313264</v>
      </c>
    </row>
    <row r="4447" spans="1:5" ht="15">
      <c r="A4447" s="120" t="s">
        <v>515</v>
      </c>
      <c r="B4447" s="121">
        <v>21</v>
      </c>
      <c r="C4447" s="121">
        <v>27</v>
      </c>
      <c r="D4447" s="121">
        <v>5</v>
      </c>
      <c r="E4447" s="121">
        <v>85761</v>
      </c>
    </row>
    <row r="4448" spans="1:5" ht="15">
      <c r="A4448" s="120" t="s">
        <v>515</v>
      </c>
      <c r="B4448" s="121">
        <v>21</v>
      </c>
      <c r="C4448" s="121">
        <v>27</v>
      </c>
      <c r="D4448" s="121">
        <v>8</v>
      </c>
      <c r="E4448" s="121">
        <v>225</v>
      </c>
    </row>
    <row r="4449" spans="1:5" ht="15">
      <c r="A4449" s="120" t="s">
        <v>515</v>
      </c>
      <c r="B4449" s="121">
        <v>21</v>
      </c>
      <c r="C4449" s="121">
        <v>33</v>
      </c>
      <c r="D4449" s="121">
        <v>5</v>
      </c>
      <c r="E4449" s="121">
        <v>1156</v>
      </c>
    </row>
    <row r="4450" spans="1:5" ht="15">
      <c r="A4450" s="120" t="s">
        <v>515</v>
      </c>
      <c r="B4450" s="121">
        <v>21</v>
      </c>
      <c r="C4450" s="121">
        <v>34</v>
      </c>
      <c r="D4450" s="121">
        <v>2</v>
      </c>
      <c r="E4450" s="121">
        <v>5635</v>
      </c>
    </row>
    <row r="4451" spans="1:5" ht="15">
      <c r="A4451" s="120" t="s">
        <v>515</v>
      </c>
      <c r="B4451" s="121">
        <v>21</v>
      </c>
      <c r="C4451" s="121">
        <v>34</v>
      </c>
      <c r="D4451" s="121">
        <v>4</v>
      </c>
      <c r="E4451" s="121">
        <v>2126</v>
      </c>
    </row>
    <row r="4452" spans="1:5" ht="15">
      <c r="A4452" s="120" t="s">
        <v>473</v>
      </c>
      <c r="B4452" s="121">
        <v>24</v>
      </c>
      <c r="C4452" s="121">
        <v>26</v>
      </c>
      <c r="D4452" s="121">
        <v>7</v>
      </c>
      <c r="E4452" s="121">
        <v>34200</v>
      </c>
    </row>
    <row r="4453" spans="1:5" ht="15">
      <c r="A4453" s="120" t="s">
        <v>473</v>
      </c>
      <c r="B4453" s="121">
        <v>24</v>
      </c>
      <c r="C4453" s="121">
        <v>27</v>
      </c>
      <c r="D4453" s="121">
        <v>7</v>
      </c>
      <c r="E4453" s="121">
        <v>1000</v>
      </c>
    </row>
    <row r="4454" spans="1:5" ht="15">
      <c r="A4454" s="120" t="s">
        <v>505</v>
      </c>
      <c r="B4454" s="121">
        <v>21</v>
      </c>
      <c r="C4454" s="121">
        <v>21</v>
      </c>
      <c r="D4454" s="121">
        <v>2</v>
      </c>
      <c r="E4454" s="121">
        <v>98479</v>
      </c>
    </row>
    <row r="4455" spans="1:5" ht="15">
      <c r="A4455" s="120" t="s">
        <v>505</v>
      </c>
      <c r="B4455" s="121">
        <v>21</v>
      </c>
      <c r="C4455" s="121">
        <v>21</v>
      </c>
      <c r="D4455" s="121">
        <v>3</v>
      </c>
      <c r="E4455" s="121">
        <v>17480</v>
      </c>
    </row>
    <row r="4456" spans="1:5" ht="15">
      <c r="A4456" s="120" t="s">
        <v>505</v>
      </c>
      <c r="B4456" s="121">
        <v>21</v>
      </c>
      <c r="C4456" s="121">
        <v>21</v>
      </c>
      <c r="D4456" s="121">
        <v>4</v>
      </c>
      <c r="E4456" s="121">
        <v>36074</v>
      </c>
    </row>
    <row r="4457" spans="1:5" ht="15">
      <c r="A4457" s="120" t="s">
        <v>505</v>
      </c>
      <c r="B4457" s="121">
        <v>21</v>
      </c>
      <c r="C4457" s="121">
        <v>23</v>
      </c>
      <c r="D4457" s="121">
        <v>3</v>
      </c>
      <c r="E4457" s="121">
        <v>21151</v>
      </c>
    </row>
    <row r="4458" spans="1:5" ht="15">
      <c r="A4458" s="120" t="s">
        <v>505</v>
      </c>
      <c r="B4458" s="121">
        <v>21</v>
      </c>
      <c r="C4458" s="121">
        <v>23</v>
      </c>
      <c r="D4458" s="121">
        <v>4</v>
      </c>
      <c r="E4458" s="121">
        <v>11400</v>
      </c>
    </row>
    <row r="4459" spans="1:5" ht="15">
      <c r="A4459" s="120" t="s">
        <v>505</v>
      </c>
      <c r="B4459" s="121">
        <v>21</v>
      </c>
      <c r="C4459" s="121">
        <v>25</v>
      </c>
      <c r="D4459" s="121">
        <v>3</v>
      </c>
      <c r="E4459" s="121">
        <v>41616</v>
      </c>
    </row>
    <row r="4460" spans="1:5" ht="15">
      <c r="A4460" s="120" t="s">
        <v>505</v>
      </c>
      <c r="B4460" s="121">
        <v>21</v>
      </c>
      <c r="C4460" s="121">
        <v>25</v>
      </c>
      <c r="D4460" s="121">
        <v>4</v>
      </c>
      <c r="E4460" s="121">
        <v>29345</v>
      </c>
    </row>
    <row r="4461" spans="1:5" ht="15">
      <c r="A4461" s="120" t="s">
        <v>505</v>
      </c>
      <c r="B4461" s="121">
        <v>21</v>
      </c>
      <c r="C4461" s="121">
        <v>26</v>
      </c>
      <c r="D4461" s="121">
        <v>7</v>
      </c>
      <c r="E4461" s="121">
        <v>135000</v>
      </c>
    </row>
    <row r="4462" spans="1:5" ht="15">
      <c r="A4462" s="120" t="s">
        <v>505</v>
      </c>
      <c r="B4462" s="121">
        <v>21</v>
      </c>
      <c r="C4462" s="121">
        <v>27</v>
      </c>
      <c r="D4462" s="121">
        <v>2</v>
      </c>
      <c r="E4462" s="121">
        <v>184077</v>
      </c>
    </row>
    <row r="4463" spans="1:5" ht="15">
      <c r="A4463" s="120" t="s">
        <v>505</v>
      </c>
      <c r="B4463" s="121">
        <v>21</v>
      </c>
      <c r="C4463" s="121">
        <v>27</v>
      </c>
      <c r="D4463" s="121">
        <v>3</v>
      </c>
      <c r="E4463" s="121">
        <v>317028</v>
      </c>
    </row>
    <row r="4464" spans="1:5" ht="15">
      <c r="A4464" s="120" t="s">
        <v>505</v>
      </c>
      <c r="B4464" s="121">
        <v>21</v>
      </c>
      <c r="C4464" s="121">
        <v>27</v>
      </c>
      <c r="D4464" s="121">
        <v>4</v>
      </c>
      <c r="E4464" s="121">
        <v>273231</v>
      </c>
    </row>
    <row r="4465" spans="1:5" ht="15">
      <c r="A4465" s="120" t="s">
        <v>505</v>
      </c>
      <c r="B4465" s="121">
        <v>21</v>
      </c>
      <c r="C4465" s="121">
        <v>27</v>
      </c>
      <c r="D4465" s="121">
        <v>5</v>
      </c>
      <c r="E4465" s="121">
        <v>28183</v>
      </c>
    </row>
    <row r="4466" spans="1:5" ht="15">
      <c r="A4466" s="120" t="s">
        <v>505</v>
      </c>
      <c r="B4466" s="121">
        <v>21</v>
      </c>
      <c r="C4466" s="121">
        <v>27</v>
      </c>
      <c r="D4466" s="121">
        <v>7</v>
      </c>
      <c r="E4466" s="121">
        <v>1684719</v>
      </c>
    </row>
    <row r="4467" spans="1:5" ht="15">
      <c r="A4467" s="120" t="s">
        <v>515</v>
      </c>
      <c r="B4467" s="121">
        <v>24</v>
      </c>
      <c r="C4467" s="121">
        <v>26</v>
      </c>
      <c r="D4467" s="121">
        <v>7</v>
      </c>
      <c r="E4467" s="121">
        <v>132921</v>
      </c>
    </row>
    <row r="4468" spans="1:5" ht="15">
      <c r="A4468" s="120" t="s">
        <v>451</v>
      </c>
      <c r="B4468" s="121">
        <v>21</v>
      </c>
      <c r="C4468" s="121">
        <v>21</v>
      </c>
      <c r="D4468" s="121">
        <v>2</v>
      </c>
      <c r="E4468" s="121">
        <v>666267</v>
      </c>
    </row>
    <row r="4469" spans="1:5" ht="15">
      <c r="A4469" s="120" t="s">
        <v>451</v>
      </c>
      <c r="B4469" s="121">
        <v>21</v>
      </c>
      <c r="C4469" s="121">
        <v>21</v>
      </c>
      <c r="D4469" s="121">
        <v>3</v>
      </c>
      <c r="E4469" s="121">
        <v>383407</v>
      </c>
    </row>
    <row r="4470" spans="1:5" ht="15">
      <c r="A4470" s="120" t="s">
        <v>451</v>
      </c>
      <c r="B4470" s="121">
        <v>21</v>
      </c>
      <c r="C4470" s="121">
        <v>21</v>
      </c>
      <c r="D4470" s="121">
        <v>4</v>
      </c>
      <c r="E4470" s="121">
        <v>284645</v>
      </c>
    </row>
    <row r="4471" spans="1:5" ht="15">
      <c r="A4471" s="120" t="s">
        <v>451</v>
      </c>
      <c r="B4471" s="121">
        <v>21</v>
      </c>
      <c r="C4471" s="121">
        <v>21</v>
      </c>
      <c r="D4471" s="121">
        <v>5</v>
      </c>
      <c r="E4471" s="121">
        <v>15300</v>
      </c>
    </row>
    <row r="4472" spans="1:5" ht="15">
      <c r="A4472" s="120" t="s">
        <v>451</v>
      </c>
      <c r="B4472" s="121">
        <v>21</v>
      </c>
      <c r="C4472" s="121">
        <v>23</v>
      </c>
      <c r="D4472" s="121">
        <v>2</v>
      </c>
      <c r="E4472" s="121">
        <v>154928</v>
      </c>
    </row>
    <row r="4473" spans="1:5" ht="15">
      <c r="A4473" s="120" t="s">
        <v>451</v>
      </c>
      <c r="B4473" s="121">
        <v>21</v>
      </c>
      <c r="C4473" s="121">
        <v>23</v>
      </c>
      <c r="D4473" s="121">
        <v>3</v>
      </c>
      <c r="E4473" s="121">
        <v>232450</v>
      </c>
    </row>
    <row r="4474" spans="1:5" ht="15">
      <c r="A4474" s="120" t="s">
        <v>451</v>
      </c>
      <c r="B4474" s="121">
        <v>21</v>
      </c>
      <c r="C4474" s="121">
        <v>23</v>
      </c>
      <c r="D4474" s="121">
        <v>4</v>
      </c>
      <c r="E4474" s="121">
        <v>144947</v>
      </c>
    </row>
    <row r="4475" spans="1:5" ht="15">
      <c r="A4475" s="120" t="s">
        <v>451</v>
      </c>
      <c r="B4475" s="121">
        <v>21</v>
      </c>
      <c r="C4475" s="121">
        <v>24</v>
      </c>
      <c r="D4475" s="121">
        <v>2</v>
      </c>
      <c r="E4475" s="121">
        <v>125886</v>
      </c>
    </row>
    <row r="4476" spans="1:5" ht="15">
      <c r="A4476" s="120" t="s">
        <v>451</v>
      </c>
      <c r="B4476" s="121">
        <v>21</v>
      </c>
      <c r="C4476" s="121">
        <v>24</v>
      </c>
      <c r="D4476" s="121">
        <v>4</v>
      </c>
      <c r="E4476" s="121">
        <v>36776</v>
      </c>
    </row>
    <row r="4477" spans="1:5" ht="15">
      <c r="A4477" s="120" t="s">
        <v>451</v>
      </c>
      <c r="B4477" s="121">
        <v>21</v>
      </c>
      <c r="C4477" s="121">
        <v>25</v>
      </c>
      <c r="D4477" s="121">
        <v>3</v>
      </c>
      <c r="E4477" s="121">
        <v>874438</v>
      </c>
    </row>
    <row r="4478" spans="1:5" ht="15">
      <c r="A4478" s="120" t="s">
        <v>451</v>
      </c>
      <c r="B4478" s="121">
        <v>21</v>
      </c>
      <c r="C4478" s="121">
        <v>25</v>
      </c>
      <c r="D4478" s="121">
        <v>4</v>
      </c>
      <c r="E4478" s="121">
        <v>379517</v>
      </c>
    </row>
    <row r="4479" spans="1:5" ht="15">
      <c r="A4479" s="120" t="s">
        <v>451</v>
      </c>
      <c r="B4479" s="121">
        <v>21</v>
      </c>
      <c r="C4479" s="121">
        <v>26</v>
      </c>
      <c r="D4479" s="121">
        <v>2</v>
      </c>
      <c r="E4479" s="121">
        <v>8634078</v>
      </c>
    </row>
    <row r="4480" spans="1:5" ht="15">
      <c r="A4480" s="120" t="s">
        <v>451</v>
      </c>
      <c r="B4480" s="121">
        <v>21</v>
      </c>
      <c r="C4480" s="121">
        <v>26</v>
      </c>
      <c r="D4480" s="121">
        <v>3</v>
      </c>
      <c r="E4480" s="121">
        <v>617507</v>
      </c>
    </row>
    <row r="4481" spans="1:5" ht="15">
      <c r="A4481" s="120" t="s">
        <v>451</v>
      </c>
      <c r="B4481" s="121">
        <v>21</v>
      </c>
      <c r="C4481" s="121">
        <v>26</v>
      </c>
      <c r="D4481" s="121">
        <v>4</v>
      </c>
      <c r="E4481" s="121">
        <v>3033021</v>
      </c>
    </row>
    <row r="4482" spans="1:5" ht="15">
      <c r="A4482" s="120" t="s">
        <v>451</v>
      </c>
      <c r="B4482" s="121">
        <v>21</v>
      </c>
      <c r="C4482" s="121">
        <v>26</v>
      </c>
      <c r="D4482" s="121">
        <v>5</v>
      </c>
      <c r="E4482" s="121">
        <v>4430</v>
      </c>
    </row>
    <row r="4483" spans="1:5" ht="15">
      <c r="A4483" s="120" t="s">
        <v>451</v>
      </c>
      <c r="B4483" s="121">
        <v>21</v>
      </c>
      <c r="C4483" s="121">
        <v>26</v>
      </c>
      <c r="D4483" s="121">
        <v>7</v>
      </c>
      <c r="E4483" s="121">
        <v>391112</v>
      </c>
    </row>
    <row r="4484" spans="1:5" ht="15">
      <c r="A4484" s="120" t="s">
        <v>451</v>
      </c>
      <c r="B4484" s="121">
        <v>21</v>
      </c>
      <c r="C4484" s="121">
        <v>26</v>
      </c>
      <c r="D4484" s="121">
        <v>8</v>
      </c>
      <c r="E4484" s="121">
        <v>3400</v>
      </c>
    </row>
    <row r="4485" spans="1:5" ht="15">
      <c r="A4485" s="120" t="s">
        <v>451</v>
      </c>
      <c r="B4485" s="121">
        <v>21</v>
      </c>
      <c r="C4485" s="121">
        <v>27</v>
      </c>
      <c r="D4485" s="121">
        <v>2</v>
      </c>
      <c r="E4485" s="121">
        <v>12292547</v>
      </c>
    </row>
    <row r="4486" spans="1:5" ht="15">
      <c r="A4486" s="120" t="s">
        <v>451</v>
      </c>
      <c r="B4486" s="121">
        <v>21</v>
      </c>
      <c r="C4486" s="121">
        <v>27</v>
      </c>
      <c r="D4486" s="121">
        <v>3</v>
      </c>
      <c r="E4486" s="121">
        <v>14469592</v>
      </c>
    </row>
    <row r="4487" spans="1:5" ht="15">
      <c r="A4487" s="120" t="s">
        <v>451</v>
      </c>
      <c r="B4487" s="121">
        <v>21</v>
      </c>
      <c r="C4487" s="121">
        <v>27</v>
      </c>
      <c r="D4487" s="121">
        <v>4</v>
      </c>
      <c r="E4487" s="121">
        <v>11683844</v>
      </c>
    </row>
    <row r="4488" spans="1:5" ht="15">
      <c r="A4488" s="120" t="s">
        <v>451</v>
      </c>
      <c r="B4488" s="121">
        <v>21</v>
      </c>
      <c r="C4488" s="121">
        <v>27</v>
      </c>
      <c r="D4488" s="121">
        <v>5</v>
      </c>
      <c r="E4488" s="121">
        <v>29178</v>
      </c>
    </row>
    <row r="4489" spans="1:5" ht="15">
      <c r="A4489" s="120" t="s">
        <v>451</v>
      </c>
      <c r="B4489" s="121">
        <v>21</v>
      </c>
      <c r="C4489" s="121">
        <v>27</v>
      </c>
      <c r="D4489" s="121">
        <v>7</v>
      </c>
      <c r="E4489" s="121">
        <v>1698942</v>
      </c>
    </row>
    <row r="4490" spans="1:5" ht="15">
      <c r="A4490" s="120" t="s">
        <v>451</v>
      </c>
      <c r="B4490" s="121">
        <v>21</v>
      </c>
      <c r="C4490" s="121">
        <v>27</v>
      </c>
      <c r="D4490" s="121">
        <v>8</v>
      </c>
      <c r="E4490" s="121">
        <v>3000</v>
      </c>
    </row>
    <row r="4491" spans="1:5" ht="15">
      <c r="A4491" s="120" t="s">
        <v>451</v>
      </c>
      <c r="B4491" s="121">
        <v>21</v>
      </c>
      <c r="C4491" s="121">
        <v>31</v>
      </c>
      <c r="D4491" s="121">
        <v>2</v>
      </c>
      <c r="E4491" s="121">
        <v>103513</v>
      </c>
    </row>
    <row r="4492" spans="1:5" ht="15">
      <c r="A4492" s="120" t="s">
        <v>451</v>
      </c>
      <c r="B4492" s="121">
        <v>21</v>
      </c>
      <c r="C4492" s="121">
        <v>31</v>
      </c>
      <c r="D4492" s="121">
        <v>4</v>
      </c>
      <c r="E4492" s="121">
        <v>25109</v>
      </c>
    </row>
    <row r="4493" spans="1:5" ht="15">
      <c r="A4493" s="120" t="s">
        <v>451</v>
      </c>
      <c r="B4493" s="121">
        <v>21</v>
      </c>
      <c r="C4493" s="121">
        <v>31</v>
      </c>
      <c r="D4493" s="121">
        <v>7</v>
      </c>
      <c r="E4493" s="121">
        <v>12319</v>
      </c>
    </row>
    <row r="4494" spans="1:5" ht="15">
      <c r="A4494" s="120" t="s">
        <v>451</v>
      </c>
      <c r="B4494" s="121">
        <v>21</v>
      </c>
      <c r="C4494" s="121">
        <v>34</v>
      </c>
      <c r="D4494" s="121">
        <v>2</v>
      </c>
      <c r="E4494" s="121">
        <v>1274</v>
      </c>
    </row>
    <row r="4495" spans="1:5" ht="15">
      <c r="A4495" s="120" t="s">
        <v>451</v>
      </c>
      <c r="B4495" s="121">
        <v>21</v>
      </c>
      <c r="C4495" s="121">
        <v>34</v>
      </c>
      <c r="D4495" s="121">
        <v>4</v>
      </c>
      <c r="E4495" s="121">
        <v>217</v>
      </c>
    </row>
    <row r="4496" spans="1:5" ht="15">
      <c r="A4496" s="120" t="s">
        <v>451</v>
      </c>
      <c r="B4496" s="121">
        <v>24</v>
      </c>
      <c r="C4496" s="121">
        <v>27</v>
      </c>
      <c r="D4496" s="121">
        <v>2</v>
      </c>
      <c r="E4496" s="121">
        <v>2767171</v>
      </c>
    </row>
    <row r="4497" spans="1:5" ht="15">
      <c r="A4497" s="120" t="s">
        <v>451</v>
      </c>
      <c r="B4497" s="121">
        <v>24</v>
      </c>
      <c r="C4497" s="121">
        <v>27</v>
      </c>
      <c r="D4497" s="121">
        <v>4</v>
      </c>
      <c r="E4497" s="121">
        <v>801481</v>
      </c>
    </row>
    <row r="4498" spans="1:5" ht="15">
      <c r="A4498" s="120" t="s">
        <v>451</v>
      </c>
      <c r="B4498" s="121">
        <v>24</v>
      </c>
      <c r="C4498" s="121">
        <v>27</v>
      </c>
      <c r="D4498" s="121">
        <v>5</v>
      </c>
      <c r="E4498" s="121">
        <v>66859</v>
      </c>
    </row>
    <row r="4499" spans="1:5" ht="15">
      <c r="A4499" s="120" t="s">
        <v>451</v>
      </c>
      <c r="B4499" s="121">
        <v>24</v>
      </c>
      <c r="C4499" s="121">
        <v>31</v>
      </c>
      <c r="D4499" s="121">
        <v>2</v>
      </c>
      <c r="E4499" s="121">
        <v>115312</v>
      </c>
    </row>
    <row r="4500" spans="1:5" ht="15">
      <c r="A4500" s="120" t="s">
        <v>451</v>
      </c>
      <c r="B4500" s="121">
        <v>24</v>
      </c>
      <c r="C4500" s="121">
        <v>31</v>
      </c>
      <c r="D4500" s="121">
        <v>4</v>
      </c>
      <c r="E4500" s="121">
        <v>19358</v>
      </c>
    </row>
    <row r="4501" spans="1:5" ht="15">
      <c r="A4501" s="120" t="s">
        <v>505</v>
      </c>
      <c r="B4501" s="121">
        <v>21</v>
      </c>
      <c r="C4501" s="121">
        <v>31</v>
      </c>
      <c r="D4501" s="121">
        <v>4</v>
      </c>
      <c r="E4501" s="121">
        <v>293</v>
      </c>
    </row>
    <row r="4502" spans="1:5" ht="15">
      <c r="A4502" s="120" t="s">
        <v>505</v>
      </c>
      <c r="B4502" s="121">
        <v>21</v>
      </c>
      <c r="C4502" s="121">
        <v>31</v>
      </c>
      <c r="D4502" s="121">
        <v>7</v>
      </c>
      <c r="E4502" s="121">
        <v>3500</v>
      </c>
    </row>
    <row r="4503" spans="1:5" ht="15">
      <c r="A4503" s="120" t="s">
        <v>505</v>
      </c>
      <c r="B4503" s="121">
        <v>21</v>
      </c>
      <c r="C4503" s="121">
        <v>32</v>
      </c>
      <c r="D4503" s="121">
        <v>5</v>
      </c>
      <c r="E4503" s="121">
        <v>3000</v>
      </c>
    </row>
    <row r="4504" spans="1:5" ht="15">
      <c r="A4504" s="120" t="s">
        <v>505</v>
      </c>
      <c r="B4504" s="121">
        <v>21</v>
      </c>
      <c r="C4504" s="121">
        <v>33</v>
      </c>
      <c r="D4504" s="121">
        <v>5</v>
      </c>
      <c r="E4504" s="121">
        <v>2000</v>
      </c>
    </row>
    <row r="4505" spans="1:5" ht="15">
      <c r="A4505" s="120" t="s">
        <v>505</v>
      </c>
      <c r="B4505" s="121">
        <v>21</v>
      </c>
      <c r="C4505" s="121">
        <v>33</v>
      </c>
      <c r="D4505" s="121">
        <v>7</v>
      </c>
      <c r="E4505" s="121">
        <v>10000</v>
      </c>
    </row>
    <row r="4506" spans="1:5" ht="15">
      <c r="A4506" s="120" t="s">
        <v>505</v>
      </c>
      <c r="B4506" s="121">
        <v>21</v>
      </c>
      <c r="C4506" s="121">
        <v>34</v>
      </c>
      <c r="D4506" s="121">
        <v>2</v>
      </c>
      <c r="E4506" s="121">
        <v>1819</v>
      </c>
    </row>
    <row r="4507" spans="1:5" ht="15">
      <c r="A4507" s="120" t="s">
        <v>505</v>
      </c>
      <c r="B4507" s="121">
        <v>21</v>
      </c>
      <c r="C4507" s="121">
        <v>34</v>
      </c>
      <c r="D4507" s="121">
        <v>4</v>
      </c>
      <c r="E4507" s="121">
        <v>4</v>
      </c>
    </row>
    <row r="4508" spans="1:5" ht="15">
      <c r="A4508" s="120" t="s">
        <v>505</v>
      </c>
      <c r="B4508" s="121">
        <v>24</v>
      </c>
      <c r="C4508" s="121">
        <v>27</v>
      </c>
      <c r="D4508" s="121">
        <v>2</v>
      </c>
      <c r="E4508" s="121">
        <v>80933</v>
      </c>
    </row>
    <row r="4509" spans="1:5" ht="15">
      <c r="A4509" s="120" t="s">
        <v>505</v>
      </c>
      <c r="B4509" s="121">
        <v>24</v>
      </c>
      <c r="C4509" s="121">
        <v>27</v>
      </c>
      <c r="D4509" s="121">
        <v>3</v>
      </c>
      <c r="E4509" s="121">
        <v>23039</v>
      </c>
    </row>
    <row r="4510" spans="1:5" ht="15">
      <c r="A4510" s="120" t="s">
        <v>505</v>
      </c>
      <c r="B4510" s="121">
        <v>24</v>
      </c>
      <c r="C4510" s="121">
        <v>27</v>
      </c>
      <c r="D4510" s="121">
        <v>4</v>
      </c>
      <c r="E4510" s="121">
        <v>42445</v>
      </c>
    </row>
    <row r="4511" spans="1:5" ht="15">
      <c r="A4511" s="120" t="s">
        <v>505</v>
      </c>
      <c r="B4511" s="121">
        <v>24</v>
      </c>
      <c r="C4511" s="121">
        <v>27</v>
      </c>
      <c r="D4511" s="121">
        <v>5</v>
      </c>
      <c r="E4511" s="121">
        <v>1643</v>
      </c>
    </row>
    <row r="4512" spans="1:5" ht="15">
      <c r="A4512" s="120" t="s">
        <v>509</v>
      </c>
      <c r="B4512" s="121">
        <v>21</v>
      </c>
      <c r="C4512" s="121">
        <v>21</v>
      </c>
      <c r="D4512" s="121">
        <v>2</v>
      </c>
      <c r="E4512" s="121">
        <v>84200</v>
      </c>
    </row>
    <row r="4513" spans="1:5" ht="15">
      <c r="A4513" s="120" t="s">
        <v>509</v>
      </c>
      <c r="B4513" s="121">
        <v>21</v>
      </c>
      <c r="C4513" s="121">
        <v>21</v>
      </c>
      <c r="D4513" s="121">
        <v>3</v>
      </c>
      <c r="E4513" s="121">
        <v>50378</v>
      </c>
    </row>
    <row r="4514" spans="1:5" ht="15">
      <c r="A4514" s="120" t="s">
        <v>509</v>
      </c>
      <c r="B4514" s="121">
        <v>21</v>
      </c>
      <c r="C4514" s="121">
        <v>21</v>
      </c>
      <c r="D4514" s="121">
        <v>4</v>
      </c>
      <c r="E4514" s="121">
        <v>55347</v>
      </c>
    </row>
    <row r="4515" spans="1:5" ht="15">
      <c r="A4515" s="120" t="s">
        <v>509</v>
      </c>
      <c r="B4515" s="121">
        <v>21</v>
      </c>
      <c r="C4515" s="121">
        <v>21</v>
      </c>
      <c r="D4515" s="121">
        <v>5</v>
      </c>
      <c r="E4515" s="121">
        <v>1000</v>
      </c>
    </row>
    <row r="4516" spans="1:5" ht="15">
      <c r="A4516" s="120" t="s">
        <v>509</v>
      </c>
      <c r="B4516" s="121">
        <v>21</v>
      </c>
      <c r="C4516" s="121">
        <v>21</v>
      </c>
      <c r="D4516" s="121">
        <v>7</v>
      </c>
      <c r="E4516" s="121">
        <v>6150</v>
      </c>
    </row>
    <row r="4517" spans="1:5" ht="15">
      <c r="A4517" s="120" t="s">
        <v>509</v>
      </c>
      <c r="B4517" s="121">
        <v>21</v>
      </c>
      <c r="C4517" s="121">
        <v>26</v>
      </c>
      <c r="D4517" s="121">
        <v>2</v>
      </c>
      <c r="E4517" s="121">
        <v>411513</v>
      </c>
    </row>
    <row r="4518" spans="1:5" ht="15">
      <c r="A4518" s="120" t="s">
        <v>509</v>
      </c>
      <c r="B4518" s="121">
        <v>21</v>
      </c>
      <c r="C4518" s="121">
        <v>26</v>
      </c>
      <c r="D4518" s="121">
        <v>4</v>
      </c>
      <c r="E4518" s="121">
        <v>129682</v>
      </c>
    </row>
    <row r="4519" spans="1:5" ht="15">
      <c r="A4519" s="120" t="s">
        <v>509</v>
      </c>
      <c r="B4519" s="121">
        <v>21</v>
      </c>
      <c r="C4519" s="121">
        <v>26</v>
      </c>
      <c r="D4519" s="121">
        <v>5</v>
      </c>
      <c r="E4519" s="121">
        <v>1825</v>
      </c>
    </row>
    <row r="4520" spans="1:5" ht="15">
      <c r="A4520" s="120" t="s">
        <v>509</v>
      </c>
      <c r="B4520" s="121">
        <v>21</v>
      </c>
      <c r="C4520" s="121">
        <v>26</v>
      </c>
      <c r="D4520" s="121">
        <v>7</v>
      </c>
      <c r="E4520" s="121">
        <v>403000</v>
      </c>
    </row>
    <row r="4521" spans="1:5" ht="15">
      <c r="A4521" s="120" t="s">
        <v>509</v>
      </c>
      <c r="B4521" s="121">
        <v>21</v>
      </c>
      <c r="C4521" s="121">
        <v>26</v>
      </c>
      <c r="D4521" s="121">
        <v>8</v>
      </c>
      <c r="E4521" s="121">
        <v>2500</v>
      </c>
    </row>
    <row r="4522" spans="1:5" ht="15">
      <c r="A4522" s="120" t="s">
        <v>509</v>
      </c>
      <c r="B4522" s="121">
        <v>21</v>
      </c>
      <c r="C4522" s="121">
        <v>27</v>
      </c>
      <c r="D4522" s="121">
        <v>2</v>
      </c>
      <c r="E4522" s="121">
        <v>680934</v>
      </c>
    </row>
    <row r="4523" spans="1:5" ht="15">
      <c r="A4523" s="120" t="s">
        <v>509</v>
      </c>
      <c r="B4523" s="121">
        <v>21</v>
      </c>
      <c r="C4523" s="121">
        <v>27</v>
      </c>
      <c r="D4523" s="121">
        <v>3</v>
      </c>
      <c r="E4523" s="121">
        <v>990477</v>
      </c>
    </row>
    <row r="4524" spans="1:5" ht="15">
      <c r="A4524" s="120" t="s">
        <v>509</v>
      </c>
      <c r="B4524" s="121">
        <v>21</v>
      </c>
      <c r="C4524" s="121">
        <v>27</v>
      </c>
      <c r="D4524" s="121">
        <v>4</v>
      </c>
      <c r="E4524" s="121">
        <v>839160</v>
      </c>
    </row>
    <row r="4525" spans="1:5" ht="15">
      <c r="A4525" s="120" t="s">
        <v>509</v>
      </c>
      <c r="B4525" s="121">
        <v>21</v>
      </c>
      <c r="C4525" s="121">
        <v>27</v>
      </c>
      <c r="D4525" s="121">
        <v>5</v>
      </c>
      <c r="E4525" s="121">
        <v>3350</v>
      </c>
    </row>
    <row r="4526" spans="1:5" ht="15">
      <c r="A4526" s="120" t="s">
        <v>509</v>
      </c>
      <c r="B4526" s="121">
        <v>21</v>
      </c>
      <c r="C4526" s="121">
        <v>34</v>
      </c>
      <c r="D4526" s="121">
        <v>2</v>
      </c>
      <c r="E4526" s="121">
        <v>4877</v>
      </c>
    </row>
    <row r="4527" spans="1:5" ht="15">
      <c r="A4527" s="120" t="s">
        <v>509</v>
      </c>
      <c r="B4527" s="121">
        <v>21</v>
      </c>
      <c r="C4527" s="121">
        <v>34</v>
      </c>
      <c r="D4527" s="121">
        <v>4</v>
      </c>
      <c r="E4527" s="121">
        <v>824</v>
      </c>
    </row>
    <row r="4528" spans="1:5" ht="15">
      <c r="A4528" s="120" t="s">
        <v>509</v>
      </c>
      <c r="B4528" s="121">
        <v>24</v>
      </c>
      <c r="C4528" s="121">
        <v>26</v>
      </c>
      <c r="D4528" s="121">
        <v>2</v>
      </c>
      <c r="E4528" s="121">
        <v>163075</v>
      </c>
    </row>
    <row r="4529" spans="1:5" ht="15">
      <c r="A4529" s="120" t="s">
        <v>509</v>
      </c>
      <c r="B4529" s="121">
        <v>24</v>
      </c>
      <c r="C4529" s="121">
        <v>26</v>
      </c>
      <c r="D4529" s="121">
        <v>4</v>
      </c>
      <c r="E4529" s="121">
        <v>53952</v>
      </c>
    </row>
    <row r="4530" spans="1:5" ht="15">
      <c r="A4530" s="120" t="s">
        <v>509</v>
      </c>
      <c r="B4530" s="121">
        <v>24</v>
      </c>
      <c r="C4530" s="121">
        <v>27</v>
      </c>
      <c r="D4530" s="121">
        <v>2</v>
      </c>
      <c r="E4530" s="121">
        <v>146840</v>
      </c>
    </row>
    <row r="4531" spans="1:5" ht="15">
      <c r="A4531" s="120" t="s">
        <v>509</v>
      </c>
      <c r="B4531" s="121">
        <v>24</v>
      </c>
      <c r="C4531" s="121">
        <v>27</v>
      </c>
      <c r="D4531" s="121">
        <v>4</v>
      </c>
      <c r="E4531" s="121">
        <v>52422</v>
      </c>
    </row>
    <row r="4532" spans="1:5" ht="15">
      <c r="A4532" s="120" t="s">
        <v>523</v>
      </c>
      <c r="B4532" s="121">
        <v>21</v>
      </c>
      <c r="C4532" s="121">
        <v>21</v>
      </c>
      <c r="D4532" s="121">
        <v>2</v>
      </c>
      <c r="E4532" s="121">
        <v>43592</v>
      </c>
    </row>
    <row r="4533" spans="1:5" ht="15">
      <c r="A4533" s="120" t="s">
        <v>523</v>
      </c>
      <c r="B4533" s="121">
        <v>21</v>
      </c>
      <c r="C4533" s="121">
        <v>21</v>
      </c>
      <c r="D4533" s="121">
        <v>4</v>
      </c>
      <c r="E4533" s="121">
        <v>16081</v>
      </c>
    </row>
    <row r="4534" spans="1:5" ht="15">
      <c r="A4534" s="120" t="s">
        <v>523</v>
      </c>
      <c r="B4534" s="121">
        <v>21</v>
      </c>
      <c r="C4534" s="121">
        <v>27</v>
      </c>
      <c r="D4534" s="121">
        <v>7</v>
      </c>
      <c r="E4534" s="121">
        <v>1792325</v>
      </c>
    </row>
    <row r="4535" spans="1:5" ht="15">
      <c r="A4535" s="120" t="s">
        <v>519</v>
      </c>
      <c r="B4535" s="121">
        <v>21</v>
      </c>
      <c r="C4535" s="121">
        <v>21</v>
      </c>
      <c r="D4535" s="121">
        <v>2</v>
      </c>
      <c r="E4535" s="121">
        <v>314436</v>
      </c>
    </row>
    <row r="4536" spans="1:5" ht="15">
      <c r="A4536" s="120" t="s">
        <v>519</v>
      </c>
      <c r="B4536" s="121">
        <v>21</v>
      </c>
      <c r="C4536" s="121">
        <v>21</v>
      </c>
      <c r="D4536" s="121">
        <v>3</v>
      </c>
      <c r="E4536" s="121">
        <v>378790</v>
      </c>
    </row>
    <row r="4537" spans="1:5" ht="15">
      <c r="A4537" s="120" t="s">
        <v>519</v>
      </c>
      <c r="B4537" s="121">
        <v>21</v>
      </c>
      <c r="C4537" s="121">
        <v>21</v>
      </c>
      <c r="D4537" s="121">
        <v>4</v>
      </c>
      <c r="E4537" s="121">
        <v>203422</v>
      </c>
    </row>
    <row r="4538" spans="1:5" ht="15">
      <c r="A4538" s="120" t="s">
        <v>519</v>
      </c>
      <c r="B4538" s="121">
        <v>21</v>
      </c>
      <c r="C4538" s="121">
        <v>21</v>
      </c>
      <c r="D4538" s="121">
        <v>5</v>
      </c>
      <c r="E4538" s="121">
        <v>2000</v>
      </c>
    </row>
    <row r="4539" spans="1:5" ht="15">
      <c r="A4539" s="120" t="s">
        <v>519</v>
      </c>
      <c r="B4539" s="121">
        <v>21</v>
      </c>
      <c r="C4539" s="121">
        <v>21</v>
      </c>
      <c r="D4539" s="121">
        <v>7</v>
      </c>
      <c r="E4539" s="121">
        <v>1700</v>
      </c>
    </row>
    <row r="4540" spans="1:5" ht="15">
      <c r="A4540" s="120" t="s">
        <v>519</v>
      </c>
      <c r="B4540" s="121">
        <v>21</v>
      </c>
      <c r="C4540" s="121">
        <v>21</v>
      </c>
      <c r="D4540" s="121">
        <v>8</v>
      </c>
      <c r="E4540" s="121">
        <v>100</v>
      </c>
    </row>
    <row r="4541" spans="1:5" ht="15">
      <c r="A4541" s="120" t="s">
        <v>519</v>
      </c>
      <c r="B4541" s="121">
        <v>21</v>
      </c>
      <c r="C4541" s="121">
        <v>26</v>
      </c>
      <c r="D4541" s="121">
        <v>2</v>
      </c>
      <c r="E4541" s="121">
        <v>1936711</v>
      </c>
    </row>
    <row r="4542" spans="1:5" ht="15">
      <c r="A4542" s="120" t="s">
        <v>519</v>
      </c>
      <c r="B4542" s="121">
        <v>21</v>
      </c>
      <c r="C4542" s="121">
        <v>26</v>
      </c>
      <c r="D4542" s="121">
        <v>3</v>
      </c>
      <c r="E4542" s="121">
        <v>323656</v>
      </c>
    </row>
    <row r="4543" spans="1:5" ht="15">
      <c r="A4543" s="120" t="s">
        <v>519</v>
      </c>
      <c r="B4543" s="121">
        <v>21</v>
      </c>
      <c r="C4543" s="121">
        <v>26</v>
      </c>
      <c r="D4543" s="121">
        <v>4</v>
      </c>
      <c r="E4543" s="121">
        <v>728961</v>
      </c>
    </row>
    <row r="4544" spans="1:5" ht="15">
      <c r="A4544" s="120" t="s">
        <v>519</v>
      </c>
      <c r="B4544" s="121">
        <v>21</v>
      </c>
      <c r="C4544" s="121">
        <v>26</v>
      </c>
      <c r="D4544" s="121">
        <v>5</v>
      </c>
      <c r="E4544" s="121">
        <v>21000</v>
      </c>
    </row>
    <row r="4545" spans="1:5" ht="15">
      <c r="A4545" s="120" t="s">
        <v>519</v>
      </c>
      <c r="B4545" s="121">
        <v>21</v>
      </c>
      <c r="C4545" s="121">
        <v>26</v>
      </c>
      <c r="D4545" s="121">
        <v>7</v>
      </c>
      <c r="E4545" s="121">
        <v>54000</v>
      </c>
    </row>
    <row r="4546" spans="1:5" ht="15">
      <c r="A4546" s="120" t="s">
        <v>519</v>
      </c>
      <c r="B4546" s="121">
        <v>21</v>
      </c>
      <c r="C4546" s="121">
        <v>26</v>
      </c>
      <c r="D4546" s="121">
        <v>8</v>
      </c>
      <c r="E4546" s="121">
        <v>1000</v>
      </c>
    </row>
    <row r="4547" spans="1:5" ht="15">
      <c r="A4547" s="120" t="s">
        <v>519</v>
      </c>
      <c r="B4547" s="121">
        <v>21</v>
      </c>
      <c r="C4547" s="121">
        <v>27</v>
      </c>
      <c r="D4547" s="121">
        <v>0</v>
      </c>
      <c r="E4547" s="121">
        <v>3000</v>
      </c>
    </row>
    <row r="4548" spans="1:5" ht="15">
      <c r="A4548" s="120" t="s">
        <v>519</v>
      </c>
      <c r="B4548" s="121">
        <v>21</v>
      </c>
      <c r="C4548" s="121">
        <v>27</v>
      </c>
      <c r="D4548" s="121">
        <v>2</v>
      </c>
      <c r="E4548" s="121">
        <v>4188852</v>
      </c>
    </row>
    <row r="4549" spans="1:5" ht="15">
      <c r="A4549" s="120" t="s">
        <v>519</v>
      </c>
      <c r="B4549" s="121">
        <v>21</v>
      </c>
      <c r="C4549" s="121">
        <v>27</v>
      </c>
      <c r="D4549" s="121">
        <v>3</v>
      </c>
      <c r="E4549" s="121">
        <v>4775760</v>
      </c>
    </row>
    <row r="4550" spans="1:5" ht="15">
      <c r="A4550" s="120" t="s">
        <v>519</v>
      </c>
      <c r="B4550" s="121">
        <v>21</v>
      </c>
      <c r="C4550" s="121">
        <v>27</v>
      </c>
      <c r="D4550" s="121">
        <v>4</v>
      </c>
      <c r="E4550" s="121">
        <v>3955535</v>
      </c>
    </row>
    <row r="4551" spans="1:5" ht="15">
      <c r="A4551" s="120" t="s">
        <v>519</v>
      </c>
      <c r="B4551" s="121">
        <v>21</v>
      </c>
      <c r="C4551" s="121">
        <v>27</v>
      </c>
      <c r="D4551" s="121">
        <v>5</v>
      </c>
      <c r="E4551" s="121">
        <v>46600</v>
      </c>
    </row>
    <row r="4552" spans="1:5" ht="15">
      <c r="A4552" s="120" t="s">
        <v>519</v>
      </c>
      <c r="B4552" s="121">
        <v>21</v>
      </c>
      <c r="C4552" s="121">
        <v>27</v>
      </c>
      <c r="D4552" s="121">
        <v>7</v>
      </c>
      <c r="E4552" s="121">
        <v>749015</v>
      </c>
    </row>
    <row r="4553" spans="1:5" ht="15">
      <c r="A4553" s="120" t="s">
        <v>519</v>
      </c>
      <c r="B4553" s="121">
        <v>21</v>
      </c>
      <c r="C4553" s="121">
        <v>27</v>
      </c>
      <c r="D4553" s="121">
        <v>8</v>
      </c>
      <c r="E4553" s="121">
        <v>2000</v>
      </c>
    </row>
    <row r="4554" spans="1:5" ht="15">
      <c r="A4554" s="120" t="s">
        <v>519</v>
      </c>
      <c r="B4554" s="121">
        <v>21</v>
      </c>
      <c r="C4554" s="121">
        <v>31</v>
      </c>
      <c r="D4554" s="121">
        <v>2</v>
      </c>
      <c r="E4554" s="121">
        <v>37000</v>
      </c>
    </row>
    <row r="4555" spans="1:5" ht="15">
      <c r="A4555" s="120" t="s">
        <v>519</v>
      </c>
      <c r="B4555" s="121">
        <v>21</v>
      </c>
      <c r="C4555" s="121">
        <v>31</v>
      </c>
      <c r="D4555" s="121">
        <v>3</v>
      </c>
      <c r="E4555" s="121">
        <v>23000</v>
      </c>
    </row>
    <row r="4556" spans="1:5" ht="15">
      <c r="A4556" s="120" t="s">
        <v>519</v>
      </c>
      <c r="B4556" s="121">
        <v>21</v>
      </c>
      <c r="C4556" s="121">
        <v>31</v>
      </c>
      <c r="D4556" s="121">
        <v>4</v>
      </c>
      <c r="E4556" s="121">
        <v>10470</v>
      </c>
    </row>
    <row r="4557" spans="1:5" ht="15">
      <c r="A4557" s="120" t="s">
        <v>519</v>
      </c>
      <c r="B4557" s="121">
        <v>21</v>
      </c>
      <c r="C4557" s="121">
        <v>31</v>
      </c>
      <c r="D4557" s="121">
        <v>7</v>
      </c>
      <c r="E4557" s="121">
        <v>1000</v>
      </c>
    </row>
    <row r="4558" spans="1:5" ht="15">
      <c r="A4558" s="120" t="s">
        <v>519</v>
      </c>
      <c r="B4558" s="121">
        <v>21</v>
      </c>
      <c r="C4558" s="121">
        <v>33</v>
      </c>
      <c r="D4558" s="121">
        <v>5</v>
      </c>
      <c r="E4558" s="121">
        <v>7500</v>
      </c>
    </row>
    <row r="4559" spans="1:5" ht="15">
      <c r="A4559" s="120" t="s">
        <v>519</v>
      </c>
      <c r="B4559" s="121">
        <v>24</v>
      </c>
      <c r="C4559" s="121">
        <v>26</v>
      </c>
      <c r="D4559" s="121">
        <v>2</v>
      </c>
      <c r="E4559" s="121">
        <v>781173</v>
      </c>
    </row>
    <row r="4560" spans="1:5" ht="15">
      <c r="A4560" s="120" t="s">
        <v>519</v>
      </c>
      <c r="B4560" s="121">
        <v>24</v>
      </c>
      <c r="C4560" s="121">
        <v>26</v>
      </c>
      <c r="D4560" s="121">
        <v>4</v>
      </c>
      <c r="E4560" s="121">
        <v>219650</v>
      </c>
    </row>
    <row r="4561" spans="1:5" ht="15">
      <c r="A4561" s="120" t="s">
        <v>519</v>
      </c>
      <c r="B4561" s="121">
        <v>24</v>
      </c>
      <c r="C4561" s="121">
        <v>27</v>
      </c>
      <c r="D4561" s="121">
        <v>3</v>
      </c>
      <c r="E4561" s="121">
        <v>21718</v>
      </c>
    </row>
    <row r="4562" spans="1:5" ht="15">
      <c r="A4562" s="120" t="s">
        <v>519</v>
      </c>
      <c r="B4562" s="121">
        <v>24</v>
      </c>
      <c r="C4562" s="121">
        <v>27</v>
      </c>
      <c r="D4562" s="121">
        <v>4</v>
      </c>
      <c r="E4562" s="121">
        <v>15909</v>
      </c>
    </row>
    <row r="4563" spans="1:5" ht="15">
      <c r="A4563" s="120" t="s">
        <v>519</v>
      </c>
      <c r="B4563" s="121">
        <v>24</v>
      </c>
      <c r="C4563" s="121">
        <v>27</v>
      </c>
      <c r="D4563" s="121">
        <v>5</v>
      </c>
      <c r="E4563" s="121">
        <v>3891</v>
      </c>
    </row>
    <row r="4564" spans="1:5" ht="15">
      <c r="A4564" s="120" t="s">
        <v>453</v>
      </c>
      <c r="B4564" s="121">
        <v>21</v>
      </c>
      <c r="C4564" s="121">
        <v>23</v>
      </c>
      <c r="D4564" s="121">
        <v>2</v>
      </c>
      <c r="E4564" s="121">
        <v>42275</v>
      </c>
    </row>
    <row r="4565" spans="1:5" ht="15">
      <c r="A4565" s="120" t="s">
        <v>453</v>
      </c>
      <c r="B4565" s="121">
        <v>21</v>
      </c>
      <c r="C4565" s="121">
        <v>23</v>
      </c>
      <c r="D4565" s="121">
        <v>4</v>
      </c>
      <c r="E4565" s="121">
        <v>29960</v>
      </c>
    </row>
    <row r="4566" spans="1:5" ht="15">
      <c r="A4566" s="120" t="s">
        <v>453</v>
      </c>
      <c r="B4566" s="121">
        <v>21</v>
      </c>
      <c r="C4566" s="121">
        <v>23</v>
      </c>
      <c r="D4566" s="121">
        <v>7</v>
      </c>
      <c r="E4566" s="121">
        <v>15000</v>
      </c>
    </row>
    <row r="4567" spans="1:5" ht="15">
      <c r="A4567" s="120" t="s">
        <v>453</v>
      </c>
      <c r="B4567" s="121">
        <v>21</v>
      </c>
      <c r="C4567" s="121">
        <v>26</v>
      </c>
      <c r="D4567" s="121">
        <v>7</v>
      </c>
      <c r="E4567" s="121">
        <v>220000</v>
      </c>
    </row>
    <row r="4568" spans="1:5" ht="15">
      <c r="A4568" s="120" t="s">
        <v>453</v>
      </c>
      <c r="B4568" s="121">
        <v>21</v>
      </c>
      <c r="C4568" s="121">
        <v>26</v>
      </c>
      <c r="D4568" s="121">
        <v>9</v>
      </c>
      <c r="E4568" s="121">
        <v>60000</v>
      </c>
    </row>
    <row r="4569" spans="1:5" ht="15">
      <c r="A4569" s="120" t="s">
        <v>453</v>
      </c>
      <c r="B4569" s="121">
        <v>21</v>
      </c>
      <c r="C4569" s="121">
        <v>27</v>
      </c>
      <c r="D4569" s="121">
        <v>2</v>
      </c>
      <c r="E4569" s="121">
        <v>252834</v>
      </c>
    </row>
    <row r="4570" spans="1:5" ht="15">
      <c r="A4570" s="120" t="s">
        <v>453</v>
      </c>
      <c r="B4570" s="121">
        <v>21</v>
      </c>
      <c r="C4570" s="121">
        <v>27</v>
      </c>
      <c r="D4570" s="121">
        <v>3</v>
      </c>
      <c r="E4570" s="121">
        <v>124810</v>
      </c>
    </row>
    <row r="4571" spans="1:5" ht="15">
      <c r="A4571" s="120" t="s">
        <v>453</v>
      </c>
      <c r="B4571" s="121">
        <v>21</v>
      </c>
      <c r="C4571" s="121">
        <v>27</v>
      </c>
      <c r="D4571" s="121">
        <v>4</v>
      </c>
      <c r="E4571" s="121">
        <v>153745</v>
      </c>
    </row>
    <row r="4572" spans="1:5" ht="15">
      <c r="A4572" s="120" t="s">
        <v>453</v>
      </c>
      <c r="B4572" s="121">
        <v>21</v>
      </c>
      <c r="C4572" s="121">
        <v>27</v>
      </c>
      <c r="D4572" s="121">
        <v>5</v>
      </c>
      <c r="E4572" s="121">
        <v>25000</v>
      </c>
    </row>
    <row r="4573" spans="1:5" ht="15">
      <c r="A4573" s="120" t="s">
        <v>453</v>
      </c>
      <c r="B4573" s="121">
        <v>21</v>
      </c>
      <c r="C4573" s="121">
        <v>27</v>
      </c>
      <c r="D4573" s="121">
        <v>7</v>
      </c>
      <c r="E4573" s="121">
        <v>169970</v>
      </c>
    </row>
    <row r="4574" spans="1:5" ht="15">
      <c r="A4574" s="120" t="s">
        <v>453</v>
      </c>
      <c r="B4574" s="121">
        <v>21</v>
      </c>
      <c r="C4574" s="121">
        <v>32</v>
      </c>
      <c r="D4574" s="121">
        <v>7</v>
      </c>
      <c r="E4574" s="121">
        <v>10000</v>
      </c>
    </row>
    <row r="4575" spans="1:5" ht="15">
      <c r="A4575" s="120" t="s">
        <v>453</v>
      </c>
      <c r="B4575" s="121">
        <v>21</v>
      </c>
      <c r="C4575" s="121">
        <v>33</v>
      </c>
      <c r="D4575" s="121">
        <v>7</v>
      </c>
      <c r="E4575" s="121">
        <v>20000</v>
      </c>
    </row>
    <row r="4576" spans="1:5" ht="15">
      <c r="A4576" s="120" t="s">
        <v>453</v>
      </c>
      <c r="B4576" s="121">
        <v>21</v>
      </c>
      <c r="C4576" s="121">
        <v>34</v>
      </c>
      <c r="D4576" s="121">
        <v>2</v>
      </c>
      <c r="E4576" s="121">
        <v>1375</v>
      </c>
    </row>
    <row r="4577" spans="1:5" ht="15">
      <c r="A4577" s="120" t="s">
        <v>453</v>
      </c>
      <c r="B4577" s="121">
        <v>21</v>
      </c>
      <c r="C4577" s="121">
        <v>34</v>
      </c>
      <c r="D4577" s="121">
        <v>4</v>
      </c>
      <c r="E4577" s="121">
        <v>40</v>
      </c>
    </row>
    <row r="4578" spans="1:5" ht="15">
      <c r="A4578" s="120" t="s">
        <v>453</v>
      </c>
      <c r="B4578" s="121">
        <v>21</v>
      </c>
      <c r="C4578" s="121">
        <v>34</v>
      </c>
      <c r="D4578" s="121">
        <v>7</v>
      </c>
      <c r="E4578" s="121">
        <v>3000</v>
      </c>
    </row>
    <row r="4579" spans="1:5" ht="15">
      <c r="A4579" s="120" t="s">
        <v>453</v>
      </c>
      <c r="B4579" s="121">
        <v>24</v>
      </c>
      <c r="C4579" s="121">
        <v>27</v>
      </c>
      <c r="D4579" s="121">
        <v>7</v>
      </c>
      <c r="E4579" s="121">
        <v>98168</v>
      </c>
    </row>
    <row r="4580" spans="1:5" ht="15">
      <c r="A4580" s="120" t="s">
        <v>511</v>
      </c>
      <c r="B4580" s="121">
        <v>21</v>
      </c>
      <c r="C4580" s="121">
        <v>23</v>
      </c>
      <c r="D4580" s="121">
        <v>2</v>
      </c>
      <c r="E4580" s="121">
        <v>14393</v>
      </c>
    </row>
    <row r="4581" spans="1:5" ht="15">
      <c r="A4581" s="120" t="s">
        <v>511</v>
      </c>
      <c r="B4581" s="121">
        <v>21</v>
      </c>
      <c r="C4581" s="121">
        <v>23</v>
      </c>
      <c r="D4581" s="121">
        <v>3</v>
      </c>
      <c r="E4581" s="121">
        <v>6156</v>
      </c>
    </row>
    <row r="4582" spans="1:5" ht="15">
      <c r="A4582" s="120" t="s">
        <v>511</v>
      </c>
      <c r="B4582" s="121">
        <v>21</v>
      </c>
      <c r="C4582" s="121">
        <v>23</v>
      </c>
      <c r="D4582" s="121">
        <v>4</v>
      </c>
      <c r="E4582" s="121">
        <v>6584</v>
      </c>
    </row>
    <row r="4583" spans="1:5" ht="15">
      <c r="A4583" s="120" t="s">
        <v>511</v>
      </c>
      <c r="B4583" s="121">
        <v>21</v>
      </c>
      <c r="C4583" s="121">
        <v>27</v>
      </c>
      <c r="D4583" s="121">
        <v>2</v>
      </c>
      <c r="E4583" s="121">
        <v>149794</v>
      </c>
    </row>
    <row r="4584" spans="1:5" ht="15">
      <c r="A4584" s="120" t="s">
        <v>511</v>
      </c>
      <c r="B4584" s="121">
        <v>21</v>
      </c>
      <c r="C4584" s="121">
        <v>27</v>
      </c>
      <c r="D4584" s="121">
        <v>3</v>
      </c>
      <c r="E4584" s="121">
        <v>89512</v>
      </c>
    </row>
    <row r="4585" spans="1:5" ht="15">
      <c r="A4585" s="120" t="s">
        <v>511</v>
      </c>
      <c r="B4585" s="121">
        <v>21</v>
      </c>
      <c r="C4585" s="121">
        <v>27</v>
      </c>
      <c r="D4585" s="121">
        <v>4</v>
      </c>
      <c r="E4585" s="121">
        <v>106265</v>
      </c>
    </row>
    <row r="4586" spans="1:5" ht="15">
      <c r="A4586" s="120" t="s">
        <v>511</v>
      </c>
      <c r="B4586" s="121">
        <v>21</v>
      </c>
      <c r="C4586" s="121">
        <v>27</v>
      </c>
      <c r="D4586" s="121">
        <v>5</v>
      </c>
      <c r="E4586" s="121">
        <v>250</v>
      </c>
    </row>
    <row r="4587" spans="1:5" ht="15">
      <c r="A4587" s="120" t="s">
        <v>511</v>
      </c>
      <c r="B4587" s="121">
        <v>21</v>
      </c>
      <c r="C4587" s="121">
        <v>27</v>
      </c>
      <c r="D4587" s="121">
        <v>7</v>
      </c>
      <c r="E4587" s="121">
        <v>500</v>
      </c>
    </row>
    <row r="4588" spans="1:5" ht="15">
      <c r="A4588" s="120" t="s">
        <v>511</v>
      </c>
      <c r="B4588" s="121">
        <v>21</v>
      </c>
      <c r="C4588" s="121">
        <v>27</v>
      </c>
      <c r="D4588" s="121">
        <v>8</v>
      </c>
      <c r="E4588" s="121">
        <v>500</v>
      </c>
    </row>
    <row r="4589" spans="1:5" ht="15">
      <c r="A4589" s="120" t="s">
        <v>511</v>
      </c>
      <c r="B4589" s="121">
        <v>21</v>
      </c>
      <c r="C4589" s="121">
        <v>29</v>
      </c>
      <c r="D4589" s="121">
        <v>7</v>
      </c>
      <c r="E4589" s="121">
        <v>180000</v>
      </c>
    </row>
    <row r="4590" spans="1:5" ht="15">
      <c r="A4590" s="120" t="s">
        <v>511</v>
      </c>
      <c r="B4590" s="121">
        <v>21</v>
      </c>
      <c r="C4590" s="121">
        <v>33</v>
      </c>
      <c r="D4590" s="121">
        <v>5</v>
      </c>
      <c r="E4590" s="121">
        <v>1000</v>
      </c>
    </row>
    <row r="4591" spans="1:5" ht="15">
      <c r="A4591" s="120" t="s">
        <v>513</v>
      </c>
      <c r="B4591" s="121">
        <v>21</v>
      </c>
      <c r="C4591" s="121">
        <v>21</v>
      </c>
      <c r="D4591" s="121">
        <v>0</v>
      </c>
      <c r="E4591" s="121">
        <v>8376</v>
      </c>
    </row>
    <row r="4592" spans="1:5" ht="15">
      <c r="A4592" s="120" t="s">
        <v>513</v>
      </c>
      <c r="B4592" s="121">
        <v>21</v>
      </c>
      <c r="C4592" s="121">
        <v>21</v>
      </c>
      <c r="D4592" s="121">
        <v>2</v>
      </c>
      <c r="E4592" s="121">
        <v>1181394</v>
      </c>
    </row>
    <row r="4593" spans="1:5" ht="15">
      <c r="A4593" s="120" t="s">
        <v>513</v>
      </c>
      <c r="B4593" s="121">
        <v>21</v>
      </c>
      <c r="C4593" s="121">
        <v>21</v>
      </c>
      <c r="D4593" s="121">
        <v>3</v>
      </c>
      <c r="E4593" s="121">
        <v>489692</v>
      </c>
    </row>
    <row r="4594" spans="1:5" ht="15">
      <c r="A4594" s="120" t="s">
        <v>513</v>
      </c>
      <c r="B4594" s="121">
        <v>21</v>
      </c>
      <c r="C4594" s="121">
        <v>21</v>
      </c>
      <c r="D4594" s="121">
        <v>4</v>
      </c>
      <c r="E4594" s="121">
        <v>498348</v>
      </c>
    </row>
    <row r="4595" spans="1:5" ht="15">
      <c r="A4595" s="120" t="s">
        <v>513</v>
      </c>
      <c r="B4595" s="121">
        <v>21</v>
      </c>
      <c r="C4595" s="121">
        <v>21</v>
      </c>
      <c r="D4595" s="121">
        <v>5</v>
      </c>
      <c r="E4595" s="121">
        <v>73118</v>
      </c>
    </row>
    <row r="4596" spans="1:5" ht="15">
      <c r="A4596" s="120" t="s">
        <v>513</v>
      </c>
      <c r="B4596" s="121">
        <v>21</v>
      </c>
      <c r="C4596" s="121">
        <v>21</v>
      </c>
      <c r="D4596" s="121">
        <v>7</v>
      </c>
      <c r="E4596" s="121">
        <v>11700</v>
      </c>
    </row>
    <row r="4597" spans="1:5" ht="15">
      <c r="A4597" s="120" t="s">
        <v>513</v>
      </c>
      <c r="B4597" s="121">
        <v>21</v>
      </c>
      <c r="C4597" s="121">
        <v>21</v>
      </c>
      <c r="D4597" s="121">
        <v>8</v>
      </c>
      <c r="E4597" s="121">
        <v>3000</v>
      </c>
    </row>
    <row r="4598" spans="1:5" ht="15">
      <c r="A4598" s="120" t="s">
        <v>513</v>
      </c>
      <c r="B4598" s="121">
        <v>21</v>
      </c>
      <c r="C4598" s="121">
        <v>23</v>
      </c>
      <c r="D4598" s="121">
        <v>0</v>
      </c>
      <c r="E4598" s="121">
        <v>99</v>
      </c>
    </row>
    <row r="4599" spans="1:5" ht="15">
      <c r="A4599" s="120" t="s">
        <v>513</v>
      </c>
      <c r="B4599" s="121">
        <v>21</v>
      </c>
      <c r="C4599" s="121">
        <v>24</v>
      </c>
      <c r="D4599" s="121">
        <v>8</v>
      </c>
      <c r="E4599" s="121">
        <v>500</v>
      </c>
    </row>
    <row r="4600" spans="1:5" ht="15">
      <c r="A4600" s="120" t="s">
        <v>513</v>
      </c>
      <c r="B4600" s="121">
        <v>21</v>
      </c>
      <c r="C4600" s="121">
        <v>26</v>
      </c>
      <c r="D4600" s="121">
        <v>0</v>
      </c>
      <c r="E4600" s="121">
        <v>23371</v>
      </c>
    </row>
    <row r="4601" spans="1:5" ht="15">
      <c r="A4601" s="120" t="s">
        <v>513</v>
      </c>
      <c r="B4601" s="121">
        <v>21</v>
      </c>
      <c r="C4601" s="121">
        <v>26</v>
      </c>
      <c r="D4601" s="121">
        <v>2</v>
      </c>
      <c r="E4601" s="121">
        <v>12575743</v>
      </c>
    </row>
    <row r="4602" spans="1:5" ht="15">
      <c r="A4602" s="120" t="s">
        <v>513</v>
      </c>
      <c r="B4602" s="121">
        <v>21</v>
      </c>
      <c r="C4602" s="121">
        <v>26</v>
      </c>
      <c r="D4602" s="121">
        <v>3</v>
      </c>
      <c r="E4602" s="121">
        <v>694711</v>
      </c>
    </row>
    <row r="4603" spans="1:5" ht="15">
      <c r="A4603" s="120" t="s">
        <v>513</v>
      </c>
      <c r="B4603" s="121">
        <v>21</v>
      </c>
      <c r="C4603" s="121">
        <v>26</v>
      </c>
      <c r="D4603" s="121">
        <v>4</v>
      </c>
      <c r="E4603" s="121">
        <v>4356252</v>
      </c>
    </row>
    <row r="4604" spans="1:5" ht="15">
      <c r="A4604" s="120" t="s">
        <v>513</v>
      </c>
      <c r="B4604" s="121">
        <v>21</v>
      </c>
      <c r="C4604" s="121">
        <v>26</v>
      </c>
      <c r="D4604" s="121">
        <v>5</v>
      </c>
      <c r="E4604" s="121">
        <v>90330</v>
      </c>
    </row>
    <row r="4605" spans="1:5" ht="15">
      <c r="A4605" s="120" t="s">
        <v>513</v>
      </c>
      <c r="B4605" s="121">
        <v>21</v>
      </c>
      <c r="C4605" s="121">
        <v>26</v>
      </c>
      <c r="D4605" s="121">
        <v>7</v>
      </c>
      <c r="E4605" s="121">
        <v>126681</v>
      </c>
    </row>
    <row r="4606" spans="1:5" ht="15">
      <c r="A4606" s="120" t="s">
        <v>513</v>
      </c>
      <c r="B4606" s="121">
        <v>21</v>
      </c>
      <c r="C4606" s="121">
        <v>26</v>
      </c>
      <c r="D4606" s="121">
        <v>8</v>
      </c>
      <c r="E4606" s="121">
        <v>16030</v>
      </c>
    </row>
    <row r="4607" spans="1:5" ht="15">
      <c r="A4607" s="120" t="s">
        <v>513</v>
      </c>
      <c r="B4607" s="121">
        <v>21</v>
      </c>
      <c r="C4607" s="121">
        <v>27</v>
      </c>
      <c r="D4607" s="121">
        <v>0</v>
      </c>
      <c r="E4607" s="121">
        <v>2056</v>
      </c>
    </row>
    <row r="4608" spans="1:5" ht="15">
      <c r="A4608" s="120" t="s">
        <v>513</v>
      </c>
      <c r="B4608" s="121">
        <v>21</v>
      </c>
      <c r="C4608" s="121">
        <v>27</v>
      </c>
      <c r="D4608" s="121">
        <v>2</v>
      </c>
      <c r="E4608" s="121">
        <v>19839310</v>
      </c>
    </row>
    <row r="4609" spans="1:5" ht="15">
      <c r="A4609" s="120" t="s">
        <v>513</v>
      </c>
      <c r="B4609" s="121">
        <v>21</v>
      </c>
      <c r="C4609" s="121">
        <v>27</v>
      </c>
      <c r="D4609" s="121">
        <v>3</v>
      </c>
      <c r="E4609" s="121">
        <v>18623827</v>
      </c>
    </row>
    <row r="4610" spans="1:5" ht="15">
      <c r="A4610" s="120" t="s">
        <v>513</v>
      </c>
      <c r="B4610" s="121">
        <v>21</v>
      </c>
      <c r="C4610" s="121">
        <v>27</v>
      </c>
      <c r="D4610" s="121">
        <v>4</v>
      </c>
      <c r="E4610" s="121">
        <v>16757422</v>
      </c>
    </row>
    <row r="4611" spans="1:5" ht="15">
      <c r="A4611" s="120" t="s">
        <v>513</v>
      </c>
      <c r="B4611" s="121">
        <v>21</v>
      </c>
      <c r="C4611" s="121">
        <v>27</v>
      </c>
      <c r="D4611" s="121">
        <v>5</v>
      </c>
      <c r="E4611" s="121">
        <v>86537</v>
      </c>
    </row>
    <row r="4612" spans="1:5" ht="15">
      <c r="A4612" s="120" t="s">
        <v>513</v>
      </c>
      <c r="B4612" s="121">
        <v>21</v>
      </c>
      <c r="C4612" s="121">
        <v>27</v>
      </c>
      <c r="D4612" s="121">
        <v>7</v>
      </c>
      <c r="E4612" s="121">
        <v>953356</v>
      </c>
    </row>
    <row r="4613" spans="1:5" ht="15">
      <c r="A4613" s="120" t="s">
        <v>513</v>
      </c>
      <c r="B4613" s="121">
        <v>21</v>
      </c>
      <c r="C4613" s="121">
        <v>27</v>
      </c>
      <c r="D4613" s="121">
        <v>8</v>
      </c>
      <c r="E4613" s="121">
        <v>21496</v>
      </c>
    </row>
    <row r="4614" spans="1:5" ht="15">
      <c r="A4614" s="120" t="s">
        <v>513</v>
      </c>
      <c r="B4614" s="121">
        <v>21</v>
      </c>
      <c r="C4614" s="121">
        <v>31</v>
      </c>
      <c r="D4614" s="121">
        <v>2</v>
      </c>
      <c r="E4614" s="121">
        <v>1503831</v>
      </c>
    </row>
    <row r="4615" spans="1:5" ht="15">
      <c r="A4615" s="120" t="s">
        <v>513</v>
      </c>
      <c r="B4615" s="121">
        <v>21</v>
      </c>
      <c r="C4615" s="121">
        <v>31</v>
      </c>
      <c r="D4615" s="121">
        <v>4</v>
      </c>
      <c r="E4615" s="121">
        <v>240077</v>
      </c>
    </row>
    <row r="4616" spans="1:5" ht="15">
      <c r="A4616" s="120" t="s">
        <v>513</v>
      </c>
      <c r="B4616" s="121">
        <v>21</v>
      </c>
      <c r="C4616" s="121">
        <v>31</v>
      </c>
      <c r="D4616" s="121">
        <v>5</v>
      </c>
      <c r="E4616" s="121">
        <v>3334</v>
      </c>
    </row>
    <row r="4617" spans="1:5" ht="15">
      <c r="A4617" s="120" t="s">
        <v>513</v>
      </c>
      <c r="B4617" s="121">
        <v>21</v>
      </c>
      <c r="C4617" s="121">
        <v>31</v>
      </c>
      <c r="D4617" s="121">
        <v>7</v>
      </c>
      <c r="E4617" s="121">
        <v>51554</v>
      </c>
    </row>
    <row r="4618" spans="1:5" ht="15">
      <c r="A4618" s="120" t="s">
        <v>513</v>
      </c>
      <c r="B4618" s="121">
        <v>21</v>
      </c>
      <c r="C4618" s="121">
        <v>31</v>
      </c>
      <c r="D4618" s="121">
        <v>8</v>
      </c>
      <c r="E4618" s="121">
        <v>7878</v>
      </c>
    </row>
    <row r="4619" spans="1:5" ht="15">
      <c r="A4619" s="120" t="s">
        <v>513</v>
      </c>
      <c r="B4619" s="121">
        <v>21</v>
      </c>
      <c r="C4619" s="121">
        <v>32</v>
      </c>
      <c r="D4619" s="121">
        <v>0</v>
      </c>
      <c r="E4619" s="121">
        <v>86965</v>
      </c>
    </row>
    <row r="4620" spans="1:5" ht="15">
      <c r="A4620" s="120" t="s">
        <v>513</v>
      </c>
      <c r="B4620" s="121">
        <v>21</v>
      </c>
      <c r="C4620" s="121">
        <v>32</v>
      </c>
      <c r="D4620" s="121">
        <v>5</v>
      </c>
      <c r="E4620" s="121">
        <v>33203</v>
      </c>
    </row>
    <row r="4621" spans="1:5" ht="15">
      <c r="A4621" s="120" t="s">
        <v>513</v>
      </c>
      <c r="B4621" s="121">
        <v>21</v>
      </c>
      <c r="C4621" s="121">
        <v>32</v>
      </c>
      <c r="D4621" s="121">
        <v>7</v>
      </c>
      <c r="E4621" s="121">
        <v>150</v>
      </c>
    </row>
    <row r="4622" spans="1:5" ht="15">
      <c r="A4622" s="120" t="s">
        <v>513</v>
      </c>
      <c r="B4622" s="121">
        <v>21</v>
      </c>
      <c r="C4622" s="121">
        <v>33</v>
      </c>
      <c r="D4622" s="121">
        <v>0</v>
      </c>
      <c r="E4622" s="121">
        <v>250</v>
      </c>
    </row>
    <row r="4623" spans="1:5" ht="15">
      <c r="A4623" s="120" t="s">
        <v>513</v>
      </c>
      <c r="B4623" s="121">
        <v>21</v>
      </c>
      <c r="C4623" s="121">
        <v>33</v>
      </c>
      <c r="D4623" s="121">
        <v>5</v>
      </c>
      <c r="E4623" s="121">
        <v>132120</v>
      </c>
    </row>
    <row r="4624" spans="1:5" ht="15">
      <c r="A4624" s="120" t="s">
        <v>513</v>
      </c>
      <c r="B4624" s="121">
        <v>21</v>
      </c>
      <c r="C4624" s="121">
        <v>33</v>
      </c>
      <c r="D4624" s="121">
        <v>7</v>
      </c>
      <c r="E4624" s="121">
        <v>290</v>
      </c>
    </row>
    <row r="4625" spans="1:5" ht="15">
      <c r="A4625" s="120" t="s">
        <v>513</v>
      </c>
      <c r="B4625" s="121">
        <v>21</v>
      </c>
      <c r="C4625" s="121">
        <v>34</v>
      </c>
      <c r="D4625" s="121">
        <v>2</v>
      </c>
      <c r="E4625" s="121">
        <v>497436</v>
      </c>
    </row>
    <row r="4626" spans="1:5" ht="15">
      <c r="A4626" s="120" t="s">
        <v>513</v>
      </c>
      <c r="B4626" s="121">
        <v>21</v>
      </c>
      <c r="C4626" s="121">
        <v>34</v>
      </c>
      <c r="D4626" s="121">
        <v>4</v>
      </c>
      <c r="E4626" s="121">
        <v>76556</v>
      </c>
    </row>
    <row r="4627" spans="1:5" ht="15">
      <c r="A4627" s="120" t="s">
        <v>511</v>
      </c>
      <c r="B4627" s="121">
        <v>24</v>
      </c>
      <c r="C4627" s="121">
        <v>29</v>
      </c>
      <c r="D4627" s="121">
        <v>7</v>
      </c>
      <c r="E4627" s="121">
        <v>48000</v>
      </c>
    </row>
    <row r="4628" spans="1:5" ht="15">
      <c r="A4628" s="120" t="s">
        <v>513</v>
      </c>
      <c r="B4628" s="121">
        <v>24</v>
      </c>
      <c r="C4628" s="121">
        <v>26</v>
      </c>
      <c r="D4628" s="121">
        <v>0</v>
      </c>
      <c r="E4628" s="121">
        <v>433</v>
      </c>
    </row>
    <row r="4629" spans="1:5" ht="15">
      <c r="A4629" s="120" t="s">
        <v>513</v>
      </c>
      <c r="B4629" s="121">
        <v>24</v>
      </c>
      <c r="C4629" s="121">
        <v>26</v>
      </c>
      <c r="D4629" s="121">
        <v>2</v>
      </c>
      <c r="E4629" s="121">
        <v>274717</v>
      </c>
    </row>
    <row r="4630" spans="1:5" ht="15">
      <c r="A4630" s="120" t="s">
        <v>513</v>
      </c>
      <c r="B4630" s="121">
        <v>24</v>
      </c>
      <c r="C4630" s="121">
        <v>26</v>
      </c>
      <c r="D4630" s="121">
        <v>4</v>
      </c>
      <c r="E4630" s="121">
        <v>88875</v>
      </c>
    </row>
    <row r="4631" spans="1:5" ht="15">
      <c r="A4631" s="120" t="s">
        <v>513</v>
      </c>
      <c r="B4631" s="121">
        <v>24</v>
      </c>
      <c r="C4631" s="121">
        <v>26</v>
      </c>
      <c r="D4631" s="121">
        <v>7</v>
      </c>
      <c r="E4631" s="121">
        <v>51</v>
      </c>
    </row>
    <row r="4632" spans="1:5" ht="15">
      <c r="A4632" s="120" t="s">
        <v>513</v>
      </c>
      <c r="B4632" s="121">
        <v>24</v>
      </c>
      <c r="C4632" s="121">
        <v>26</v>
      </c>
      <c r="D4632" s="121">
        <v>8</v>
      </c>
      <c r="E4632" s="121">
        <v>253</v>
      </c>
    </row>
    <row r="4633" spans="1:5" ht="15">
      <c r="A4633" s="120" t="s">
        <v>513</v>
      </c>
      <c r="B4633" s="121">
        <v>24</v>
      </c>
      <c r="C4633" s="121">
        <v>27</v>
      </c>
      <c r="D4633" s="121">
        <v>0</v>
      </c>
      <c r="E4633" s="121">
        <v>461</v>
      </c>
    </row>
    <row r="4634" spans="1:5" ht="15">
      <c r="A4634" s="120" t="s">
        <v>513</v>
      </c>
      <c r="B4634" s="121">
        <v>24</v>
      </c>
      <c r="C4634" s="121">
        <v>27</v>
      </c>
      <c r="D4634" s="121">
        <v>2</v>
      </c>
      <c r="E4634" s="121">
        <v>4761084</v>
      </c>
    </row>
    <row r="4635" spans="1:5" ht="15">
      <c r="A4635" s="120" t="s">
        <v>513</v>
      </c>
      <c r="B4635" s="121">
        <v>24</v>
      </c>
      <c r="C4635" s="121">
        <v>27</v>
      </c>
      <c r="D4635" s="121">
        <v>3</v>
      </c>
      <c r="E4635" s="121">
        <v>15046</v>
      </c>
    </row>
    <row r="4636" spans="1:5" ht="15">
      <c r="A4636" s="120" t="s">
        <v>513</v>
      </c>
      <c r="B4636" s="121">
        <v>24</v>
      </c>
      <c r="C4636" s="121">
        <v>27</v>
      </c>
      <c r="D4636" s="121">
        <v>4</v>
      </c>
      <c r="E4636" s="121">
        <v>1486031</v>
      </c>
    </row>
    <row r="4637" spans="1:5" ht="15">
      <c r="A4637" s="120" t="s">
        <v>513</v>
      </c>
      <c r="B4637" s="121">
        <v>24</v>
      </c>
      <c r="C4637" s="121">
        <v>27</v>
      </c>
      <c r="D4637" s="121">
        <v>5</v>
      </c>
      <c r="E4637" s="121">
        <v>3982</v>
      </c>
    </row>
    <row r="4638" spans="1:5" ht="15">
      <c r="A4638" s="120" t="s">
        <v>513</v>
      </c>
      <c r="B4638" s="121">
        <v>24</v>
      </c>
      <c r="C4638" s="121">
        <v>27</v>
      </c>
      <c r="D4638" s="121">
        <v>7</v>
      </c>
      <c r="E4638" s="121">
        <v>6</v>
      </c>
    </row>
    <row r="4639" spans="1:5" ht="15">
      <c r="A4639" s="120" t="s">
        <v>513</v>
      </c>
      <c r="B4639" s="121">
        <v>24</v>
      </c>
      <c r="C4639" s="121">
        <v>27</v>
      </c>
      <c r="D4639" s="121">
        <v>8</v>
      </c>
      <c r="E4639" s="121">
        <v>340</v>
      </c>
    </row>
    <row r="4640" spans="1:5" ht="15">
      <c r="A4640" s="120" t="s">
        <v>513</v>
      </c>
      <c r="B4640" s="121">
        <v>24</v>
      </c>
      <c r="C4640" s="121">
        <v>31</v>
      </c>
      <c r="D4640" s="121">
        <v>2</v>
      </c>
      <c r="E4640" s="121">
        <v>280889</v>
      </c>
    </row>
    <row r="4641" spans="1:5" ht="15">
      <c r="A4641" s="120" t="s">
        <v>513</v>
      </c>
      <c r="B4641" s="121">
        <v>24</v>
      </c>
      <c r="C4641" s="121">
        <v>31</v>
      </c>
      <c r="D4641" s="121">
        <v>4</v>
      </c>
      <c r="E4641" s="121">
        <v>39034</v>
      </c>
    </row>
    <row r="4642" spans="1:5" ht="15">
      <c r="A4642" s="120" t="s">
        <v>513</v>
      </c>
      <c r="B4642" s="121">
        <v>24</v>
      </c>
      <c r="C4642" s="121">
        <v>32</v>
      </c>
      <c r="D4642" s="121">
        <v>0</v>
      </c>
      <c r="E4642" s="121">
        <v>11623</v>
      </c>
    </row>
    <row r="4643" spans="1:5" ht="15">
      <c r="A4643" s="120" t="s">
        <v>529</v>
      </c>
      <c r="B4643" s="121">
        <v>21</v>
      </c>
      <c r="C4643" s="121">
        <v>21</v>
      </c>
      <c r="D4643" s="121">
        <v>2</v>
      </c>
      <c r="E4643" s="121">
        <v>2416</v>
      </c>
    </row>
    <row r="4644" spans="1:5" ht="15">
      <c r="A4644" s="120" t="s">
        <v>529</v>
      </c>
      <c r="B4644" s="121">
        <v>21</v>
      </c>
      <c r="C4644" s="121">
        <v>21</v>
      </c>
      <c r="D4644" s="121">
        <v>4</v>
      </c>
      <c r="E4644" s="121">
        <v>396</v>
      </c>
    </row>
    <row r="4645" spans="1:5" ht="15">
      <c r="A4645" s="120" t="s">
        <v>529</v>
      </c>
      <c r="B4645" s="121">
        <v>21</v>
      </c>
      <c r="C4645" s="121">
        <v>26</v>
      </c>
      <c r="D4645" s="121">
        <v>7</v>
      </c>
      <c r="E4645" s="121">
        <v>35000</v>
      </c>
    </row>
    <row r="4646" spans="1:5" ht="15">
      <c r="A4646" s="120" t="s">
        <v>529</v>
      </c>
      <c r="B4646" s="121">
        <v>21</v>
      </c>
      <c r="C4646" s="121">
        <v>27</v>
      </c>
      <c r="D4646" s="121">
        <v>2</v>
      </c>
      <c r="E4646" s="121">
        <v>74224</v>
      </c>
    </row>
    <row r="4647" spans="1:5" ht="15">
      <c r="A4647" s="120" t="s">
        <v>529</v>
      </c>
      <c r="B4647" s="121">
        <v>21</v>
      </c>
      <c r="C4647" s="121">
        <v>27</v>
      </c>
      <c r="D4647" s="121">
        <v>3</v>
      </c>
      <c r="E4647" s="121">
        <v>23353</v>
      </c>
    </row>
    <row r="4648" spans="1:5" ht="15">
      <c r="A4648" s="120" t="s">
        <v>529</v>
      </c>
      <c r="B4648" s="121">
        <v>21</v>
      </c>
      <c r="C4648" s="121">
        <v>27</v>
      </c>
      <c r="D4648" s="121">
        <v>4</v>
      </c>
      <c r="E4648" s="121">
        <v>46872</v>
      </c>
    </row>
    <row r="4649" spans="1:5" ht="15">
      <c r="A4649" s="120" t="s">
        <v>529</v>
      </c>
      <c r="B4649" s="121">
        <v>24</v>
      </c>
      <c r="C4649" s="121">
        <v>26</v>
      </c>
      <c r="D4649" s="121">
        <v>7</v>
      </c>
      <c r="E4649" s="121">
        <v>10000</v>
      </c>
    </row>
    <row r="4650" spans="1:5" ht="15">
      <c r="A4650" s="120" t="s">
        <v>455</v>
      </c>
      <c r="B4650" s="121">
        <v>21</v>
      </c>
      <c r="C4650" s="121">
        <v>21</v>
      </c>
      <c r="D4650" s="121">
        <v>0</v>
      </c>
      <c r="E4650" s="121">
        <v>350</v>
      </c>
    </row>
    <row r="4651" spans="1:5" ht="15">
      <c r="A4651" s="120" t="s">
        <v>521</v>
      </c>
      <c r="B4651" s="121">
        <v>21</v>
      </c>
      <c r="C4651" s="121">
        <v>27</v>
      </c>
      <c r="D4651" s="121">
        <v>3</v>
      </c>
      <c r="E4651" s="121">
        <v>2214</v>
      </c>
    </row>
    <row r="4652" spans="1:5" ht="15">
      <c r="A4652" s="120" t="s">
        <v>521</v>
      </c>
      <c r="B4652" s="121">
        <v>21</v>
      </c>
      <c r="C4652" s="121">
        <v>27</v>
      </c>
      <c r="D4652" s="121">
        <v>4</v>
      </c>
      <c r="E4652" s="121">
        <v>254</v>
      </c>
    </row>
    <row r="4653" spans="1:5" ht="15">
      <c r="A4653" s="120" t="s">
        <v>521</v>
      </c>
      <c r="B4653" s="121">
        <v>21</v>
      </c>
      <c r="C4653" s="121">
        <v>27</v>
      </c>
      <c r="D4653" s="121">
        <v>7</v>
      </c>
      <c r="E4653" s="121">
        <v>29000</v>
      </c>
    </row>
    <row r="4654" spans="1:5" ht="15">
      <c r="A4654" s="120" t="s">
        <v>455</v>
      </c>
      <c r="B4654" s="121">
        <v>21</v>
      </c>
      <c r="C4654" s="121">
        <v>21</v>
      </c>
      <c r="D4654" s="121">
        <v>2</v>
      </c>
      <c r="E4654" s="121">
        <v>720240</v>
      </c>
    </row>
    <row r="4655" spans="1:5" ht="15">
      <c r="A4655" s="120" t="s">
        <v>455</v>
      </c>
      <c r="B4655" s="121">
        <v>21</v>
      </c>
      <c r="C4655" s="121">
        <v>21</v>
      </c>
      <c r="D4655" s="121">
        <v>3</v>
      </c>
      <c r="E4655" s="121">
        <v>227719</v>
      </c>
    </row>
    <row r="4656" spans="1:5" ht="15">
      <c r="A4656" s="120" t="s">
        <v>455</v>
      </c>
      <c r="B4656" s="121">
        <v>21</v>
      </c>
      <c r="C4656" s="121">
        <v>21</v>
      </c>
      <c r="D4656" s="121">
        <v>4</v>
      </c>
      <c r="E4656" s="121">
        <v>283755</v>
      </c>
    </row>
    <row r="4657" spans="1:5" ht="15">
      <c r="A4657" s="120" t="s">
        <v>455</v>
      </c>
      <c r="B4657" s="121">
        <v>21</v>
      </c>
      <c r="C4657" s="121">
        <v>21</v>
      </c>
      <c r="D4657" s="121">
        <v>5</v>
      </c>
      <c r="E4657" s="121">
        <v>750</v>
      </c>
    </row>
    <row r="4658" spans="1:5" ht="15">
      <c r="A4658" s="120" t="s">
        <v>455</v>
      </c>
      <c r="B4658" s="121">
        <v>21</v>
      </c>
      <c r="C4658" s="121">
        <v>21</v>
      </c>
      <c r="D4658" s="121">
        <v>7</v>
      </c>
      <c r="E4658" s="121">
        <v>115600</v>
      </c>
    </row>
    <row r="4659" spans="1:5" ht="15">
      <c r="A4659" s="120" t="s">
        <v>455</v>
      </c>
      <c r="B4659" s="121">
        <v>21</v>
      </c>
      <c r="C4659" s="121">
        <v>21</v>
      </c>
      <c r="D4659" s="121">
        <v>9</v>
      </c>
      <c r="E4659" s="121">
        <v>500</v>
      </c>
    </row>
    <row r="4660" spans="1:5" ht="15">
      <c r="A4660" s="120" t="s">
        <v>455</v>
      </c>
      <c r="B4660" s="121">
        <v>21</v>
      </c>
      <c r="C4660" s="121">
        <v>24</v>
      </c>
      <c r="D4660" s="121">
        <v>2</v>
      </c>
      <c r="E4660" s="121">
        <v>238655</v>
      </c>
    </row>
    <row r="4661" spans="1:5" ht="15">
      <c r="A4661" s="120" t="s">
        <v>455</v>
      </c>
      <c r="B4661" s="121">
        <v>21</v>
      </c>
      <c r="C4661" s="121">
        <v>24</v>
      </c>
      <c r="D4661" s="121">
        <v>4</v>
      </c>
      <c r="E4661" s="121">
        <v>67626</v>
      </c>
    </row>
    <row r="4662" spans="1:5" ht="15">
      <c r="A4662" s="120" t="s">
        <v>455</v>
      </c>
      <c r="B4662" s="121">
        <v>21</v>
      </c>
      <c r="C4662" s="121">
        <v>25</v>
      </c>
      <c r="D4662" s="121">
        <v>3</v>
      </c>
      <c r="E4662" s="121">
        <v>367346</v>
      </c>
    </row>
    <row r="4663" spans="1:5" ht="15">
      <c r="A4663" s="120" t="s">
        <v>455</v>
      </c>
      <c r="B4663" s="121">
        <v>21</v>
      </c>
      <c r="C4663" s="121">
        <v>25</v>
      </c>
      <c r="D4663" s="121">
        <v>4</v>
      </c>
      <c r="E4663" s="121">
        <v>271123</v>
      </c>
    </row>
    <row r="4664" spans="1:5" ht="15">
      <c r="A4664" s="120" t="s">
        <v>455</v>
      </c>
      <c r="B4664" s="121">
        <v>21</v>
      </c>
      <c r="C4664" s="121">
        <v>26</v>
      </c>
      <c r="D4664" s="121">
        <v>0</v>
      </c>
      <c r="E4664" s="121">
        <v>800</v>
      </c>
    </row>
    <row r="4665" spans="1:5" ht="15">
      <c r="A4665" s="120" t="s">
        <v>455</v>
      </c>
      <c r="B4665" s="121">
        <v>21</v>
      </c>
      <c r="C4665" s="121">
        <v>26</v>
      </c>
      <c r="D4665" s="121">
        <v>2</v>
      </c>
      <c r="E4665" s="121">
        <v>6055690</v>
      </c>
    </row>
    <row r="4666" spans="1:5" ht="15">
      <c r="A4666" s="120" t="s">
        <v>455</v>
      </c>
      <c r="B4666" s="121">
        <v>21</v>
      </c>
      <c r="C4666" s="121">
        <v>26</v>
      </c>
      <c r="D4666" s="121">
        <v>3</v>
      </c>
      <c r="E4666" s="121">
        <v>299904</v>
      </c>
    </row>
    <row r="4667" spans="1:5" ht="15">
      <c r="A4667" s="120" t="s">
        <v>455</v>
      </c>
      <c r="B4667" s="121">
        <v>21</v>
      </c>
      <c r="C4667" s="121">
        <v>26</v>
      </c>
      <c r="D4667" s="121">
        <v>4</v>
      </c>
      <c r="E4667" s="121">
        <v>2049395</v>
      </c>
    </row>
    <row r="4668" spans="1:5" ht="15">
      <c r="A4668" s="120" t="s">
        <v>455</v>
      </c>
      <c r="B4668" s="121">
        <v>21</v>
      </c>
      <c r="C4668" s="121">
        <v>26</v>
      </c>
      <c r="D4668" s="121">
        <v>5</v>
      </c>
      <c r="E4668" s="121">
        <v>91040</v>
      </c>
    </row>
    <row r="4669" spans="1:5" ht="15">
      <c r="A4669" s="120" t="s">
        <v>455</v>
      </c>
      <c r="B4669" s="121">
        <v>21</v>
      </c>
      <c r="C4669" s="121">
        <v>26</v>
      </c>
      <c r="D4669" s="121">
        <v>7</v>
      </c>
      <c r="E4669" s="121">
        <v>405924</v>
      </c>
    </row>
    <row r="4670" spans="1:5" ht="15">
      <c r="A4670" s="120" t="s">
        <v>455</v>
      </c>
      <c r="B4670" s="121">
        <v>21</v>
      </c>
      <c r="C4670" s="121">
        <v>26</v>
      </c>
      <c r="D4670" s="121">
        <v>8</v>
      </c>
      <c r="E4670" s="121">
        <v>11000</v>
      </c>
    </row>
    <row r="4671" spans="1:5" ht="15">
      <c r="A4671" s="120" t="s">
        <v>455</v>
      </c>
      <c r="B4671" s="121">
        <v>21</v>
      </c>
      <c r="C4671" s="121">
        <v>27</v>
      </c>
      <c r="D4671" s="121">
        <v>0</v>
      </c>
      <c r="E4671" s="121">
        <v>5275</v>
      </c>
    </row>
    <row r="4672" spans="1:5" ht="15">
      <c r="A4672" s="120" t="s">
        <v>455</v>
      </c>
      <c r="B4672" s="121">
        <v>21</v>
      </c>
      <c r="C4672" s="121">
        <v>27</v>
      </c>
      <c r="D4672" s="121">
        <v>2</v>
      </c>
      <c r="E4672" s="121">
        <v>9380723</v>
      </c>
    </row>
    <row r="4673" spans="1:5" ht="15">
      <c r="A4673" s="120" t="s">
        <v>455</v>
      </c>
      <c r="B4673" s="121">
        <v>21</v>
      </c>
      <c r="C4673" s="121">
        <v>27</v>
      </c>
      <c r="D4673" s="121">
        <v>3</v>
      </c>
      <c r="E4673" s="121">
        <v>6550075</v>
      </c>
    </row>
    <row r="4674" spans="1:5" ht="15">
      <c r="A4674" s="120" t="s">
        <v>455</v>
      </c>
      <c r="B4674" s="121">
        <v>21</v>
      </c>
      <c r="C4674" s="121">
        <v>27</v>
      </c>
      <c r="D4674" s="121">
        <v>4</v>
      </c>
      <c r="E4674" s="121">
        <v>7651708</v>
      </c>
    </row>
    <row r="4675" spans="1:5" ht="15">
      <c r="A4675" s="120" t="s">
        <v>455</v>
      </c>
      <c r="B4675" s="121">
        <v>21</v>
      </c>
      <c r="C4675" s="121">
        <v>27</v>
      </c>
      <c r="D4675" s="121">
        <v>5</v>
      </c>
      <c r="E4675" s="121">
        <v>45700</v>
      </c>
    </row>
    <row r="4676" spans="1:5" ht="15">
      <c r="A4676" s="120" t="s">
        <v>455</v>
      </c>
      <c r="B4676" s="121">
        <v>21</v>
      </c>
      <c r="C4676" s="121">
        <v>27</v>
      </c>
      <c r="D4676" s="121">
        <v>7</v>
      </c>
      <c r="E4676" s="121">
        <v>940000</v>
      </c>
    </row>
    <row r="4677" spans="1:5" ht="15">
      <c r="A4677" s="120" t="s">
        <v>455</v>
      </c>
      <c r="B4677" s="121">
        <v>21</v>
      </c>
      <c r="C4677" s="121">
        <v>27</v>
      </c>
      <c r="D4677" s="121">
        <v>8</v>
      </c>
      <c r="E4677" s="121">
        <v>6000</v>
      </c>
    </row>
    <row r="4678" spans="1:5" ht="15">
      <c r="A4678" s="120" t="s">
        <v>455</v>
      </c>
      <c r="B4678" s="121">
        <v>21</v>
      </c>
      <c r="C4678" s="121">
        <v>31</v>
      </c>
      <c r="D4678" s="121">
        <v>2</v>
      </c>
      <c r="E4678" s="121">
        <v>105000</v>
      </c>
    </row>
    <row r="4679" spans="1:5" ht="15">
      <c r="A4679" s="120" t="s">
        <v>455</v>
      </c>
      <c r="B4679" s="121">
        <v>21</v>
      </c>
      <c r="C4679" s="121">
        <v>31</v>
      </c>
      <c r="D4679" s="121">
        <v>3</v>
      </c>
      <c r="E4679" s="121">
        <v>40000</v>
      </c>
    </row>
    <row r="4680" spans="1:5" ht="15">
      <c r="A4680" s="120" t="s">
        <v>455</v>
      </c>
      <c r="B4680" s="121">
        <v>21</v>
      </c>
      <c r="C4680" s="121">
        <v>31</v>
      </c>
      <c r="D4680" s="121">
        <v>4</v>
      </c>
      <c r="E4680" s="121">
        <v>26100</v>
      </c>
    </row>
    <row r="4681" spans="1:5" ht="15">
      <c r="A4681" s="120" t="s">
        <v>455</v>
      </c>
      <c r="B4681" s="121">
        <v>21</v>
      </c>
      <c r="C4681" s="121">
        <v>31</v>
      </c>
      <c r="D4681" s="121">
        <v>5</v>
      </c>
      <c r="E4681" s="121">
        <v>1000</v>
      </c>
    </row>
    <row r="4682" spans="1:5" ht="15">
      <c r="A4682" s="120" t="s">
        <v>455</v>
      </c>
      <c r="B4682" s="121">
        <v>21</v>
      </c>
      <c r="C4682" s="121">
        <v>31</v>
      </c>
      <c r="D4682" s="121">
        <v>7</v>
      </c>
      <c r="E4682" s="121">
        <v>25000</v>
      </c>
    </row>
    <row r="4683" spans="1:5" ht="15">
      <c r="A4683" s="120" t="s">
        <v>455</v>
      </c>
      <c r="B4683" s="121">
        <v>21</v>
      </c>
      <c r="C4683" s="121">
        <v>32</v>
      </c>
      <c r="D4683" s="121">
        <v>5</v>
      </c>
      <c r="E4683" s="121">
        <v>30000</v>
      </c>
    </row>
    <row r="4684" spans="1:5" ht="15">
      <c r="A4684" s="120" t="s">
        <v>455</v>
      </c>
      <c r="B4684" s="121">
        <v>21</v>
      </c>
      <c r="C4684" s="121">
        <v>33</v>
      </c>
      <c r="D4684" s="121">
        <v>5</v>
      </c>
      <c r="E4684" s="121">
        <v>3000</v>
      </c>
    </row>
    <row r="4685" spans="1:5" ht="15">
      <c r="A4685" s="120" t="s">
        <v>455</v>
      </c>
      <c r="B4685" s="121">
        <v>21</v>
      </c>
      <c r="C4685" s="121">
        <v>33</v>
      </c>
      <c r="D4685" s="121">
        <v>7</v>
      </c>
      <c r="E4685" s="121">
        <v>175000</v>
      </c>
    </row>
    <row r="4686" spans="1:5" ht="15">
      <c r="A4686" s="120" t="s">
        <v>455</v>
      </c>
      <c r="B4686" s="121">
        <v>24</v>
      </c>
      <c r="C4686" s="121">
        <v>27</v>
      </c>
      <c r="D4686" s="121">
        <v>2</v>
      </c>
      <c r="E4686" s="121">
        <v>1882327</v>
      </c>
    </row>
    <row r="4687" spans="1:5" ht="15">
      <c r="A4687" s="120" t="s">
        <v>455</v>
      </c>
      <c r="B4687" s="121">
        <v>24</v>
      </c>
      <c r="C4687" s="121">
        <v>27</v>
      </c>
      <c r="D4687" s="121">
        <v>4</v>
      </c>
      <c r="E4687" s="121">
        <v>608313</v>
      </c>
    </row>
    <row r="4688" spans="1:5" ht="15">
      <c r="A4688" s="120" t="s">
        <v>455</v>
      </c>
      <c r="B4688" s="121">
        <v>24</v>
      </c>
      <c r="C4688" s="121">
        <v>27</v>
      </c>
      <c r="D4688" s="121">
        <v>5</v>
      </c>
      <c r="E4688" s="121">
        <v>2264</v>
      </c>
    </row>
    <row r="4689" spans="1:5" ht="15">
      <c r="A4689" s="120" t="s">
        <v>455</v>
      </c>
      <c r="B4689" s="121">
        <v>24</v>
      </c>
      <c r="C4689" s="121">
        <v>32</v>
      </c>
      <c r="D4689" s="121">
        <v>5</v>
      </c>
      <c r="E4689" s="121">
        <v>800</v>
      </c>
    </row>
    <row r="4690" spans="1:5" ht="15">
      <c r="A4690" s="120" t="s">
        <v>455</v>
      </c>
      <c r="B4690" s="121">
        <v>24</v>
      </c>
      <c r="C4690" s="121">
        <v>33</v>
      </c>
      <c r="D4690" s="121">
        <v>5</v>
      </c>
      <c r="E4690" s="121">
        <v>21900</v>
      </c>
    </row>
    <row r="4691" spans="1:5" ht="15">
      <c r="A4691" s="120" t="s">
        <v>517</v>
      </c>
      <c r="B4691" s="121">
        <v>21</v>
      </c>
      <c r="C4691" s="121">
        <v>21</v>
      </c>
      <c r="D4691" s="121">
        <v>2</v>
      </c>
      <c r="E4691" s="121">
        <v>2500</v>
      </c>
    </row>
    <row r="4692" spans="1:5" ht="15">
      <c r="A4692" s="120" t="s">
        <v>517</v>
      </c>
      <c r="B4692" s="121">
        <v>21</v>
      </c>
      <c r="C4692" s="121">
        <v>21</v>
      </c>
      <c r="D4692" s="121">
        <v>4</v>
      </c>
      <c r="E4692" s="121">
        <v>438</v>
      </c>
    </row>
    <row r="4693" spans="1:5" ht="15">
      <c r="A4693" s="120" t="s">
        <v>517</v>
      </c>
      <c r="B4693" s="121">
        <v>21</v>
      </c>
      <c r="C4693" s="121">
        <v>26</v>
      </c>
      <c r="D4693" s="121">
        <v>7</v>
      </c>
      <c r="E4693" s="121">
        <v>10000</v>
      </c>
    </row>
    <row r="4694" spans="1:5" ht="15">
      <c r="A4694" s="120" t="s">
        <v>517</v>
      </c>
      <c r="B4694" s="121">
        <v>21</v>
      </c>
      <c r="C4694" s="121">
        <v>27</v>
      </c>
      <c r="D4694" s="121">
        <v>2</v>
      </c>
      <c r="E4694" s="121">
        <v>161961</v>
      </c>
    </row>
    <row r="4695" spans="1:5" ht="15">
      <c r="A4695" s="120" t="s">
        <v>517</v>
      </c>
      <c r="B4695" s="121">
        <v>21</v>
      </c>
      <c r="C4695" s="121">
        <v>27</v>
      </c>
      <c r="D4695" s="121">
        <v>3</v>
      </c>
      <c r="E4695" s="121">
        <v>16391</v>
      </c>
    </row>
    <row r="4696" spans="1:5" ht="15">
      <c r="A4696" s="120" t="s">
        <v>517</v>
      </c>
      <c r="B4696" s="121">
        <v>21</v>
      </c>
      <c r="C4696" s="121">
        <v>27</v>
      </c>
      <c r="D4696" s="121">
        <v>4</v>
      </c>
      <c r="E4696" s="121">
        <v>70172</v>
      </c>
    </row>
    <row r="4697" spans="1:5" ht="15">
      <c r="A4697" s="120" t="s">
        <v>517</v>
      </c>
      <c r="B4697" s="121">
        <v>24</v>
      </c>
      <c r="C4697" s="121">
        <v>26</v>
      </c>
      <c r="D4697" s="121">
        <v>7</v>
      </c>
      <c r="E4697" s="121">
        <v>21209</v>
      </c>
    </row>
    <row r="4698" spans="1:5" ht="15">
      <c r="A4698" s="120" t="s">
        <v>303</v>
      </c>
      <c r="B4698" s="121">
        <v>21</v>
      </c>
      <c r="C4698" s="121">
        <v>21</v>
      </c>
      <c r="D4698" s="121">
        <v>2</v>
      </c>
      <c r="E4698" s="121">
        <v>382029</v>
      </c>
    </row>
    <row r="4699" spans="1:5" ht="15">
      <c r="A4699" s="120" t="s">
        <v>303</v>
      </c>
      <c r="B4699" s="121">
        <v>21</v>
      </c>
      <c r="C4699" s="121">
        <v>21</v>
      </c>
      <c r="D4699" s="121">
        <v>3</v>
      </c>
      <c r="E4699" s="121">
        <v>147759</v>
      </c>
    </row>
    <row r="4700" spans="1:5" ht="15">
      <c r="A4700" s="120" t="s">
        <v>303</v>
      </c>
      <c r="B4700" s="121">
        <v>21</v>
      </c>
      <c r="C4700" s="121">
        <v>21</v>
      </c>
      <c r="D4700" s="121">
        <v>4</v>
      </c>
      <c r="E4700" s="121">
        <v>143946</v>
      </c>
    </row>
    <row r="4701" spans="1:5" ht="15">
      <c r="A4701" s="120" t="s">
        <v>303</v>
      </c>
      <c r="B4701" s="121">
        <v>21</v>
      </c>
      <c r="C4701" s="121">
        <v>21</v>
      </c>
      <c r="D4701" s="121">
        <v>5</v>
      </c>
      <c r="E4701" s="121">
        <v>2500</v>
      </c>
    </row>
    <row r="4702" spans="1:5" ht="15">
      <c r="A4702" s="120" t="s">
        <v>303</v>
      </c>
      <c r="B4702" s="121">
        <v>21</v>
      </c>
      <c r="C4702" s="121">
        <v>21</v>
      </c>
      <c r="D4702" s="121">
        <v>7</v>
      </c>
      <c r="E4702" s="121">
        <v>46900</v>
      </c>
    </row>
    <row r="4703" spans="1:5" ht="15">
      <c r="A4703" s="120" t="s">
        <v>303</v>
      </c>
      <c r="B4703" s="121">
        <v>21</v>
      </c>
      <c r="C4703" s="121">
        <v>21</v>
      </c>
      <c r="D4703" s="121">
        <v>8</v>
      </c>
      <c r="E4703" s="121">
        <v>1661</v>
      </c>
    </row>
    <row r="4704" spans="1:5" ht="15">
      <c r="A4704" s="120" t="s">
        <v>303</v>
      </c>
      <c r="B4704" s="121">
        <v>21</v>
      </c>
      <c r="C4704" s="121">
        <v>24</v>
      </c>
      <c r="D4704" s="121">
        <v>2</v>
      </c>
      <c r="E4704" s="121">
        <v>33869</v>
      </c>
    </row>
    <row r="4705" spans="1:5" ht="15">
      <c r="A4705" s="120" t="s">
        <v>303</v>
      </c>
      <c r="B4705" s="121">
        <v>21</v>
      </c>
      <c r="C4705" s="121">
        <v>24</v>
      </c>
      <c r="D4705" s="121">
        <v>4</v>
      </c>
      <c r="E4705" s="121">
        <v>10235</v>
      </c>
    </row>
    <row r="4706" spans="1:5" ht="15">
      <c r="A4706" s="120" t="s">
        <v>303</v>
      </c>
      <c r="B4706" s="121">
        <v>21</v>
      </c>
      <c r="C4706" s="121">
        <v>24</v>
      </c>
      <c r="D4706" s="121">
        <v>7</v>
      </c>
      <c r="E4706" s="121">
        <v>400</v>
      </c>
    </row>
    <row r="4707" spans="1:5" ht="15">
      <c r="A4707" s="120" t="s">
        <v>303</v>
      </c>
      <c r="B4707" s="121">
        <v>21</v>
      </c>
      <c r="C4707" s="121">
        <v>25</v>
      </c>
      <c r="D4707" s="121">
        <v>3</v>
      </c>
      <c r="E4707" s="121">
        <v>14620</v>
      </c>
    </row>
    <row r="4708" spans="1:5" ht="15">
      <c r="A4708" s="120" t="s">
        <v>303</v>
      </c>
      <c r="B4708" s="121">
        <v>21</v>
      </c>
      <c r="C4708" s="121">
        <v>25</v>
      </c>
      <c r="D4708" s="121">
        <v>4</v>
      </c>
      <c r="E4708" s="121">
        <v>21984</v>
      </c>
    </row>
    <row r="4709" spans="1:5" ht="15">
      <c r="A4709" s="120" t="s">
        <v>303</v>
      </c>
      <c r="B4709" s="121">
        <v>21</v>
      </c>
      <c r="C4709" s="121">
        <v>26</v>
      </c>
      <c r="D4709" s="121">
        <v>2</v>
      </c>
      <c r="E4709" s="121">
        <v>1474876</v>
      </c>
    </row>
    <row r="4710" spans="1:5" ht="15">
      <c r="A4710" s="120" t="s">
        <v>303</v>
      </c>
      <c r="B4710" s="121">
        <v>21</v>
      </c>
      <c r="C4710" s="121">
        <v>26</v>
      </c>
      <c r="D4710" s="121">
        <v>3</v>
      </c>
      <c r="E4710" s="121">
        <v>122548</v>
      </c>
    </row>
    <row r="4711" spans="1:5" ht="15">
      <c r="A4711" s="120" t="s">
        <v>303</v>
      </c>
      <c r="B4711" s="121">
        <v>21</v>
      </c>
      <c r="C4711" s="121">
        <v>26</v>
      </c>
      <c r="D4711" s="121">
        <v>4</v>
      </c>
      <c r="E4711" s="121">
        <v>517057</v>
      </c>
    </row>
    <row r="4712" spans="1:5" ht="15">
      <c r="A4712" s="120" t="s">
        <v>303</v>
      </c>
      <c r="B4712" s="121">
        <v>21</v>
      </c>
      <c r="C4712" s="121">
        <v>26</v>
      </c>
      <c r="D4712" s="121">
        <v>5</v>
      </c>
      <c r="E4712" s="121">
        <v>8200</v>
      </c>
    </row>
    <row r="4713" spans="1:5" ht="15">
      <c r="A4713" s="120" t="s">
        <v>303</v>
      </c>
      <c r="B4713" s="121">
        <v>21</v>
      </c>
      <c r="C4713" s="121">
        <v>26</v>
      </c>
      <c r="D4713" s="121">
        <v>7</v>
      </c>
      <c r="E4713" s="121">
        <v>212500</v>
      </c>
    </row>
    <row r="4714" spans="1:5" ht="15">
      <c r="A4714" s="120" t="s">
        <v>303</v>
      </c>
      <c r="B4714" s="121">
        <v>21</v>
      </c>
      <c r="C4714" s="121">
        <v>26</v>
      </c>
      <c r="D4714" s="121">
        <v>8</v>
      </c>
      <c r="E4714" s="121">
        <v>1000</v>
      </c>
    </row>
    <row r="4715" spans="1:5" ht="15">
      <c r="A4715" s="120" t="s">
        <v>303</v>
      </c>
      <c r="B4715" s="121">
        <v>21</v>
      </c>
      <c r="C4715" s="121">
        <v>27</v>
      </c>
      <c r="D4715" s="121">
        <v>2</v>
      </c>
      <c r="E4715" s="121">
        <v>2150281</v>
      </c>
    </row>
    <row r="4716" spans="1:5" ht="15">
      <c r="A4716" s="120" t="s">
        <v>303</v>
      </c>
      <c r="B4716" s="121">
        <v>21</v>
      </c>
      <c r="C4716" s="121">
        <v>27</v>
      </c>
      <c r="D4716" s="121">
        <v>3</v>
      </c>
      <c r="E4716" s="121">
        <v>1873588</v>
      </c>
    </row>
    <row r="4717" spans="1:5" ht="15">
      <c r="A4717" s="120" t="s">
        <v>303</v>
      </c>
      <c r="B4717" s="121">
        <v>21</v>
      </c>
      <c r="C4717" s="121">
        <v>27</v>
      </c>
      <c r="D4717" s="121">
        <v>4</v>
      </c>
      <c r="E4717" s="121">
        <v>1644320</v>
      </c>
    </row>
    <row r="4718" spans="1:5" ht="15">
      <c r="A4718" s="120" t="s">
        <v>303</v>
      </c>
      <c r="B4718" s="121">
        <v>21</v>
      </c>
      <c r="C4718" s="121">
        <v>27</v>
      </c>
      <c r="D4718" s="121">
        <v>5</v>
      </c>
      <c r="E4718" s="121">
        <v>4200</v>
      </c>
    </row>
    <row r="4719" spans="1:5" ht="15">
      <c r="A4719" s="120" t="s">
        <v>303</v>
      </c>
      <c r="B4719" s="121">
        <v>21</v>
      </c>
      <c r="C4719" s="121">
        <v>27</v>
      </c>
      <c r="D4719" s="121">
        <v>7</v>
      </c>
      <c r="E4719" s="121">
        <v>1286400</v>
      </c>
    </row>
    <row r="4720" spans="1:5" ht="15">
      <c r="A4720" s="120" t="s">
        <v>303</v>
      </c>
      <c r="B4720" s="121">
        <v>21</v>
      </c>
      <c r="C4720" s="121">
        <v>27</v>
      </c>
      <c r="D4720" s="121">
        <v>8</v>
      </c>
      <c r="E4720" s="121">
        <v>10000</v>
      </c>
    </row>
    <row r="4721" spans="1:5" ht="15">
      <c r="A4721" s="120" t="s">
        <v>303</v>
      </c>
      <c r="B4721" s="121">
        <v>21</v>
      </c>
      <c r="C4721" s="121">
        <v>31</v>
      </c>
      <c r="D4721" s="121">
        <v>2</v>
      </c>
      <c r="E4721" s="121">
        <v>265121</v>
      </c>
    </row>
    <row r="4722" spans="1:5" ht="15">
      <c r="A4722" s="120" t="s">
        <v>303</v>
      </c>
      <c r="B4722" s="121">
        <v>21</v>
      </c>
      <c r="C4722" s="121">
        <v>31</v>
      </c>
      <c r="D4722" s="121">
        <v>3</v>
      </c>
      <c r="E4722" s="121">
        <v>6400</v>
      </c>
    </row>
    <row r="4723" spans="1:5" ht="15">
      <c r="A4723" s="120" t="s">
        <v>303</v>
      </c>
      <c r="B4723" s="121">
        <v>21</v>
      </c>
      <c r="C4723" s="121">
        <v>31</v>
      </c>
      <c r="D4723" s="121">
        <v>4</v>
      </c>
      <c r="E4723" s="121">
        <v>74094</v>
      </c>
    </row>
    <row r="4724" spans="1:5" ht="15">
      <c r="A4724" s="120" t="s">
        <v>303</v>
      </c>
      <c r="B4724" s="121">
        <v>21</v>
      </c>
      <c r="C4724" s="121">
        <v>31</v>
      </c>
      <c r="D4724" s="121">
        <v>5</v>
      </c>
      <c r="E4724" s="121">
        <v>2500</v>
      </c>
    </row>
    <row r="4725" spans="1:5" ht="15">
      <c r="A4725" s="120" t="s">
        <v>303</v>
      </c>
      <c r="B4725" s="121">
        <v>21</v>
      </c>
      <c r="C4725" s="121">
        <v>31</v>
      </c>
      <c r="D4725" s="121">
        <v>7</v>
      </c>
      <c r="E4725" s="121">
        <v>12000</v>
      </c>
    </row>
    <row r="4726" spans="1:5" ht="15">
      <c r="A4726" s="120" t="s">
        <v>303</v>
      </c>
      <c r="B4726" s="121">
        <v>21</v>
      </c>
      <c r="C4726" s="121">
        <v>31</v>
      </c>
      <c r="D4726" s="121">
        <v>8</v>
      </c>
      <c r="E4726" s="121">
        <v>500</v>
      </c>
    </row>
    <row r="4727" spans="1:5" ht="15">
      <c r="A4727" s="120" t="s">
        <v>303</v>
      </c>
      <c r="B4727" s="121">
        <v>21</v>
      </c>
      <c r="C4727" s="121">
        <v>33</v>
      </c>
      <c r="D4727" s="121">
        <v>5</v>
      </c>
      <c r="E4727" s="121">
        <v>7500</v>
      </c>
    </row>
    <row r="4728" spans="1:5" ht="15">
      <c r="A4728" s="120" t="s">
        <v>303</v>
      </c>
      <c r="B4728" s="121">
        <v>21</v>
      </c>
      <c r="C4728" s="121">
        <v>33</v>
      </c>
      <c r="D4728" s="121">
        <v>7</v>
      </c>
      <c r="E4728" s="121">
        <v>6000</v>
      </c>
    </row>
    <row r="4729" spans="1:5" ht="15">
      <c r="A4729" s="120" t="s">
        <v>303</v>
      </c>
      <c r="B4729" s="121">
        <v>21</v>
      </c>
      <c r="C4729" s="121">
        <v>34</v>
      </c>
      <c r="D4729" s="121">
        <v>2</v>
      </c>
      <c r="E4729" s="121">
        <v>59161</v>
      </c>
    </row>
    <row r="4730" spans="1:5" ht="15">
      <c r="A4730" s="120" t="s">
        <v>303</v>
      </c>
      <c r="B4730" s="121">
        <v>21</v>
      </c>
      <c r="C4730" s="121">
        <v>34</v>
      </c>
      <c r="D4730" s="121">
        <v>4</v>
      </c>
      <c r="E4730" s="121">
        <v>9682</v>
      </c>
    </row>
    <row r="4731" spans="1:5" ht="15">
      <c r="A4731" s="120" t="s">
        <v>535</v>
      </c>
      <c r="B4731" s="121">
        <v>21</v>
      </c>
      <c r="C4731" s="121">
        <v>27</v>
      </c>
      <c r="D4731" s="121">
        <v>2</v>
      </c>
      <c r="E4731" s="121">
        <v>251251</v>
      </c>
    </row>
    <row r="4732" spans="1:5" ht="15">
      <c r="A4732" s="120" t="s">
        <v>535</v>
      </c>
      <c r="B4732" s="121">
        <v>21</v>
      </c>
      <c r="C4732" s="121">
        <v>27</v>
      </c>
      <c r="D4732" s="121">
        <v>3</v>
      </c>
      <c r="E4732" s="121">
        <v>55766</v>
      </c>
    </row>
    <row r="4733" spans="1:5" ht="15">
      <c r="A4733" s="120" t="s">
        <v>535</v>
      </c>
      <c r="B4733" s="121">
        <v>21</v>
      </c>
      <c r="C4733" s="121">
        <v>27</v>
      </c>
      <c r="D4733" s="121">
        <v>4</v>
      </c>
      <c r="E4733" s="121">
        <v>85481</v>
      </c>
    </row>
    <row r="4734" spans="1:5" ht="15">
      <c r="A4734" s="120" t="s">
        <v>535</v>
      </c>
      <c r="B4734" s="121">
        <v>21</v>
      </c>
      <c r="C4734" s="121">
        <v>27</v>
      </c>
      <c r="D4734" s="121">
        <v>7</v>
      </c>
      <c r="E4734" s="121">
        <v>987524</v>
      </c>
    </row>
    <row r="4735" spans="1:5" ht="15">
      <c r="A4735" s="120" t="s">
        <v>527</v>
      </c>
      <c r="B4735" s="121">
        <v>21</v>
      </c>
      <c r="C4735" s="121">
        <v>21</v>
      </c>
      <c r="D4735" s="121">
        <v>2</v>
      </c>
      <c r="E4735" s="121">
        <v>166000</v>
      </c>
    </row>
    <row r="4736" spans="1:5" ht="15">
      <c r="A4736" s="120" t="s">
        <v>527</v>
      </c>
      <c r="B4736" s="121">
        <v>21</v>
      </c>
      <c r="C4736" s="121">
        <v>21</v>
      </c>
      <c r="D4736" s="121">
        <v>3</v>
      </c>
      <c r="E4736" s="121">
        <v>71136</v>
      </c>
    </row>
    <row r="4737" spans="1:5" ht="15">
      <c r="A4737" s="120" t="s">
        <v>527</v>
      </c>
      <c r="B4737" s="121">
        <v>21</v>
      </c>
      <c r="C4737" s="121">
        <v>21</v>
      </c>
      <c r="D4737" s="121">
        <v>4</v>
      </c>
      <c r="E4737" s="121">
        <v>71319</v>
      </c>
    </row>
    <row r="4738" spans="1:5" ht="15">
      <c r="A4738" s="120" t="s">
        <v>527</v>
      </c>
      <c r="B4738" s="121">
        <v>21</v>
      </c>
      <c r="C4738" s="121">
        <v>21</v>
      </c>
      <c r="D4738" s="121">
        <v>7</v>
      </c>
      <c r="E4738" s="121">
        <v>7000</v>
      </c>
    </row>
    <row r="4739" spans="1:5" ht="15">
      <c r="A4739" s="120" t="s">
        <v>527</v>
      </c>
      <c r="B4739" s="121">
        <v>21</v>
      </c>
      <c r="C4739" s="121">
        <v>26</v>
      </c>
      <c r="D4739" s="121">
        <v>2</v>
      </c>
      <c r="E4739" s="121">
        <v>1319621</v>
      </c>
    </row>
    <row r="4740" spans="1:5" ht="15">
      <c r="A4740" s="120" t="s">
        <v>527</v>
      </c>
      <c r="B4740" s="121">
        <v>21</v>
      </c>
      <c r="C4740" s="121">
        <v>26</v>
      </c>
      <c r="D4740" s="121">
        <v>4</v>
      </c>
      <c r="E4740" s="121">
        <v>415155</v>
      </c>
    </row>
    <row r="4741" spans="1:5" ht="15">
      <c r="A4741" s="120" t="s">
        <v>527</v>
      </c>
      <c r="B4741" s="121">
        <v>21</v>
      </c>
      <c r="C4741" s="121">
        <v>26</v>
      </c>
      <c r="D4741" s="121">
        <v>8</v>
      </c>
      <c r="E4741" s="121">
        <v>500</v>
      </c>
    </row>
    <row r="4742" spans="1:5" ht="15">
      <c r="A4742" s="120" t="s">
        <v>527</v>
      </c>
      <c r="B4742" s="121">
        <v>21</v>
      </c>
      <c r="C4742" s="121">
        <v>27</v>
      </c>
      <c r="D4742" s="121">
        <v>2</v>
      </c>
      <c r="E4742" s="121">
        <v>1820532</v>
      </c>
    </row>
    <row r="4743" spans="1:5" ht="15">
      <c r="A4743" s="120" t="s">
        <v>527</v>
      </c>
      <c r="B4743" s="121">
        <v>21</v>
      </c>
      <c r="C4743" s="121">
        <v>27</v>
      </c>
      <c r="D4743" s="121">
        <v>3</v>
      </c>
      <c r="E4743" s="121">
        <v>1967898</v>
      </c>
    </row>
    <row r="4744" spans="1:5" ht="15">
      <c r="A4744" s="120" t="s">
        <v>527</v>
      </c>
      <c r="B4744" s="121">
        <v>21</v>
      </c>
      <c r="C4744" s="121">
        <v>27</v>
      </c>
      <c r="D4744" s="121">
        <v>4</v>
      </c>
      <c r="E4744" s="121">
        <v>1663489</v>
      </c>
    </row>
    <row r="4745" spans="1:5" ht="15">
      <c r="A4745" s="120" t="s">
        <v>527</v>
      </c>
      <c r="B4745" s="121">
        <v>21</v>
      </c>
      <c r="C4745" s="121">
        <v>27</v>
      </c>
      <c r="D4745" s="121">
        <v>5</v>
      </c>
      <c r="E4745" s="121">
        <v>10000</v>
      </c>
    </row>
    <row r="4746" spans="1:5" ht="15">
      <c r="A4746" s="120" t="s">
        <v>527</v>
      </c>
      <c r="B4746" s="121">
        <v>21</v>
      </c>
      <c r="C4746" s="121">
        <v>27</v>
      </c>
      <c r="D4746" s="121">
        <v>7</v>
      </c>
      <c r="E4746" s="121">
        <v>415000</v>
      </c>
    </row>
    <row r="4747" spans="1:5" ht="15">
      <c r="A4747" s="120" t="s">
        <v>527</v>
      </c>
      <c r="B4747" s="121">
        <v>21</v>
      </c>
      <c r="C4747" s="121">
        <v>27</v>
      </c>
      <c r="D4747" s="121">
        <v>8</v>
      </c>
      <c r="E4747" s="121">
        <v>1000</v>
      </c>
    </row>
    <row r="4748" spans="1:5" ht="15">
      <c r="A4748" s="120" t="s">
        <v>527</v>
      </c>
      <c r="B4748" s="121">
        <v>21</v>
      </c>
      <c r="C4748" s="121">
        <v>29</v>
      </c>
      <c r="D4748" s="121">
        <v>7</v>
      </c>
      <c r="E4748" s="121">
        <v>65000</v>
      </c>
    </row>
    <row r="4749" spans="1:5" ht="15">
      <c r="A4749" s="120" t="s">
        <v>527</v>
      </c>
      <c r="B4749" s="121">
        <v>21</v>
      </c>
      <c r="C4749" s="121">
        <v>31</v>
      </c>
      <c r="D4749" s="121">
        <v>7</v>
      </c>
      <c r="E4749" s="121">
        <v>1000</v>
      </c>
    </row>
    <row r="4750" spans="1:5" ht="15">
      <c r="A4750" s="120" t="s">
        <v>527</v>
      </c>
      <c r="B4750" s="121">
        <v>21</v>
      </c>
      <c r="C4750" s="121">
        <v>33</v>
      </c>
      <c r="D4750" s="121">
        <v>5</v>
      </c>
      <c r="E4750" s="121">
        <v>9000</v>
      </c>
    </row>
    <row r="4751" spans="1:5" ht="15">
      <c r="A4751" s="120" t="s">
        <v>535</v>
      </c>
      <c r="B4751" s="121">
        <v>24</v>
      </c>
      <c r="C4751" s="121">
        <v>27</v>
      </c>
      <c r="D4751" s="121">
        <v>2</v>
      </c>
      <c r="E4751" s="121">
        <v>135289</v>
      </c>
    </row>
    <row r="4752" spans="1:5" ht="15">
      <c r="A4752" s="120" t="s">
        <v>535</v>
      </c>
      <c r="B4752" s="121">
        <v>24</v>
      </c>
      <c r="C4752" s="121">
        <v>27</v>
      </c>
      <c r="D4752" s="121">
        <v>4</v>
      </c>
      <c r="E4752" s="121">
        <v>36758</v>
      </c>
    </row>
    <row r="4753" spans="1:5" ht="15">
      <c r="A4753" s="120" t="s">
        <v>531</v>
      </c>
      <c r="B4753" s="121">
        <v>21</v>
      </c>
      <c r="C4753" s="121">
        <v>27</v>
      </c>
      <c r="D4753" s="121">
        <v>7</v>
      </c>
      <c r="E4753" s="121">
        <v>1855359</v>
      </c>
    </row>
    <row r="4754" spans="1:5" ht="15">
      <c r="A4754" s="120" t="s">
        <v>527</v>
      </c>
      <c r="B4754" s="121">
        <v>24</v>
      </c>
      <c r="C4754" s="121">
        <v>26</v>
      </c>
      <c r="D4754" s="121">
        <v>7</v>
      </c>
      <c r="E4754" s="121">
        <v>60000</v>
      </c>
    </row>
    <row r="4755" spans="1:5" ht="15">
      <c r="A4755" s="120" t="s">
        <v>527</v>
      </c>
      <c r="B4755" s="121">
        <v>24</v>
      </c>
      <c r="C4755" s="121">
        <v>27</v>
      </c>
      <c r="D4755" s="121">
        <v>2</v>
      </c>
      <c r="E4755" s="121">
        <v>326198</v>
      </c>
    </row>
    <row r="4756" spans="1:5" ht="15">
      <c r="A4756" s="120" t="s">
        <v>527</v>
      </c>
      <c r="B4756" s="121">
        <v>24</v>
      </c>
      <c r="C4756" s="121">
        <v>27</v>
      </c>
      <c r="D4756" s="121">
        <v>3</v>
      </c>
      <c r="E4756" s="121">
        <v>174890</v>
      </c>
    </row>
    <row r="4757" spans="1:5" ht="15">
      <c r="A4757" s="120" t="s">
        <v>527</v>
      </c>
      <c r="B4757" s="121">
        <v>24</v>
      </c>
      <c r="C4757" s="121">
        <v>27</v>
      </c>
      <c r="D4757" s="121">
        <v>4</v>
      </c>
      <c r="E4757" s="121">
        <v>213574</v>
      </c>
    </row>
    <row r="4758" spans="1:5" ht="15">
      <c r="A4758" s="120" t="s">
        <v>457</v>
      </c>
      <c r="B4758" s="121">
        <v>21</v>
      </c>
      <c r="C4758" s="121">
        <v>21</v>
      </c>
      <c r="D4758" s="121">
        <v>2</v>
      </c>
      <c r="E4758" s="121">
        <v>234450</v>
      </c>
    </row>
    <row r="4759" spans="1:5" ht="15">
      <c r="A4759" s="120" t="s">
        <v>457</v>
      </c>
      <c r="B4759" s="121">
        <v>21</v>
      </c>
      <c r="C4759" s="121">
        <v>21</v>
      </c>
      <c r="D4759" s="121">
        <v>3</v>
      </c>
      <c r="E4759" s="121">
        <v>80550</v>
      </c>
    </row>
    <row r="4760" spans="1:5" ht="15">
      <c r="A4760" s="120" t="s">
        <v>457</v>
      </c>
      <c r="B4760" s="121">
        <v>21</v>
      </c>
      <c r="C4760" s="121">
        <v>21</v>
      </c>
      <c r="D4760" s="121">
        <v>4</v>
      </c>
      <c r="E4760" s="121">
        <v>80534</v>
      </c>
    </row>
    <row r="4761" spans="1:5" ht="15">
      <c r="A4761" s="120" t="s">
        <v>457</v>
      </c>
      <c r="B4761" s="121">
        <v>21</v>
      </c>
      <c r="C4761" s="121">
        <v>21</v>
      </c>
      <c r="D4761" s="121">
        <v>5</v>
      </c>
      <c r="E4761" s="121">
        <v>500</v>
      </c>
    </row>
    <row r="4762" spans="1:5" ht="15">
      <c r="A4762" s="120" t="s">
        <v>457</v>
      </c>
      <c r="B4762" s="121">
        <v>21</v>
      </c>
      <c r="C4762" s="121">
        <v>21</v>
      </c>
      <c r="D4762" s="121">
        <v>7</v>
      </c>
      <c r="E4762" s="121">
        <v>7500</v>
      </c>
    </row>
    <row r="4763" spans="1:5" ht="15">
      <c r="A4763" s="120" t="s">
        <v>457</v>
      </c>
      <c r="B4763" s="121">
        <v>21</v>
      </c>
      <c r="C4763" s="121">
        <v>21</v>
      </c>
      <c r="D4763" s="121">
        <v>8</v>
      </c>
      <c r="E4763" s="121">
        <v>8500</v>
      </c>
    </row>
    <row r="4764" spans="1:5" ht="15">
      <c r="A4764" s="120" t="s">
        <v>591</v>
      </c>
      <c r="B4764" s="121">
        <v>21</v>
      </c>
      <c r="C4764" s="121">
        <v>21</v>
      </c>
      <c r="D4764" s="121">
        <v>2</v>
      </c>
      <c r="E4764" s="121">
        <v>157731</v>
      </c>
    </row>
    <row r="4765" spans="1:5" ht="15">
      <c r="A4765" s="120" t="s">
        <v>591</v>
      </c>
      <c r="B4765" s="121">
        <v>21</v>
      </c>
      <c r="C4765" s="121">
        <v>21</v>
      </c>
      <c r="D4765" s="121">
        <v>3</v>
      </c>
      <c r="E4765" s="121">
        <v>120195</v>
      </c>
    </row>
    <row r="4766" spans="1:5" ht="15">
      <c r="A4766" s="120" t="s">
        <v>591</v>
      </c>
      <c r="B4766" s="121">
        <v>21</v>
      </c>
      <c r="C4766" s="121">
        <v>21</v>
      </c>
      <c r="D4766" s="121">
        <v>4</v>
      </c>
      <c r="E4766" s="121">
        <v>92237</v>
      </c>
    </row>
    <row r="4767" spans="1:5" ht="15">
      <c r="A4767" s="120" t="s">
        <v>591</v>
      </c>
      <c r="B4767" s="121">
        <v>21</v>
      </c>
      <c r="C4767" s="121">
        <v>21</v>
      </c>
      <c r="D4767" s="121">
        <v>5</v>
      </c>
      <c r="E4767" s="121">
        <v>10009</v>
      </c>
    </row>
    <row r="4768" spans="1:5" ht="15">
      <c r="A4768" s="120" t="s">
        <v>591</v>
      </c>
      <c r="B4768" s="121">
        <v>21</v>
      </c>
      <c r="C4768" s="121">
        <v>21</v>
      </c>
      <c r="D4768" s="121">
        <v>7</v>
      </c>
      <c r="E4768" s="121">
        <v>1147768</v>
      </c>
    </row>
    <row r="4769" spans="1:5" ht="15">
      <c r="A4769" s="120" t="s">
        <v>591</v>
      </c>
      <c r="B4769" s="121">
        <v>21</v>
      </c>
      <c r="C4769" s="121">
        <v>21</v>
      </c>
      <c r="D4769" s="121">
        <v>8</v>
      </c>
      <c r="E4769" s="121">
        <v>9265</v>
      </c>
    </row>
    <row r="4770" spans="1:5" ht="15">
      <c r="A4770" s="120" t="s">
        <v>591</v>
      </c>
      <c r="B4770" s="121">
        <v>21</v>
      </c>
      <c r="C4770" s="121">
        <v>26</v>
      </c>
      <c r="D4770" s="121">
        <v>2</v>
      </c>
      <c r="E4770" s="121">
        <v>209319</v>
      </c>
    </row>
    <row r="4771" spans="1:5" ht="15">
      <c r="A4771" s="120" t="s">
        <v>591</v>
      </c>
      <c r="B4771" s="121">
        <v>21</v>
      </c>
      <c r="C4771" s="121">
        <v>26</v>
      </c>
      <c r="D4771" s="121">
        <v>4</v>
      </c>
      <c r="E4771" s="121">
        <v>63526</v>
      </c>
    </row>
    <row r="4772" spans="1:5" ht="15">
      <c r="A4772" s="120" t="s">
        <v>591</v>
      </c>
      <c r="B4772" s="121">
        <v>21</v>
      </c>
      <c r="C4772" s="121">
        <v>26</v>
      </c>
      <c r="D4772" s="121">
        <v>5</v>
      </c>
      <c r="E4772" s="121">
        <v>9474</v>
      </c>
    </row>
    <row r="4773" spans="1:5" ht="15">
      <c r="A4773" s="120" t="s">
        <v>591</v>
      </c>
      <c r="B4773" s="121">
        <v>21</v>
      </c>
      <c r="C4773" s="121">
        <v>26</v>
      </c>
      <c r="D4773" s="121">
        <v>7</v>
      </c>
      <c r="E4773" s="121">
        <v>730584</v>
      </c>
    </row>
    <row r="4774" spans="1:5" ht="15">
      <c r="A4774" s="120" t="s">
        <v>591</v>
      </c>
      <c r="B4774" s="121">
        <v>21</v>
      </c>
      <c r="C4774" s="121">
        <v>27</v>
      </c>
      <c r="D4774" s="121">
        <v>2</v>
      </c>
      <c r="E4774" s="121">
        <v>1226797</v>
      </c>
    </row>
    <row r="4775" spans="1:5" ht="15">
      <c r="A4775" s="120" t="s">
        <v>591</v>
      </c>
      <c r="B4775" s="121">
        <v>21</v>
      </c>
      <c r="C4775" s="121">
        <v>27</v>
      </c>
      <c r="D4775" s="121">
        <v>3</v>
      </c>
      <c r="E4775" s="121">
        <v>658236</v>
      </c>
    </row>
    <row r="4776" spans="1:5" ht="15">
      <c r="A4776" s="120" t="s">
        <v>591</v>
      </c>
      <c r="B4776" s="121">
        <v>21</v>
      </c>
      <c r="C4776" s="121">
        <v>27</v>
      </c>
      <c r="D4776" s="121">
        <v>4</v>
      </c>
      <c r="E4776" s="121">
        <v>755724</v>
      </c>
    </row>
    <row r="4777" spans="1:5" ht="15">
      <c r="A4777" s="120" t="s">
        <v>591</v>
      </c>
      <c r="B4777" s="121">
        <v>21</v>
      </c>
      <c r="C4777" s="121">
        <v>27</v>
      </c>
      <c r="D4777" s="121">
        <v>5</v>
      </c>
      <c r="E4777" s="121">
        <v>7491</v>
      </c>
    </row>
    <row r="4778" spans="1:5" ht="15">
      <c r="A4778" s="120" t="s">
        <v>591</v>
      </c>
      <c r="B4778" s="121">
        <v>21</v>
      </c>
      <c r="C4778" s="121">
        <v>27</v>
      </c>
      <c r="D4778" s="121">
        <v>7</v>
      </c>
      <c r="E4778" s="121">
        <v>34500</v>
      </c>
    </row>
    <row r="4779" spans="1:5" ht="15">
      <c r="A4779" s="120" t="s">
        <v>591</v>
      </c>
      <c r="B4779" s="121">
        <v>21</v>
      </c>
      <c r="C4779" s="121">
        <v>31</v>
      </c>
      <c r="D4779" s="121">
        <v>2</v>
      </c>
      <c r="E4779" s="121">
        <v>10107</v>
      </c>
    </row>
    <row r="4780" spans="1:5" ht="15">
      <c r="A4780" s="120" t="s">
        <v>591</v>
      </c>
      <c r="B4780" s="121">
        <v>21</v>
      </c>
      <c r="C4780" s="121">
        <v>31</v>
      </c>
      <c r="D4780" s="121">
        <v>3</v>
      </c>
      <c r="E4780" s="121">
        <v>676</v>
      </c>
    </row>
    <row r="4781" spans="1:5" ht="15">
      <c r="A4781" s="120" t="s">
        <v>591</v>
      </c>
      <c r="B4781" s="121">
        <v>21</v>
      </c>
      <c r="C4781" s="121">
        <v>31</v>
      </c>
      <c r="D4781" s="121">
        <v>4</v>
      </c>
      <c r="E4781" s="121">
        <v>1764</v>
      </c>
    </row>
    <row r="4782" spans="1:5" ht="15">
      <c r="A4782" s="120" t="s">
        <v>591</v>
      </c>
      <c r="B4782" s="121">
        <v>21</v>
      </c>
      <c r="C4782" s="121">
        <v>31</v>
      </c>
      <c r="D4782" s="121">
        <v>7</v>
      </c>
      <c r="E4782" s="121">
        <v>859</v>
      </c>
    </row>
    <row r="4783" spans="1:5" ht="15">
      <c r="A4783" s="120" t="s">
        <v>591</v>
      </c>
      <c r="B4783" s="121">
        <v>21</v>
      </c>
      <c r="C4783" s="121">
        <v>31</v>
      </c>
      <c r="D4783" s="121">
        <v>8</v>
      </c>
      <c r="E4783" s="121">
        <v>3108</v>
      </c>
    </row>
    <row r="4784" spans="1:5" ht="15">
      <c r="A4784" s="120" t="s">
        <v>591</v>
      </c>
      <c r="B4784" s="121">
        <v>21</v>
      </c>
      <c r="C4784" s="121">
        <v>32</v>
      </c>
      <c r="D4784" s="121">
        <v>5</v>
      </c>
      <c r="E4784" s="121">
        <v>4273</v>
      </c>
    </row>
    <row r="4785" spans="1:5" ht="15">
      <c r="A4785" s="120" t="s">
        <v>591</v>
      </c>
      <c r="B4785" s="121">
        <v>21</v>
      </c>
      <c r="C4785" s="121">
        <v>32</v>
      </c>
      <c r="D4785" s="121">
        <v>7</v>
      </c>
      <c r="E4785" s="121">
        <v>1285</v>
      </c>
    </row>
    <row r="4786" spans="1:5" ht="15">
      <c r="A4786" s="120" t="s">
        <v>591</v>
      </c>
      <c r="B4786" s="121">
        <v>21</v>
      </c>
      <c r="C4786" s="121">
        <v>33</v>
      </c>
      <c r="D4786" s="121">
        <v>5</v>
      </c>
      <c r="E4786" s="121">
        <v>2484</v>
      </c>
    </row>
    <row r="4787" spans="1:5" ht="15">
      <c r="A4787" s="120" t="s">
        <v>591</v>
      </c>
      <c r="B4787" s="121">
        <v>21</v>
      </c>
      <c r="C4787" s="121">
        <v>34</v>
      </c>
      <c r="D4787" s="121">
        <v>2</v>
      </c>
      <c r="E4787" s="121">
        <v>21494</v>
      </c>
    </row>
    <row r="4788" spans="1:5" ht="15">
      <c r="A4788" s="120" t="s">
        <v>591</v>
      </c>
      <c r="B4788" s="121">
        <v>21</v>
      </c>
      <c r="C4788" s="121">
        <v>34</v>
      </c>
      <c r="D4788" s="121">
        <v>4</v>
      </c>
      <c r="E4788" s="121">
        <v>3539</v>
      </c>
    </row>
    <row r="4789" spans="1:5" ht="15">
      <c r="A4789" s="120" t="s">
        <v>591</v>
      </c>
      <c r="B4789" s="121">
        <v>24</v>
      </c>
      <c r="C4789" s="121">
        <v>26</v>
      </c>
      <c r="D4789" s="121">
        <v>7</v>
      </c>
      <c r="E4789" s="121">
        <v>292</v>
      </c>
    </row>
    <row r="4790" spans="1:5" ht="15">
      <c r="A4790" s="120" t="s">
        <v>591</v>
      </c>
      <c r="B4790" s="121">
        <v>24</v>
      </c>
      <c r="C4790" s="121">
        <v>27</v>
      </c>
      <c r="D4790" s="121">
        <v>2</v>
      </c>
      <c r="E4790" s="121">
        <v>12720</v>
      </c>
    </row>
    <row r="4791" spans="1:5" ht="15">
      <c r="A4791" s="120" t="s">
        <v>591</v>
      </c>
      <c r="B4791" s="121">
        <v>24</v>
      </c>
      <c r="C4791" s="121">
        <v>27</v>
      </c>
      <c r="D4791" s="121">
        <v>3</v>
      </c>
      <c r="E4791" s="121">
        <v>352426</v>
      </c>
    </row>
    <row r="4792" spans="1:5" ht="15">
      <c r="A4792" s="120" t="s">
        <v>591</v>
      </c>
      <c r="B4792" s="121">
        <v>24</v>
      </c>
      <c r="C4792" s="121">
        <v>27</v>
      </c>
      <c r="D4792" s="121">
        <v>4</v>
      </c>
      <c r="E4792" s="121">
        <v>219119</v>
      </c>
    </row>
    <row r="4793" spans="1:5" ht="15">
      <c r="A4793" s="120" t="s">
        <v>591</v>
      </c>
      <c r="B4793" s="121">
        <v>24</v>
      </c>
      <c r="C4793" s="121">
        <v>31</v>
      </c>
      <c r="D4793" s="121">
        <v>3</v>
      </c>
      <c r="E4793" s="121">
        <v>144</v>
      </c>
    </row>
    <row r="4794" spans="1:5" ht="15">
      <c r="A4794" s="120" t="s">
        <v>591</v>
      </c>
      <c r="B4794" s="121">
        <v>24</v>
      </c>
      <c r="C4794" s="121">
        <v>31</v>
      </c>
      <c r="D4794" s="121">
        <v>4</v>
      </c>
      <c r="E4794" s="121">
        <v>22</v>
      </c>
    </row>
    <row r="4795" spans="1:5" ht="15">
      <c r="A4795" s="120" t="s">
        <v>539</v>
      </c>
      <c r="B4795" s="121">
        <v>21</v>
      </c>
      <c r="C4795" s="121">
        <v>27</v>
      </c>
      <c r="D4795" s="121">
        <v>2</v>
      </c>
      <c r="E4795" s="121">
        <v>159382</v>
      </c>
    </row>
    <row r="4796" spans="1:5" ht="15">
      <c r="A4796" s="120" t="s">
        <v>539</v>
      </c>
      <c r="B4796" s="121">
        <v>21</v>
      </c>
      <c r="C4796" s="121">
        <v>27</v>
      </c>
      <c r="D4796" s="121">
        <v>3</v>
      </c>
      <c r="E4796" s="121">
        <v>54548</v>
      </c>
    </row>
    <row r="4797" spans="1:5" ht="15">
      <c r="A4797" s="120" t="s">
        <v>539</v>
      </c>
      <c r="B4797" s="121">
        <v>21</v>
      </c>
      <c r="C4797" s="121">
        <v>27</v>
      </c>
      <c r="D4797" s="121">
        <v>4</v>
      </c>
      <c r="E4797" s="121">
        <v>81450</v>
      </c>
    </row>
    <row r="4798" spans="1:5" ht="15">
      <c r="A4798" s="120" t="s">
        <v>539</v>
      </c>
      <c r="B4798" s="121">
        <v>21</v>
      </c>
      <c r="C4798" s="121">
        <v>27</v>
      </c>
      <c r="D4798" s="121">
        <v>7</v>
      </c>
      <c r="E4798" s="121">
        <v>422601</v>
      </c>
    </row>
    <row r="4799" spans="1:5" ht="15">
      <c r="A4799" s="120" t="s">
        <v>539</v>
      </c>
      <c r="B4799" s="121">
        <v>24</v>
      </c>
      <c r="C4799" s="121">
        <v>27</v>
      </c>
      <c r="D4799" s="121">
        <v>2</v>
      </c>
      <c r="E4799" s="121">
        <v>28126</v>
      </c>
    </row>
    <row r="4800" spans="1:5" ht="15">
      <c r="A4800" s="120" t="s">
        <v>539</v>
      </c>
      <c r="B4800" s="121">
        <v>24</v>
      </c>
      <c r="C4800" s="121">
        <v>27</v>
      </c>
      <c r="D4800" s="121">
        <v>4</v>
      </c>
      <c r="E4800" s="121">
        <v>9869</v>
      </c>
    </row>
    <row r="4801" spans="1:5" ht="15">
      <c r="A4801" s="120" t="s">
        <v>565</v>
      </c>
      <c r="B4801" s="121">
        <v>21</v>
      </c>
      <c r="C4801" s="121">
        <v>21</v>
      </c>
      <c r="D4801" s="121">
        <v>2</v>
      </c>
      <c r="E4801" s="121">
        <v>201159</v>
      </c>
    </row>
    <row r="4802" spans="1:5" ht="15">
      <c r="A4802" s="120" t="s">
        <v>565</v>
      </c>
      <c r="B4802" s="121">
        <v>21</v>
      </c>
      <c r="C4802" s="121">
        <v>21</v>
      </c>
      <c r="D4802" s="121">
        <v>3</v>
      </c>
      <c r="E4802" s="121">
        <v>36972</v>
      </c>
    </row>
    <row r="4803" spans="1:5" ht="15">
      <c r="A4803" s="120" t="s">
        <v>565</v>
      </c>
      <c r="B4803" s="121">
        <v>21</v>
      </c>
      <c r="C4803" s="121">
        <v>21</v>
      </c>
      <c r="D4803" s="121">
        <v>4</v>
      </c>
      <c r="E4803" s="121">
        <v>70345</v>
      </c>
    </row>
    <row r="4804" spans="1:5" ht="15">
      <c r="A4804" s="120" t="s">
        <v>565</v>
      </c>
      <c r="B4804" s="121">
        <v>21</v>
      </c>
      <c r="C4804" s="121">
        <v>21</v>
      </c>
      <c r="D4804" s="121">
        <v>5</v>
      </c>
      <c r="E4804" s="121">
        <v>1000</v>
      </c>
    </row>
    <row r="4805" spans="1:5" ht="15">
      <c r="A4805" s="120" t="s">
        <v>565</v>
      </c>
      <c r="B4805" s="121">
        <v>21</v>
      </c>
      <c r="C4805" s="121">
        <v>21</v>
      </c>
      <c r="D4805" s="121">
        <v>7</v>
      </c>
      <c r="E4805" s="121">
        <v>5000</v>
      </c>
    </row>
    <row r="4806" spans="1:5" ht="15">
      <c r="A4806" s="120" t="s">
        <v>565</v>
      </c>
      <c r="B4806" s="121">
        <v>21</v>
      </c>
      <c r="C4806" s="121">
        <v>23</v>
      </c>
      <c r="D4806" s="121">
        <v>3</v>
      </c>
      <c r="E4806" s="121">
        <v>83262</v>
      </c>
    </row>
    <row r="4807" spans="1:5" ht="15">
      <c r="A4807" s="120" t="s">
        <v>565</v>
      </c>
      <c r="B4807" s="121">
        <v>21</v>
      </c>
      <c r="C4807" s="121">
        <v>23</v>
      </c>
      <c r="D4807" s="121">
        <v>4</v>
      </c>
      <c r="E4807" s="121">
        <v>33075</v>
      </c>
    </row>
    <row r="4808" spans="1:5" ht="15">
      <c r="A4808" s="120" t="s">
        <v>565</v>
      </c>
      <c r="B4808" s="121">
        <v>21</v>
      </c>
      <c r="C4808" s="121">
        <v>26</v>
      </c>
      <c r="D4808" s="121">
        <v>2</v>
      </c>
      <c r="E4808" s="121">
        <v>996579</v>
      </c>
    </row>
    <row r="4809" spans="1:5" ht="15">
      <c r="A4809" s="120" t="s">
        <v>565</v>
      </c>
      <c r="B4809" s="121">
        <v>21</v>
      </c>
      <c r="C4809" s="121">
        <v>26</v>
      </c>
      <c r="D4809" s="121">
        <v>3</v>
      </c>
      <c r="E4809" s="121">
        <v>50513</v>
      </c>
    </row>
    <row r="4810" spans="1:5" ht="15">
      <c r="A4810" s="120" t="s">
        <v>565</v>
      </c>
      <c r="B4810" s="121">
        <v>21</v>
      </c>
      <c r="C4810" s="121">
        <v>26</v>
      </c>
      <c r="D4810" s="121">
        <v>4</v>
      </c>
      <c r="E4810" s="121">
        <v>345564</v>
      </c>
    </row>
    <row r="4811" spans="1:5" ht="15">
      <c r="A4811" s="120" t="s">
        <v>565</v>
      </c>
      <c r="B4811" s="121">
        <v>21</v>
      </c>
      <c r="C4811" s="121">
        <v>26</v>
      </c>
      <c r="D4811" s="121">
        <v>5</v>
      </c>
      <c r="E4811" s="121">
        <v>24183</v>
      </c>
    </row>
    <row r="4812" spans="1:5" ht="15">
      <c r="A4812" s="120" t="s">
        <v>565</v>
      </c>
      <c r="B4812" s="121">
        <v>21</v>
      </c>
      <c r="C4812" s="121">
        <v>26</v>
      </c>
      <c r="D4812" s="121">
        <v>7</v>
      </c>
      <c r="E4812" s="121">
        <v>375146</v>
      </c>
    </row>
    <row r="4813" spans="1:5" ht="15">
      <c r="A4813" s="120" t="s">
        <v>565</v>
      </c>
      <c r="B4813" s="121">
        <v>21</v>
      </c>
      <c r="C4813" s="121">
        <v>27</v>
      </c>
      <c r="D4813" s="121">
        <v>2</v>
      </c>
      <c r="E4813" s="121">
        <v>1992665</v>
      </c>
    </row>
    <row r="4814" spans="1:5" ht="15">
      <c r="A4814" s="120" t="s">
        <v>565</v>
      </c>
      <c r="B4814" s="121">
        <v>21</v>
      </c>
      <c r="C4814" s="121">
        <v>27</v>
      </c>
      <c r="D4814" s="121">
        <v>3</v>
      </c>
      <c r="E4814" s="121">
        <v>636551</v>
      </c>
    </row>
    <row r="4815" spans="1:5" ht="15">
      <c r="A4815" s="120" t="s">
        <v>565</v>
      </c>
      <c r="B4815" s="121">
        <v>21</v>
      </c>
      <c r="C4815" s="121">
        <v>27</v>
      </c>
      <c r="D4815" s="121">
        <v>4</v>
      </c>
      <c r="E4815" s="121">
        <v>980251</v>
      </c>
    </row>
    <row r="4816" spans="1:5" ht="15">
      <c r="A4816" s="120" t="s">
        <v>565</v>
      </c>
      <c r="B4816" s="121">
        <v>21</v>
      </c>
      <c r="C4816" s="121">
        <v>27</v>
      </c>
      <c r="D4816" s="121">
        <v>5</v>
      </c>
      <c r="E4816" s="121">
        <v>7050</v>
      </c>
    </row>
    <row r="4817" spans="1:5" ht="15">
      <c r="A4817" s="120" t="s">
        <v>565</v>
      </c>
      <c r="B4817" s="121">
        <v>21</v>
      </c>
      <c r="C4817" s="121">
        <v>27</v>
      </c>
      <c r="D4817" s="121">
        <v>7</v>
      </c>
      <c r="E4817" s="121">
        <v>411158</v>
      </c>
    </row>
    <row r="4818" spans="1:5" ht="15">
      <c r="A4818" s="120" t="s">
        <v>565</v>
      </c>
      <c r="B4818" s="121">
        <v>21</v>
      </c>
      <c r="C4818" s="121">
        <v>31</v>
      </c>
      <c r="D4818" s="121">
        <v>7</v>
      </c>
      <c r="E4818" s="121">
        <v>8000</v>
      </c>
    </row>
    <row r="4819" spans="1:5" ht="15">
      <c r="A4819" s="120" t="s">
        <v>565</v>
      </c>
      <c r="B4819" s="121">
        <v>21</v>
      </c>
      <c r="C4819" s="121">
        <v>31</v>
      </c>
      <c r="D4819" s="121">
        <v>8</v>
      </c>
      <c r="E4819" s="121">
        <v>4000</v>
      </c>
    </row>
    <row r="4820" spans="1:5" ht="15">
      <c r="A4820" s="120" t="s">
        <v>303</v>
      </c>
      <c r="B4820" s="121">
        <v>24</v>
      </c>
      <c r="C4820" s="121">
        <v>24</v>
      </c>
      <c r="D4820" s="121">
        <v>2</v>
      </c>
      <c r="E4820" s="121">
        <v>102023</v>
      </c>
    </row>
    <row r="4821" spans="1:5" ht="15">
      <c r="A4821" s="120" t="s">
        <v>303</v>
      </c>
      <c r="B4821" s="121">
        <v>24</v>
      </c>
      <c r="C4821" s="121">
        <v>24</v>
      </c>
      <c r="D4821" s="121">
        <v>4</v>
      </c>
      <c r="E4821" s="121">
        <v>32383</v>
      </c>
    </row>
    <row r="4822" spans="1:5" ht="15">
      <c r="A4822" s="120" t="s">
        <v>303</v>
      </c>
      <c r="B4822" s="121">
        <v>24</v>
      </c>
      <c r="C4822" s="121">
        <v>26</v>
      </c>
      <c r="D4822" s="121">
        <v>2</v>
      </c>
      <c r="E4822" s="121">
        <v>454245</v>
      </c>
    </row>
    <row r="4823" spans="1:5" ht="15">
      <c r="A4823" s="120" t="s">
        <v>303</v>
      </c>
      <c r="B4823" s="121">
        <v>24</v>
      </c>
      <c r="C4823" s="121">
        <v>26</v>
      </c>
      <c r="D4823" s="121">
        <v>4</v>
      </c>
      <c r="E4823" s="121">
        <v>136607</v>
      </c>
    </row>
    <row r="4824" spans="1:5" ht="15">
      <c r="A4824" s="120" t="s">
        <v>303</v>
      </c>
      <c r="B4824" s="121">
        <v>24</v>
      </c>
      <c r="C4824" s="121">
        <v>27</v>
      </c>
      <c r="D4824" s="121">
        <v>3</v>
      </c>
      <c r="E4824" s="121">
        <v>84037</v>
      </c>
    </row>
    <row r="4825" spans="1:5" ht="15">
      <c r="A4825" s="120" t="s">
        <v>303</v>
      </c>
      <c r="B4825" s="121">
        <v>24</v>
      </c>
      <c r="C4825" s="121">
        <v>27</v>
      </c>
      <c r="D4825" s="121">
        <v>4</v>
      </c>
      <c r="E4825" s="121">
        <v>47281</v>
      </c>
    </row>
    <row r="4826" spans="1:5" ht="15">
      <c r="A4826" s="120" t="s">
        <v>303</v>
      </c>
      <c r="B4826" s="121">
        <v>24</v>
      </c>
      <c r="C4826" s="121">
        <v>31</v>
      </c>
      <c r="D4826" s="121">
        <v>2</v>
      </c>
      <c r="E4826" s="121">
        <v>3443</v>
      </c>
    </row>
    <row r="4827" spans="1:5" ht="15">
      <c r="A4827" s="120" t="s">
        <v>303</v>
      </c>
      <c r="B4827" s="121">
        <v>24</v>
      </c>
      <c r="C4827" s="121">
        <v>31</v>
      </c>
      <c r="D4827" s="121">
        <v>4</v>
      </c>
      <c r="E4827" s="121">
        <v>563</v>
      </c>
    </row>
    <row r="4828" spans="1:5" ht="15">
      <c r="A4828" s="120" t="s">
        <v>565</v>
      </c>
      <c r="B4828" s="121">
        <v>24</v>
      </c>
      <c r="C4828" s="121">
        <v>27</v>
      </c>
      <c r="D4828" s="121">
        <v>3</v>
      </c>
      <c r="E4828" s="121">
        <v>474746</v>
      </c>
    </row>
    <row r="4829" spans="1:5" ht="15">
      <c r="A4829" s="120" t="s">
        <v>565</v>
      </c>
      <c r="B4829" s="121">
        <v>24</v>
      </c>
      <c r="C4829" s="121">
        <v>27</v>
      </c>
      <c r="D4829" s="121">
        <v>4</v>
      </c>
      <c r="E4829" s="121">
        <v>314998</v>
      </c>
    </row>
    <row r="4830" spans="1:5" ht="15">
      <c r="A4830" s="120" t="s">
        <v>565</v>
      </c>
      <c r="B4830" s="121">
        <v>24</v>
      </c>
      <c r="C4830" s="121">
        <v>27</v>
      </c>
      <c r="D4830" s="121">
        <v>5</v>
      </c>
      <c r="E4830" s="121">
        <v>45417</v>
      </c>
    </row>
    <row r="4831" spans="1:5" ht="15">
      <c r="A4831" s="120" t="s">
        <v>565</v>
      </c>
      <c r="B4831" s="121">
        <v>29</v>
      </c>
      <c r="C4831" s="121">
        <v>26</v>
      </c>
      <c r="D4831" s="121">
        <v>3</v>
      </c>
      <c r="E4831" s="121">
        <v>50172</v>
      </c>
    </row>
    <row r="4832" spans="1:5" ht="15">
      <c r="A4832" s="120" t="s">
        <v>565</v>
      </c>
      <c r="B4832" s="121">
        <v>29</v>
      </c>
      <c r="C4832" s="121">
        <v>26</v>
      </c>
      <c r="D4832" s="121">
        <v>4</v>
      </c>
      <c r="E4832" s="121">
        <v>23792</v>
      </c>
    </row>
    <row r="4833" spans="1:5" ht="15">
      <c r="A4833" s="120" t="s">
        <v>565</v>
      </c>
      <c r="B4833" s="121">
        <v>29</v>
      </c>
      <c r="C4833" s="121">
        <v>27</v>
      </c>
      <c r="D4833" s="121">
        <v>5</v>
      </c>
      <c r="E4833" s="121">
        <v>11036</v>
      </c>
    </row>
    <row r="4834" spans="1:5" ht="15">
      <c r="A4834" s="120" t="s">
        <v>533</v>
      </c>
      <c r="B4834" s="121">
        <v>21</v>
      </c>
      <c r="C4834" s="121">
        <v>21</v>
      </c>
      <c r="D4834" s="121">
        <v>2</v>
      </c>
      <c r="E4834" s="121">
        <v>210197</v>
      </c>
    </row>
    <row r="4835" spans="1:5" ht="15">
      <c r="A4835" s="120" t="s">
        <v>533</v>
      </c>
      <c r="B4835" s="121">
        <v>21</v>
      </c>
      <c r="C4835" s="121">
        <v>21</v>
      </c>
      <c r="D4835" s="121">
        <v>4</v>
      </c>
      <c r="E4835" s="121">
        <v>51564</v>
      </c>
    </row>
    <row r="4836" spans="1:5" ht="15">
      <c r="A4836" s="120" t="s">
        <v>533</v>
      </c>
      <c r="B4836" s="121">
        <v>21</v>
      </c>
      <c r="C4836" s="121">
        <v>26</v>
      </c>
      <c r="D4836" s="121">
        <v>2</v>
      </c>
      <c r="E4836" s="121">
        <v>876727</v>
      </c>
    </row>
    <row r="4837" spans="1:5" ht="15">
      <c r="A4837" s="120" t="s">
        <v>533</v>
      </c>
      <c r="B4837" s="121">
        <v>21</v>
      </c>
      <c r="C4837" s="121">
        <v>26</v>
      </c>
      <c r="D4837" s="121">
        <v>4</v>
      </c>
      <c r="E4837" s="121">
        <v>268548</v>
      </c>
    </row>
    <row r="4838" spans="1:5" ht="15">
      <c r="A4838" s="120" t="s">
        <v>533</v>
      </c>
      <c r="B4838" s="121">
        <v>21</v>
      </c>
      <c r="C4838" s="121">
        <v>27</v>
      </c>
      <c r="D4838" s="121">
        <v>2</v>
      </c>
      <c r="E4838" s="121">
        <v>1853660</v>
      </c>
    </row>
    <row r="4839" spans="1:5" ht="15">
      <c r="A4839" s="120" t="s">
        <v>533</v>
      </c>
      <c r="B4839" s="121">
        <v>21</v>
      </c>
      <c r="C4839" s="121">
        <v>27</v>
      </c>
      <c r="D4839" s="121">
        <v>3</v>
      </c>
      <c r="E4839" s="121">
        <v>1159958</v>
      </c>
    </row>
    <row r="4840" spans="1:5" ht="15">
      <c r="A4840" s="120" t="s">
        <v>533</v>
      </c>
      <c r="B4840" s="121">
        <v>21</v>
      </c>
      <c r="C4840" s="121">
        <v>27</v>
      </c>
      <c r="D4840" s="121">
        <v>4</v>
      </c>
      <c r="E4840" s="121">
        <v>1283094</v>
      </c>
    </row>
    <row r="4841" spans="1:5" ht="15">
      <c r="A4841" s="120" t="s">
        <v>533</v>
      </c>
      <c r="B4841" s="121">
        <v>21</v>
      </c>
      <c r="C4841" s="121">
        <v>27</v>
      </c>
      <c r="D4841" s="121">
        <v>7</v>
      </c>
      <c r="E4841" s="121">
        <v>1827224</v>
      </c>
    </row>
    <row r="4842" spans="1:5" ht="15">
      <c r="A4842" s="120" t="s">
        <v>533</v>
      </c>
      <c r="B4842" s="121">
        <v>24</v>
      </c>
      <c r="C4842" s="121">
        <v>27</v>
      </c>
      <c r="D4842" s="121">
        <v>2</v>
      </c>
      <c r="E4842" s="121">
        <v>61857</v>
      </c>
    </row>
    <row r="4843" spans="1:5" ht="15">
      <c r="A4843" s="120" t="s">
        <v>533</v>
      </c>
      <c r="B4843" s="121">
        <v>24</v>
      </c>
      <c r="C4843" s="121">
        <v>27</v>
      </c>
      <c r="D4843" s="121">
        <v>3</v>
      </c>
      <c r="E4843" s="121">
        <v>3275</v>
      </c>
    </row>
    <row r="4844" spans="1:5" ht="15">
      <c r="A4844" s="120" t="s">
        <v>533</v>
      </c>
      <c r="B4844" s="121">
        <v>24</v>
      </c>
      <c r="C4844" s="121">
        <v>27</v>
      </c>
      <c r="D4844" s="121">
        <v>4</v>
      </c>
      <c r="E4844" s="121">
        <v>26140</v>
      </c>
    </row>
    <row r="4845" spans="1:5" ht="15">
      <c r="A4845" s="120" t="s">
        <v>533</v>
      </c>
      <c r="B4845" s="121">
        <v>24</v>
      </c>
      <c r="C4845" s="121">
        <v>27</v>
      </c>
      <c r="D4845" s="121">
        <v>7</v>
      </c>
      <c r="E4845" s="121">
        <v>250000</v>
      </c>
    </row>
    <row r="4846" spans="1:5" ht="15">
      <c r="A4846" s="120" t="s">
        <v>533</v>
      </c>
      <c r="B4846" s="121">
        <v>24</v>
      </c>
      <c r="C4846" s="121">
        <v>29</v>
      </c>
      <c r="D4846" s="121">
        <v>7</v>
      </c>
      <c r="E4846" s="121">
        <v>131654</v>
      </c>
    </row>
    <row r="4847" spans="1:5" ht="15">
      <c r="A4847" s="120" t="s">
        <v>541</v>
      </c>
      <c r="B4847" s="121">
        <v>21</v>
      </c>
      <c r="C4847" s="121">
        <v>21</v>
      </c>
      <c r="D4847" s="121">
        <v>2</v>
      </c>
      <c r="E4847" s="121">
        <v>16400</v>
      </c>
    </row>
    <row r="4848" spans="1:5" ht="15">
      <c r="A4848" s="120" t="s">
        <v>541</v>
      </c>
      <c r="B4848" s="121">
        <v>21</v>
      </c>
      <c r="C4848" s="121">
        <v>21</v>
      </c>
      <c r="D4848" s="121">
        <v>4</v>
      </c>
      <c r="E4848" s="121">
        <v>5807</v>
      </c>
    </row>
    <row r="4849" spans="1:5" ht="15">
      <c r="A4849" s="120" t="s">
        <v>541</v>
      </c>
      <c r="B4849" s="121">
        <v>21</v>
      </c>
      <c r="C4849" s="121">
        <v>26</v>
      </c>
      <c r="D4849" s="121">
        <v>7</v>
      </c>
      <c r="E4849" s="121">
        <v>26914</v>
      </c>
    </row>
    <row r="4850" spans="1:5" ht="15">
      <c r="A4850" s="120" t="s">
        <v>541</v>
      </c>
      <c r="B4850" s="121">
        <v>21</v>
      </c>
      <c r="C4850" s="121">
        <v>27</v>
      </c>
      <c r="D4850" s="121">
        <v>2</v>
      </c>
      <c r="E4850" s="121">
        <v>59478</v>
      </c>
    </row>
    <row r="4851" spans="1:5" ht="15">
      <c r="A4851" s="120" t="s">
        <v>541</v>
      </c>
      <c r="B4851" s="121">
        <v>21</v>
      </c>
      <c r="C4851" s="121">
        <v>27</v>
      </c>
      <c r="D4851" s="121">
        <v>3</v>
      </c>
      <c r="E4851" s="121">
        <v>31801</v>
      </c>
    </row>
    <row r="4852" spans="1:5" ht="15">
      <c r="A4852" s="120" t="s">
        <v>541</v>
      </c>
      <c r="B4852" s="121">
        <v>21</v>
      </c>
      <c r="C4852" s="121">
        <v>27</v>
      </c>
      <c r="D4852" s="121">
        <v>4</v>
      </c>
      <c r="E4852" s="121">
        <v>43077</v>
      </c>
    </row>
    <row r="4853" spans="1:5" ht="15">
      <c r="A4853" s="120" t="s">
        <v>541</v>
      </c>
      <c r="B4853" s="121">
        <v>21</v>
      </c>
      <c r="C4853" s="121">
        <v>27</v>
      </c>
      <c r="D4853" s="121">
        <v>7</v>
      </c>
      <c r="E4853" s="121">
        <v>1400</v>
      </c>
    </row>
    <row r="4854" spans="1:5" ht="15">
      <c r="A4854" s="120" t="s">
        <v>541</v>
      </c>
      <c r="B4854" s="121">
        <v>21</v>
      </c>
      <c r="C4854" s="121">
        <v>33</v>
      </c>
      <c r="D4854" s="121">
        <v>5</v>
      </c>
      <c r="E4854" s="121">
        <v>200</v>
      </c>
    </row>
    <row r="4855" spans="1:5" ht="15">
      <c r="A4855" s="120" t="s">
        <v>601</v>
      </c>
      <c r="B4855" s="121">
        <v>21</v>
      </c>
      <c r="C4855" s="121">
        <v>21</v>
      </c>
      <c r="D4855" s="121">
        <v>2</v>
      </c>
      <c r="E4855" s="121">
        <v>143256</v>
      </c>
    </row>
    <row r="4856" spans="1:5" ht="15">
      <c r="A4856" s="120" t="s">
        <v>601</v>
      </c>
      <c r="B4856" s="121">
        <v>21</v>
      </c>
      <c r="C4856" s="121">
        <v>21</v>
      </c>
      <c r="D4856" s="121">
        <v>3</v>
      </c>
      <c r="E4856" s="121">
        <v>39737</v>
      </c>
    </row>
    <row r="4857" spans="1:5" ht="15">
      <c r="A4857" s="120" t="s">
        <v>601</v>
      </c>
      <c r="B4857" s="121">
        <v>21</v>
      </c>
      <c r="C4857" s="121">
        <v>21</v>
      </c>
      <c r="D4857" s="121">
        <v>4</v>
      </c>
      <c r="E4857" s="121">
        <v>60774</v>
      </c>
    </row>
    <row r="4858" spans="1:5" ht="15">
      <c r="A4858" s="120" t="s">
        <v>601</v>
      </c>
      <c r="B4858" s="121">
        <v>21</v>
      </c>
      <c r="C4858" s="121">
        <v>21</v>
      </c>
      <c r="D4858" s="121">
        <v>5</v>
      </c>
      <c r="E4858" s="121">
        <v>500</v>
      </c>
    </row>
    <row r="4859" spans="1:5" ht="15">
      <c r="A4859" s="120" t="s">
        <v>601</v>
      </c>
      <c r="B4859" s="121">
        <v>21</v>
      </c>
      <c r="C4859" s="121">
        <v>21</v>
      </c>
      <c r="D4859" s="121">
        <v>7</v>
      </c>
      <c r="E4859" s="121">
        <v>2800</v>
      </c>
    </row>
    <row r="4860" spans="1:5" ht="15">
      <c r="A4860" s="120" t="s">
        <v>601</v>
      </c>
      <c r="B4860" s="121">
        <v>21</v>
      </c>
      <c r="C4860" s="121">
        <v>21</v>
      </c>
      <c r="D4860" s="121">
        <v>8</v>
      </c>
      <c r="E4860" s="121">
        <v>500</v>
      </c>
    </row>
    <row r="4861" spans="1:5" ht="15">
      <c r="A4861" s="120" t="s">
        <v>601</v>
      </c>
      <c r="B4861" s="121">
        <v>21</v>
      </c>
      <c r="C4861" s="121">
        <v>26</v>
      </c>
      <c r="D4861" s="121">
        <v>2</v>
      </c>
      <c r="E4861" s="121">
        <v>979874</v>
      </c>
    </row>
    <row r="4862" spans="1:5" ht="15">
      <c r="A4862" s="120" t="s">
        <v>601</v>
      </c>
      <c r="B4862" s="121">
        <v>21</v>
      </c>
      <c r="C4862" s="121">
        <v>26</v>
      </c>
      <c r="D4862" s="121">
        <v>4</v>
      </c>
      <c r="E4862" s="121">
        <v>328365</v>
      </c>
    </row>
    <row r="4863" spans="1:5" ht="15">
      <c r="A4863" s="120" t="s">
        <v>601</v>
      </c>
      <c r="B4863" s="121">
        <v>21</v>
      </c>
      <c r="C4863" s="121">
        <v>26</v>
      </c>
      <c r="D4863" s="121">
        <v>5</v>
      </c>
      <c r="E4863" s="121">
        <v>3000</v>
      </c>
    </row>
    <row r="4864" spans="1:5" ht="15">
      <c r="A4864" s="120" t="s">
        <v>601</v>
      </c>
      <c r="B4864" s="121">
        <v>21</v>
      </c>
      <c r="C4864" s="121">
        <v>26</v>
      </c>
      <c r="D4864" s="121">
        <v>7</v>
      </c>
      <c r="E4864" s="121">
        <v>7000</v>
      </c>
    </row>
    <row r="4865" spans="1:5" ht="15">
      <c r="A4865" s="120" t="s">
        <v>601</v>
      </c>
      <c r="B4865" s="121">
        <v>21</v>
      </c>
      <c r="C4865" s="121">
        <v>27</v>
      </c>
      <c r="D4865" s="121">
        <v>2</v>
      </c>
      <c r="E4865" s="121">
        <v>2200562</v>
      </c>
    </row>
    <row r="4866" spans="1:5" ht="15">
      <c r="A4866" s="120" t="s">
        <v>601</v>
      </c>
      <c r="B4866" s="121">
        <v>21</v>
      </c>
      <c r="C4866" s="121">
        <v>27</v>
      </c>
      <c r="D4866" s="121">
        <v>3</v>
      </c>
      <c r="E4866" s="121">
        <v>1807984</v>
      </c>
    </row>
    <row r="4867" spans="1:5" ht="15">
      <c r="A4867" s="120" t="s">
        <v>601</v>
      </c>
      <c r="B4867" s="121">
        <v>21</v>
      </c>
      <c r="C4867" s="121">
        <v>27</v>
      </c>
      <c r="D4867" s="121">
        <v>4</v>
      </c>
      <c r="E4867" s="121">
        <v>1890654</v>
      </c>
    </row>
    <row r="4868" spans="1:5" ht="15">
      <c r="A4868" s="120" t="s">
        <v>601</v>
      </c>
      <c r="B4868" s="121">
        <v>21</v>
      </c>
      <c r="C4868" s="121">
        <v>27</v>
      </c>
      <c r="D4868" s="121">
        <v>5</v>
      </c>
      <c r="E4868" s="121">
        <v>19700</v>
      </c>
    </row>
    <row r="4869" spans="1:5" ht="15">
      <c r="A4869" s="120" t="s">
        <v>601</v>
      </c>
      <c r="B4869" s="121">
        <v>21</v>
      </c>
      <c r="C4869" s="121">
        <v>27</v>
      </c>
      <c r="D4869" s="121">
        <v>7</v>
      </c>
      <c r="E4869" s="121">
        <v>1029000</v>
      </c>
    </row>
    <row r="4870" spans="1:5" ht="15">
      <c r="A4870" s="120" t="s">
        <v>601</v>
      </c>
      <c r="B4870" s="121">
        <v>21</v>
      </c>
      <c r="C4870" s="121">
        <v>27</v>
      </c>
      <c r="D4870" s="121">
        <v>8</v>
      </c>
      <c r="E4870" s="121">
        <v>3000</v>
      </c>
    </row>
    <row r="4871" spans="1:5" ht="15">
      <c r="A4871" s="120" t="s">
        <v>601</v>
      </c>
      <c r="B4871" s="121">
        <v>21</v>
      </c>
      <c r="C4871" s="121">
        <v>31</v>
      </c>
      <c r="D4871" s="121">
        <v>5</v>
      </c>
      <c r="E4871" s="121">
        <v>500</v>
      </c>
    </row>
    <row r="4872" spans="1:5" ht="15">
      <c r="A4872" s="120" t="s">
        <v>601</v>
      </c>
      <c r="B4872" s="121">
        <v>21</v>
      </c>
      <c r="C4872" s="121">
        <v>34</v>
      </c>
      <c r="D4872" s="121">
        <v>2</v>
      </c>
      <c r="E4872" s="121">
        <v>51752</v>
      </c>
    </row>
    <row r="4873" spans="1:5" ht="15">
      <c r="A4873" s="120" t="s">
        <v>601</v>
      </c>
      <c r="B4873" s="121">
        <v>21</v>
      </c>
      <c r="C4873" s="121">
        <v>34</v>
      </c>
      <c r="D4873" s="121">
        <v>4</v>
      </c>
      <c r="E4873" s="121">
        <v>8814</v>
      </c>
    </row>
    <row r="4874" spans="1:5" ht="15">
      <c r="A4874" s="120" t="s">
        <v>541</v>
      </c>
      <c r="B4874" s="121">
        <v>24</v>
      </c>
      <c r="C4874" s="121">
        <v>26</v>
      </c>
      <c r="D4874" s="121">
        <v>7</v>
      </c>
      <c r="E4874" s="121">
        <v>21350</v>
      </c>
    </row>
    <row r="4875" spans="1:5" ht="15">
      <c r="A4875" s="120" t="s">
        <v>601</v>
      </c>
      <c r="B4875" s="121">
        <v>24</v>
      </c>
      <c r="C4875" s="121">
        <v>26</v>
      </c>
      <c r="D4875" s="121">
        <v>2</v>
      </c>
      <c r="E4875" s="121">
        <v>450605</v>
      </c>
    </row>
    <row r="4876" spans="1:5" ht="15">
      <c r="A4876" s="120" t="s">
        <v>601</v>
      </c>
      <c r="B4876" s="121">
        <v>24</v>
      </c>
      <c r="C4876" s="121">
        <v>26</v>
      </c>
      <c r="D4876" s="121">
        <v>4</v>
      </c>
      <c r="E4876" s="121">
        <v>136095</v>
      </c>
    </row>
    <row r="4877" spans="1:5" ht="15">
      <c r="A4877" s="120" t="s">
        <v>601</v>
      </c>
      <c r="B4877" s="121">
        <v>24</v>
      </c>
      <c r="C4877" s="121">
        <v>27</v>
      </c>
      <c r="D4877" s="121">
        <v>3</v>
      </c>
      <c r="E4877" s="121">
        <v>18287</v>
      </c>
    </row>
    <row r="4878" spans="1:5" ht="15">
      <c r="A4878" s="120" t="s">
        <v>601</v>
      </c>
      <c r="B4878" s="121">
        <v>24</v>
      </c>
      <c r="C4878" s="121">
        <v>27</v>
      </c>
      <c r="D4878" s="121">
        <v>4</v>
      </c>
      <c r="E4878" s="121">
        <v>10597</v>
      </c>
    </row>
    <row r="4879" spans="1:5" ht="15">
      <c r="A4879" s="120" t="s">
        <v>601</v>
      </c>
      <c r="B4879" s="121">
        <v>24</v>
      </c>
      <c r="C4879" s="121">
        <v>27</v>
      </c>
      <c r="D4879" s="121">
        <v>5</v>
      </c>
      <c r="E4879" s="121">
        <v>5765</v>
      </c>
    </row>
    <row r="4880" spans="1:5" ht="15">
      <c r="A4880" s="120" t="s">
        <v>593</v>
      </c>
      <c r="B4880" s="121">
        <v>21</v>
      </c>
      <c r="C4880" s="121">
        <v>25</v>
      </c>
      <c r="D4880" s="121">
        <v>3</v>
      </c>
      <c r="E4880" s="121">
        <v>7505</v>
      </c>
    </row>
    <row r="4881" spans="1:5" ht="15">
      <c r="A4881" s="120" t="s">
        <v>593</v>
      </c>
      <c r="B4881" s="121">
        <v>21</v>
      </c>
      <c r="C4881" s="121">
        <v>25</v>
      </c>
      <c r="D4881" s="121">
        <v>4</v>
      </c>
      <c r="E4881" s="121">
        <v>5284</v>
      </c>
    </row>
    <row r="4882" spans="1:5" ht="15">
      <c r="A4882" s="120" t="s">
        <v>593</v>
      </c>
      <c r="B4882" s="121">
        <v>21</v>
      </c>
      <c r="C4882" s="121">
        <v>26</v>
      </c>
      <c r="D4882" s="121">
        <v>5</v>
      </c>
      <c r="E4882" s="121">
        <v>200</v>
      </c>
    </row>
    <row r="4883" spans="1:5" ht="15">
      <c r="A4883" s="120" t="s">
        <v>593</v>
      </c>
      <c r="B4883" s="121">
        <v>21</v>
      </c>
      <c r="C4883" s="121">
        <v>27</v>
      </c>
      <c r="D4883" s="121">
        <v>2</v>
      </c>
      <c r="E4883" s="121">
        <v>1050</v>
      </c>
    </row>
    <row r="4884" spans="1:5" ht="15">
      <c r="A4884" s="120" t="s">
        <v>593</v>
      </c>
      <c r="B4884" s="121">
        <v>21</v>
      </c>
      <c r="C4884" s="121">
        <v>27</v>
      </c>
      <c r="D4884" s="121">
        <v>3</v>
      </c>
      <c r="E4884" s="121">
        <v>16123</v>
      </c>
    </row>
    <row r="4885" spans="1:5" ht="15">
      <c r="A4885" s="120" t="s">
        <v>593</v>
      </c>
      <c r="B4885" s="121">
        <v>21</v>
      </c>
      <c r="C4885" s="121">
        <v>27</v>
      </c>
      <c r="D4885" s="121">
        <v>4</v>
      </c>
      <c r="E4885" s="121">
        <v>11444</v>
      </c>
    </row>
    <row r="4886" spans="1:5" ht="15">
      <c r="A4886" s="120" t="s">
        <v>593</v>
      </c>
      <c r="B4886" s="121">
        <v>21</v>
      </c>
      <c r="C4886" s="121">
        <v>27</v>
      </c>
      <c r="D4886" s="121">
        <v>5</v>
      </c>
      <c r="E4886" s="121">
        <v>400</v>
      </c>
    </row>
    <row r="4887" spans="1:5" ht="15">
      <c r="A4887" s="120" t="s">
        <v>593</v>
      </c>
      <c r="B4887" s="121">
        <v>21</v>
      </c>
      <c r="C4887" s="121">
        <v>29</v>
      </c>
      <c r="D4887" s="121">
        <v>7</v>
      </c>
      <c r="E4887" s="121">
        <v>449381</v>
      </c>
    </row>
    <row r="4888" spans="1:5" ht="15">
      <c r="A4888" s="120" t="s">
        <v>593</v>
      </c>
      <c r="B4888" s="121">
        <v>21</v>
      </c>
      <c r="C4888" s="121">
        <v>32</v>
      </c>
      <c r="D4888" s="121">
        <v>5</v>
      </c>
      <c r="E4888" s="121">
        <v>500</v>
      </c>
    </row>
    <row r="4889" spans="1:5" ht="15">
      <c r="A4889" s="120" t="s">
        <v>567</v>
      </c>
      <c r="B4889" s="121">
        <v>21</v>
      </c>
      <c r="C4889" s="121">
        <v>21</v>
      </c>
      <c r="D4889" s="121">
        <v>2</v>
      </c>
      <c r="E4889" s="121">
        <v>109649</v>
      </c>
    </row>
    <row r="4890" spans="1:5" ht="15">
      <c r="A4890" s="120" t="s">
        <v>567</v>
      </c>
      <c r="B4890" s="121">
        <v>21</v>
      </c>
      <c r="C4890" s="121">
        <v>21</v>
      </c>
      <c r="D4890" s="121">
        <v>4</v>
      </c>
      <c r="E4890" s="121">
        <v>34061</v>
      </c>
    </row>
    <row r="4891" spans="1:5" ht="15">
      <c r="A4891" s="120" t="s">
        <v>567</v>
      </c>
      <c r="B4891" s="121">
        <v>21</v>
      </c>
      <c r="C4891" s="121">
        <v>27</v>
      </c>
      <c r="D4891" s="121">
        <v>3</v>
      </c>
      <c r="E4891" s="121">
        <v>17800</v>
      </c>
    </row>
    <row r="4892" spans="1:5" ht="15">
      <c r="A4892" s="120" t="s">
        <v>567</v>
      </c>
      <c r="B4892" s="121">
        <v>21</v>
      </c>
      <c r="C4892" s="121">
        <v>27</v>
      </c>
      <c r="D4892" s="121">
        <v>4</v>
      </c>
      <c r="E4892" s="121">
        <v>12385</v>
      </c>
    </row>
    <row r="4893" spans="1:5" ht="15">
      <c r="A4893" s="120" t="s">
        <v>567</v>
      </c>
      <c r="B4893" s="121">
        <v>21</v>
      </c>
      <c r="C4893" s="121">
        <v>27</v>
      </c>
      <c r="D4893" s="121">
        <v>7</v>
      </c>
      <c r="E4893" s="121">
        <v>70000</v>
      </c>
    </row>
    <row r="4894" spans="1:5" ht="15">
      <c r="A4894" s="120" t="s">
        <v>567</v>
      </c>
      <c r="B4894" s="121">
        <v>24</v>
      </c>
      <c r="C4894" s="121">
        <v>27</v>
      </c>
      <c r="D4894" s="121">
        <v>7</v>
      </c>
      <c r="E4894" s="121">
        <v>51200</v>
      </c>
    </row>
    <row r="4895" spans="1:5" ht="15">
      <c r="A4895" s="120" t="s">
        <v>615</v>
      </c>
      <c r="B4895" s="121">
        <v>21</v>
      </c>
      <c r="C4895" s="121">
        <v>26</v>
      </c>
      <c r="D4895" s="121">
        <v>5</v>
      </c>
      <c r="E4895" s="121">
        <v>2626</v>
      </c>
    </row>
    <row r="4896" spans="1:5" ht="15">
      <c r="A4896" s="120" t="s">
        <v>615</v>
      </c>
      <c r="B4896" s="121">
        <v>21</v>
      </c>
      <c r="C4896" s="121">
        <v>26</v>
      </c>
      <c r="D4896" s="121">
        <v>7</v>
      </c>
      <c r="E4896" s="121">
        <v>90102</v>
      </c>
    </row>
    <row r="4897" spans="1:5" ht="15">
      <c r="A4897" s="120" t="s">
        <v>615</v>
      </c>
      <c r="B4897" s="121">
        <v>21</v>
      </c>
      <c r="C4897" s="121">
        <v>27</v>
      </c>
      <c r="D4897" s="121">
        <v>2</v>
      </c>
      <c r="E4897" s="121">
        <v>66558</v>
      </c>
    </row>
    <row r="4898" spans="1:5" ht="15">
      <c r="A4898" s="120" t="s">
        <v>615</v>
      </c>
      <c r="B4898" s="121">
        <v>21</v>
      </c>
      <c r="C4898" s="121">
        <v>27</v>
      </c>
      <c r="D4898" s="121">
        <v>3</v>
      </c>
      <c r="E4898" s="121">
        <v>73404</v>
      </c>
    </row>
    <row r="4899" spans="1:5" ht="15">
      <c r="A4899" s="120" t="s">
        <v>615</v>
      </c>
      <c r="B4899" s="121">
        <v>21</v>
      </c>
      <c r="C4899" s="121">
        <v>27</v>
      </c>
      <c r="D4899" s="121">
        <v>4</v>
      </c>
      <c r="E4899" s="121">
        <v>50386</v>
      </c>
    </row>
    <row r="4900" spans="1:5" ht="15">
      <c r="A4900" s="120" t="s">
        <v>603</v>
      </c>
      <c r="B4900" s="121">
        <v>21</v>
      </c>
      <c r="C4900" s="121">
        <v>26</v>
      </c>
      <c r="D4900" s="121">
        <v>7</v>
      </c>
      <c r="E4900" s="121">
        <v>27613</v>
      </c>
    </row>
    <row r="4901" spans="1:5" ht="15">
      <c r="A4901" s="120" t="s">
        <v>603</v>
      </c>
      <c r="B4901" s="121">
        <v>21</v>
      </c>
      <c r="C4901" s="121">
        <v>27</v>
      </c>
      <c r="D4901" s="121">
        <v>2</v>
      </c>
      <c r="E4901" s="121">
        <v>52926</v>
      </c>
    </row>
    <row r="4902" spans="1:5" ht="15">
      <c r="A4902" s="120" t="s">
        <v>603</v>
      </c>
      <c r="B4902" s="121">
        <v>21</v>
      </c>
      <c r="C4902" s="121">
        <v>27</v>
      </c>
      <c r="D4902" s="121">
        <v>3</v>
      </c>
      <c r="E4902" s="121">
        <v>56523</v>
      </c>
    </row>
    <row r="4903" spans="1:5" ht="15">
      <c r="A4903" s="120" t="s">
        <v>603</v>
      </c>
      <c r="B4903" s="121">
        <v>21</v>
      </c>
      <c r="C4903" s="121">
        <v>27</v>
      </c>
      <c r="D4903" s="121">
        <v>4</v>
      </c>
      <c r="E4903" s="121">
        <v>68000</v>
      </c>
    </row>
    <row r="4904" spans="1:5" ht="15">
      <c r="A4904" s="120" t="s">
        <v>603</v>
      </c>
      <c r="B4904" s="121">
        <v>21</v>
      </c>
      <c r="C4904" s="121">
        <v>27</v>
      </c>
      <c r="D4904" s="121">
        <v>5</v>
      </c>
      <c r="E4904" s="121">
        <v>2208</v>
      </c>
    </row>
    <row r="4905" spans="1:5" ht="15">
      <c r="A4905" s="120" t="s">
        <v>603</v>
      </c>
      <c r="B4905" s="121">
        <v>21</v>
      </c>
      <c r="C4905" s="121">
        <v>34</v>
      </c>
      <c r="D4905" s="121">
        <v>2</v>
      </c>
      <c r="E4905" s="121">
        <v>1197</v>
      </c>
    </row>
    <row r="4906" spans="1:5" ht="15">
      <c r="A4906" s="120" t="s">
        <v>603</v>
      </c>
      <c r="B4906" s="121">
        <v>21</v>
      </c>
      <c r="C4906" s="121">
        <v>34</v>
      </c>
      <c r="D4906" s="121">
        <v>4</v>
      </c>
      <c r="E4906" s="121">
        <v>215</v>
      </c>
    </row>
    <row r="4907" spans="1:5" ht="15">
      <c r="A4907" s="120" t="s">
        <v>615</v>
      </c>
      <c r="B4907" s="121">
        <v>24</v>
      </c>
      <c r="C4907" s="121">
        <v>27</v>
      </c>
      <c r="D4907" s="121">
        <v>2</v>
      </c>
      <c r="E4907" s="121">
        <v>16639</v>
      </c>
    </row>
    <row r="4908" spans="1:5" ht="15">
      <c r="A4908" s="120" t="s">
        <v>615</v>
      </c>
      <c r="B4908" s="121">
        <v>24</v>
      </c>
      <c r="C4908" s="121">
        <v>27</v>
      </c>
      <c r="D4908" s="121">
        <v>4</v>
      </c>
      <c r="E4908" s="121">
        <v>5990</v>
      </c>
    </row>
    <row r="4909" spans="1:5" ht="15">
      <c r="A4909" s="120" t="s">
        <v>543</v>
      </c>
      <c r="B4909" s="121">
        <v>21</v>
      </c>
      <c r="C4909" s="121">
        <v>21</v>
      </c>
      <c r="D4909" s="121">
        <v>2</v>
      </c>
      <c r="E4909" s="121">
        <v>554496</v>
      </c>
    </row>
    <row r="4910" spans="1:5" ht="15">
      <c r="A4910" s="120" t="s">
        <v>543</v>
      </c>
      <c r="B4910" s="121">
        <v>21</v>
      </c>
      <c r="C4910" s="121">
        <v>21</v>
      </c>
      <c r="D4910" s="121">
        <v>3</v>
      </c>
      <c r="E4910" s="121">
        <v>186425</v>
      </c>
    </row>
    <row r="4911" spans="1:5" ht="15">
      <c r="A4911" s="120" t="s">
        <v>543</v>
      </c>
      <c r="B4911" s="121">
        <v>21</v>
      </c>
      <c r="C4911" s="121">
        <v>21</v>
      </c>
      <c r="D4911" s="121">
        <v>4</v>
      </c>
      <c r="E4911" s="121">
        <v>226450</v>
      </c>
    </row>
    <row r="4912" spans="1:5" ht="15">
      <c r="A4912" s="120" t="s">
        <v>543</v>
      </c>
      <c r="B4912" s="121">
        <v>21</v>
      </c>
      <c r="C4912" s="121">
        <v>21</v>
      </c>
      <c r="D4912" s="121">
        <v>5</v>
      </c>
      <c r="E4912" s="121">
        <v>4500</v>
      </c>
    </row>
    <row r="4913" spans="1:5" ht="15">
      <c r="A4913" s="120" t="s">
        <v>543</v>
      </c>
      <c r="B4913" s="121">
        <v>21</v>
      </c>
      <c r="C4913" s="121">
        <v>21</v>
      </c>
      <c r="D4913" s="121">
        <v>7</v>
      </c>
      <c r="E4913" s="121">
        <v>8000</v>
      </c>
    </row>
    <row r="4914" spans="1:5" ht="15">
      <c r="A4914" s="120" t="s">
        <v>543</v>
      </c>
      <c r="B4914" s="121">
        <v>21</v>
      </c>
      <c r="C4914" s="121">
        <v>24</v>
      </c>
      <c r="D4914" s="121">
        <v>2</v>
      </c>
      <c r="E4914" s="121">
        <v>1387307</v>
      </c>
    </row>
    <row r="4915" spans="1:5" ht="15">
      <c r="A4915" s="120" t="s">
        <v>543</v>
      </c>
      <c r="B4915" s="121">
        <v>21</v>
      </c>
      <c r="C4915" s="121">
        <v>24</v>
      </c>
      <c r="D4915" s="121">
        <v>4</v>
      </c>
      <c r="E4915" s="121">
        <v>436362</v>
      </c>
    </row>
    <row r="4916" spans="1:5" ht="15">
      <c r="A4916" s="120" t="s">
        <v>543</v>
      </c>
      <c r="B4916" s="121">
        <v>21</v>
      </c>
      <c r="C4916" s="121">
        <v>26</v>
      </c>
      <c r="D4916" s="121">
        <v>2</v>
      </c>
      <c r="E4916" s="121">
        <v>4983834</v>
      </c>
    </row>
    <row r="4917" spans="1:5" ht="15">
      <c r="A4917" s="120" t="s">
        <v>543</v>
      </c>
      <c r="B4917" s="121">
        <v>21</v>
      </c>
      <c r="C4917" s="121">
        <v>26</v>
      </c>
      <c r="D4917" s="121">
        <v>3</v>
      </c>
      <c r="E4917" s="121">
        <v>314217</v>
      </c>
    </row>
    <row r="4918" spans="1:5" ht="15">
      <c r="A4918" s="120" t="s">
        <v>543</v>
      </c>
      <c r="B4918" s="121">
        <v>21</v>
      </c>
      <c r="C4918" s="121">
        <v>26</v>
      </c>
      <c r="D4918" s="121">
        <v>4</v>
      </c>
      <c r="E4918" s="121">
        <v>1705625</v>
      </c>
    </row>
    <row r="4919" spans="1:5" ht="15">
      <c r="A4919" s="120" t="s">
        <v>543</v>
      </c>
      <c r="B4919" s="121">
        <v>21</v>
      </c>
      <c r="C4919" s="121">
        <v>26</v>
      </c>
      <c r="D4919" s="121">
        <v>5</v>
      </c>
      <c r="E4919" s="121">
        <v>30800</v>
      </c>
    </row>
    <row r="4920" spans="1:5" ht="15">
      <c r="A4920" s="120" t="s">
        <v>543</v>
      </c>
      <c r="B4920" s="121">
        <v>21</v>
      </c>
      <c r="C4920" s="121">
        <v>26</v>
      </c>
      <c r="D4920" s="121">
        <v>7</v>
      </c>
      <c r="E4920" s="121">
        <v>37650</v>
      </c>
    </row>
    <row r="4921" spans="1:5" ht="15">
      <c r="A4921" s="120" t="s">
        <v>543</v>
      </c>
      <c r="B4921" s="121">
        <v>21</v>
      </c>
      <c r="C4921" s="121">
        <v>26</v>
      </c>
      <c r="D4921" s="121">
        <v>8</v>
      </c>
      <c r="E4921" s="121">
        <v>2950</v>
      </c>
    </row>
    <row r="4922" spans="1:5" ht="15">
      <c r="A4922" s="120" t="s">
        <v>543</v>
      </c>
      <c r="B4922" s="121">
        <v>21</v>
      </c>
      <c r="C4922" s="121">
        <v>27</v>
      </c>
      <c r="D4922" s="121">
        <v>0</v>
      </c>
      <c r="E4922" s="121">
        <v>65000</v>
      </c>
    </row>
    <row r="4923" spans="1:5" ht="15">
      <c r="A4923" s="120" t="s">
        <v>543</v>
      </c>
      <c r="B4923" s="121">
        <v>21</v>
      </c>
      <c r="C4923" s="121">
        <v>27</v>
      </c>
      <c r="D4923" s="121">
        <v>2</v>
      </c>
      <c r="E4923" s="121">
        <v>6239333</v>
      </c>
    </row>
    <row r="4924" spans="1:5" ht="15">
      <c r="A4924" s="120" t="s">
        <v>543</v>
      </c>
      <c r="B4924" s="121">
        <v>21</v>
      </c>
      <c r="C4924" s="121">
        <v>27</v>
      </c>
      <c r="D4924" s="121">
        <v>3</v>
      </c>
      <c r="E4924" s="121">
        <v>7068685</v>
      </c>
    </row>
    <row r="4925" spans="1:5" ht="15">
      <c r="A4925" s="120" t="s">
        <v>543</v>
      </c>
      <c r="B4925" s="121">
        <v>21</v>
      </c>
      <c r="C4925" s="121">
        <v>27</v>
      </c>
      <c r="D4925" s="121">
        <v>4</v>
      </c>
      <c r="E4925" s="121">
        <v>6275607</v>
      </c>
    </row>
    <row r="4926" spans="1:5" ht="15">
      <c r="A4926" s="120" t="s">
        <v>543</v>
      </c>
      <c r="B4926" s="121">
        <v>21</v>
      </c>
      <c r="C4926" s="121">
        <v>27</v>
      </c>
      <c r="D4926" s="121">
        <v>5</v>
      </c>
      <c r="E4926" s="121">
        <v>26700</v>
      </c>
    </row>
    <row r="4927" spans="1:5" ht="15">
      <c r="A4927" s="120" t="s">
        <v>543</v>
      </c>
      <c r="B4927" s="121">
        <v>21</v>
      </c>
      <c r="C4927" s="121">
        <v>27</v>
      </c>
      <c r="D4927" s="121">
        <v>7</v>
      </c>
      <c r="E4927" s="121">
        <v>2813468</v>
      </c>
    </row>
    <row r="4928" spans="1:5" ht="15">
      <c r="A4928" s="120" t="s">
        <v>543</v>
      </c>
      <c r="B4928" s="121">
        <v>21</v>
      </c>
      <c r="C4928" s="121">
        <v>27</v>
      </c>
      <c r="D4928" s="121">
        <v>8</v>
      </c>
      <c r="E4928" s="121">
        <v>24200</v>
      </c>
    </row>
    <row r="4929" spans="1:5" ht="15">
      <c r="A4929" s="120" t="s">
        <v>543</v>
      </c>
      <c r="B4929" s="121">
        <v>21</v>
      </c>
      <c r="C4929" s="121">
        <v>29</v>
      </c>
      <c r="D4929" s="121">
        <v>7</v>
      </c>
      <c r="E4929" s="121">
        <v>285000</v>
      </c>
    </row>
    <row r="4930" spans="1:5" ht="15">
      <c r="A4930" s="120" t="s">
        <v>543</v>
      </c>
      <c r="B4930" s="121">
        <v>21</v>
      </c>
      <c r="C4930" s="121">
        <v>31</v>
      </c>
      <c r="D4930" s="121">
        <v>2</v>
      </c>
      <c r="E4930" s="121">
        <v>207609</v>
      </c>
    </row>
    <row r="4931" spans="1:5" ht="15">
      <c r="A4931" s="120" t="s">
        <v>543</v>
      </c>
      <c r="B4931" s="121">
        <v>21</v>
      </c>
      <c r="C4931" s="121">
        <v>31</v>
      </c>
      <c r="D4931" s="121">
        <v>3</v>
      </c>
      <c r="E4931" s="121">
        <v>144871</v>
      </c>
    </row>
    <row r="4932" spans="1:5" ht="15">
      <c r="A4932" s="120" t="s">
        <v>543</v>
      </c>
      <c r="B4932" s="121">
        <v>21</v>
      </c>
      <c r="C4932" s="121">
        <v>31</v>
      </c>
      <c r="D4932" s="121">
        <v>4</v>
      </c>
      <c r="E4932" s="121">
        <v>88743</v>
      </c>
    </row>
    <row r="4933" spans="1:5" ht="15">
      <c r="A4933" s="120" t="s">
        <v>543</v>
      </c>
      <c r="B4933" s="121">
        <v>21</v>
      </c>
      <c r="C4933" s="121">
        <v>32</v>
      </c>
      <c r="D4933" s="121">
        <v>7</v>
      </c>
      <c r="E4933" s="121">
        <v>19425</v>
      </c>
    </row>
    <row r="4934" spans="1:5" ht="15">
      <c r="A4934" s="120" t="s">
        <v>543</v>
      </c>
      <c r="B4934" s="121">
        <v>21</v>
      </c>
      <c r="C4934" s="121">
        <v>33</v>
      </c>
      <c r="D4934" s="121">
        <v>5</v>
      </c>
      <c r="E4934" s="121">
        <v>63000</v>
      </c>
    </row>
    <row r="4935" spans="1:5" ht="15">
      <c r="A4935" s="120" t="s">
        <v>543</v>
      </c>
      <c r="B4935" s="121">
        <v>21</v>
      </c>
      <c r="C4935" s="121">
        <v>33</v>
      </c>
      <c r="D4935" s="121">
        <v>7</v>
      </c>
      <c r="E4935" s="121">
        <v>19000</v>
      </c>
    </row>
    <row r="4936" spans="1:5" ht="15">
      <c r="A4936" s="120" t="s">
        <v>543</v>
      </c>
      <c r="B4936" s="121">
        <v>21</v>
      </c>
      <c r="C4936" s="121">
        <v>34</v>
      </c>
      <c r="D4936" s="121">
        <v>2</v>
      </c>
      <c r="E4936" s="121">
        <v>253521</v>
      </c>
    </row>
    <row r="4937" spans="1:5" ht="15">
      <c r="A4937" s="120" t="s">
        <v>543</v>
      </c>
      <c r="B4937" s="121">
        <v>21</v>
      </c>
      <c r="C4937" s="121">
        <v>34</v>
      </c>
      <c r="D4937" s="121">
        <v>4</v>
      </c>
      <c r="E4937" s="121">
        <v>40272</v>
      </c>
    </row>
    <row r="4938" spans="1:5" ht="15">
      <c r="A4938" s="120" t="s">
        <v>543</v>
      </c>
      <c r="B4938" s="121">
        <v>24</v>
      </c>
      <c r="C4938" s="121">
        <v>21</v>
      </c>
      <c r="D4938" s="121">
        <v>2</v>
      </c>
      <c r="E4938" s="121">
        <v>60948</v>
      </c>
    </row>
    <row r="4939" spans="1:5" ht="15">
      <c r="A4939" s="120" t="s">
        <v>543</v>
      </c>
      <c r="B4939" s="121">
        <v>24</v>
      </c>
      <c r="C4939" s="121">
        <v>21</v>
      </c>
      <c r="D4939" s="121">
        <v>4</v>
      </c>
      <c r="E4939" s="121">
        <v>14978</v>
      </c>
    </row>
    <row r="4940" spans="1:5" ht="15">
      <c r="A4940" s="120" t="s">
        <v>543</v>
      </c>
      <c r="B4940" s="121">
        <v>24</v>
      </c>
      <c r="C4940" s="121">
        <v>27</v>
      </c>
      <c r="D4940" s="121">
        <v>2</v>
      </c>
      <c r="E4940" s="121">
        <v>1300885</v>
      </c>
    </row>
    <row r="4941" spans="1:5" ht="15">
      <c r="A4941" s="120" t="s">
        <v>543</v>
      </c>
      <c r="B4941" s="121">
        <v>24</v>
      </c>
      <c r="C4941" s="121">
        <v>27</v>
      </c>
      <c r="D4941" s="121">
        <v>3</v>
      </c>
      <c r="E4941" s="121">
        <v>108489</v>
      </c>
    </row>
    <row r="4942" spans="1:5" ht="15">
      <c r="A4942" s="120" t="s">
        <v>543</v>
      </c>
      <c r="B4942" s="121">
        <v>24</v>
      </c>
      <c r="C4942" s="121">
        <v>27</v>
      </c>
      <c r="D4942" s="121">
        <v>4</v>
      </c>
      <c r="E4942" s="121">
        <v>467992</v>
      </c>
    </row>
    <row r="4943" spans="1:5" ht="15">
      <c r="A4943" s="120" t="s">
        <v>543</v>
      </c>
      <c r="B4943" s="121">
        <v>24</v>
      </c>
      <c r="C4943" s="121">
        <v>27</v>
      </c>
      <c r="D4943" s="121">
        <v>5</v>
      </c>
      <c r="E4943" s="121">
        <v>3078</v>
      </c>
    </row>
    <row r="4944" spans="1:5" ht="15">
      <c r="A4944" s="120" t="s">
        <v>543</v>
      </c>
      <c r="B4944" s="121">
        <v>24</v>
      </c>
      <c r="C4944" s="121">
        <v>31</v>
      </c>
      <c r="D4944" s="121">
        <v>2</v>
      </c>
      <c r="E4944" s="121">
        <v>151929</v>
      </c>
    </row>
    <row r="4945" spans="1:5" ht="15">
      <c r="A4945" s="120" t="s">
        <v>543</v>
      </c>
      <c r="B4945" s="121">
        <v>24</v>
      </c>
      <c r="C4945" s="121">
        <v>31</v>
      </c>
      <c r="D4945" s="121">
        <v>4</v>
      </c>
      <c r="E4945" s="121">
        <v>40183</v>
      </c>
    </row>
    <row r="4946" spans="1:5" ht="15">
      <c r="A4946" s="120" t="s">
        <v>603</v>
      </c>
      <c r="B4946" s="121">
        <v>24</v>
      </c>
      <c r="C4946" s="121">
        <v>26</v>
      </c>
      <c r="D4946" s="121">
        <v>7</v>
      </c>
      <c r="E4946" s="121">
        <v>19867</v>
      </c>
    </row>
    <row r="4947" spans="1:5" ht="15">
      <c r="A4947" s="120" t="s">
        <v>595</v>
      </c>
      <c r="B4947" s="121">
        <v>21</v>
      </c>
      <c r="C4947" s="121">
        <v>21</v>
      </c>
      <c r="D4947" s="121">
        <v>2</v>
      </c>
      <c r="E4947" s="121">
        <v>585270</v>
      </c>
    </row>
    <row r="4948" spans="1:5" ht="15">
      <c r="A4948" s="120" t="s">
        <v>595</v>
      </c>
      <c r="B4948" s="121">
        <v>21</v>
      </c>
      <c r="C4948" s="121">
        <v>21</v>
      </c>
      <c r="D4948" s="121">
        <v>3</v>
      </c>
      <c r="E4948" s="121">
        <v>85860</v>
      </c>
    </row>
    <row r="4949" spans="1:5" ht="15">
      <c r="A4949" s="120" t="s">
        <v>595</v>
      </c>
      <c r="B4949" s="121">
        <v>21</v>
      </c>
      <c r="C4949" s="121">
        <v>21</v>
      </c>
      <c r="D4949" s="121">
        <v>4</v>
      </c>
      <c r="E4949" s="121">
        <v>207359</v>
      </c>
    </row>
    <row r="4950" spans="1:5" ht="15">
      <c r="A4950" s="120" t="s">
        <v>595</v>
      </c>
      <c r="B4950" s="121">
        <v>21</v>
      </c>
      <c r="C4950" s="121">
        <v>23</v>
      </c>
      <c r="D4950" s="121">
        <v>3</v>
      </c>
      <c r="E4950" s="121">
        <v>121473</v>
      </c>
    </row>
    <row r="4951" spans="1:5" ht="15">
      <c r="A4951" s="120" t="s">
        <v>595</v>
      </c>
      <c r="B4951" s="121">
        <v>21</v>
      </c>
      <c r="C4951" s="121">
        <v>23</v>
      </c>
      <c r="D4951" s="121">
        <v>4</v>
      </c>
      <c r="E4951" s="121">
        <v>62110</v>
      </c>
    </row>
    <row r="4952" spans="1:5" ht="15">
      <c r="A4952" s="120" t="s">
        <v>595</v>
      </c>
      <c r="B4952" s="121">
        <v>21</v>
      </c>
      <c r="C4952" s="121">
        <v>24</v>
      </c>
      <c r="D4952" s="121">
        <v>2</v>
      </c>
      <c r="E4952" s="121">
        <v>133475</v>
      </c>
    </row>
    <row r="4953" spans="1:5" ht="15">
      <c r="A4953" s="120" t="s">
        <v>595</v>
      </c>
      <c r="B4953" s="121">
        <v>21</v>
      </c>
      <c r="C4953" s="121">
        <v>24</v>
      </c>
      <c r="D4953" s="121">
        <v>3</v>
      </c>
      <c r="E4953" s="121">
        <v>256175</v>
      </c>
    </row>
    <row r="4954" spans="1:5" ht="15">
      <c r="A4954" s="120" t="s">
        <v>595</v>
      </c>
      <c r="B4954" s="121">
        <v>21</v>
      </c>
      <c r="C4954" s="121">
        <v>24</v>
      </c>
      <c r="D4954" s="121">
        <v>4</v>
      </c>
      <c r="E4954" s="121">
        <v>174786</v>
      </c>
    </row>
    <row r="4955" spans="1:5" ht="15">
      <c r="A4955" s="120" t="s">
        <v>595</v>
      </c>
      <c r="B4955" s="121">
        <v>21</v>
      </c>
      <c r="C4955" s="121">
        <v>25</v>
      </c>
      <c r="D4955" s="121">
        <v>3</v>
      </c>
      <c r="E4955" s="121">
        <v>179999</v>
      </c>
    </row>
    <row r="4956" spans="1:5" ht="15">
      <c r="A4956" s="120" t="s">
        <v>595</v>
      </c>
      <c r="B4956" s="121">
        <v>21</v>
      </c>
      <c r="C4956" s="121">
        <v>25</v>
      </c>
      <c r="D4956" s="121">
        <v>4</v>
      </c>
      <c r="E4956" s="121">
        <v>158626</v>
      </c>
    </row>
    <row r="4957" spans="1:5" ht="15">
      <c r="A4957" s="120" t="s">
        <v>595</v>
      </c>
      <c r="B4957" s="121">
        <v>21</v>
      </c>
      <c r="C4957" s="121">
        <v>26</v>
      </c>
      <c r="D4957" s="121">
        <v>2</v>
      </c>
      <c r="E4957" s="121">
        <v>2071385</v>
      </c>
    </row>
    <row r="4958" spans="1:5" ht="15">
      <c r="A4958" s="120" t="s">
        <v>595</v>
      </c>
      <c r="B4958" s="121">
        <v>21</v>
      </c>
      <c r="C4958" s="121">
        <v>26</v>
      </c>
      <c r="D4958" s="121">
        <v>3</v>
      </c>
      <c r="E4958" s="121">
        <v>41792</v>
      </c>
    </row>
    <row r="4959" spans="1:5" ht="15">
      <c r="A4959" s="120" t="s">
        <v>595</v>
      </c>
      <c r="B4959" s="121">
        <v>21</v>
      </c>
      <c r="C4959" s="121">
        <v>26</v>
      </c>
      <c r="D4959" s="121">
        <v>4</v>
      </c>
      <c r="E4959" s="121">
        <v>735076</v>
      </c>
    </row>
    <row r="4960" spans="1:5" ht="15">
      <c r="A4960" s="120" t="s">
        <v>595</v>
      </c>
      <c r="B4960" s="121">
        <v>21</v>
      </c>
      <c r="C4960" s="121">
        <v>26</v>
      </c>
      <c r="D4960" s="121">
        <v>5</v>
      </c>
      <c r="E4960" s="121">
        <v>7000</v>
      </c>
    </row>
    <row r="4961" spans="1:5" ht="15">
      <c r="A4961" s="120" t="s">
        <v>595</v>
      </c>
      <c r="B4961" s="121">
        <v>21</v>
      </c>
      <c r="C4961" s="121">
        <v>26</v>
      </c>
      <c r="D4961" s="121">
        <v>7</v>
      </c>
      <c r="E4961" s="121">
        <v>612000</v>
      </c>
    </row>
    <row r="4962" spans="1:5" ht="15">
      <c r="A4962" s="120" t="s">
        <v>595</v>
      </c>
      <c r="B4962" s="121">
        <v>21</v>
      </c>
      <c r="C4962" s="121">
        <v>27</v>
      </c>
      <c r="D4962" s="121">
        <v>2</v>
      </c>
      <c r="E4962" s="121">
        <v>3854678</v>
      </c>
    </row>
    <row r="4963" spans="1:5" ht="15">
      <c r="A4963" s="120" t="s">
        <v>595</v>
      </c>
      <c r="B4963" s="121">
        <v>21</v>
      </c>
      <c r="C4963" s="121">
        <v>27</v>
      </c>
      <c r="D4963" s="121">
        <v>3</v>
      </c>
      <c r="E4963" s="121">
        <v>1425753</v>
      </c>
    </row>
    <row r="4964" spans="1:5" ht="15">
      <c r="A4964" s="120" t="s">
        <v>595</v>
      </c>
      <c r="B4964" s="121">
        <v>21</v>
      </c>
      <c r="C4964" s="121">
        <v>27</v>
      </c>
      <c r="D4964" s="121">
        <v>4</v>
      </c>
      <c r="E4964" s="121">
        <v>2264758</v>
      </c>
    </row>
    <row r="4965" spans="1:5" ht="15">
      <c r="A4965" s="120" t="s">
        <v>595</v>
      </c>
      <c r="B4965" s="121">
        <v>21</v>
      </c>
      <c r="C4965" s="121">
        <v>27</v>
      </c>
      <c r="D4965" s="121">
        <v>5</v>
      </c>
      <c r="E4965" s="121">
        <v>96620</v>
      </c>
    </row>
    <row r="4966" spans="1:5" ht="15">
      <c r="A4966" s="120" t="s">
        <v>595</v>
      </c>
      <c r="B4966" s="121">
        <v>21</v>
      </c>
      <c r="C4966" s="121">
        <v>27</v>
      </c>
      <c r="D4966" s="121">
        <v>7</v>
      </c>
      <c r="E4966" s="121">
        <v>17000</v>
      </c>
    </row>
    <row r="4967" spans="1:5" ht="15">
      <c r="A4967" s="120" t="s">
        <v>595</v>
      </c>
      <c r="B4967" s="121">
        <v>21</v>
      </c>
      <c r="C4967" s="121">
        <v>27</v>
      </c>
      <c r="D4967" s="121">
        <v>8</v>
      </c>
      <c r="E4967" s="121">
        <v>12000</v>
      </c>
    </row>
    <row r="4968" spans="1:5" ht="15">
      <c r="A4968" s="120" t="s">
        <v>595</v>
      </c>
      <c r="B4968" s="121">
        <v>21</v>
      </c>
      <c r="C4968" s="121">
        <v>31</v>
      </c>
      <c r="D4968" s="121">
        <v>2</v>
      </c>
      <c r="E4968" s="121">
        <v>4500</v>
      </c>
    </row>
    <row r="4969" spans="1:5" ht="15">
      <c r="A4969" s="120" t="s">
        <v>595</v>
      </c>
      <c r="B4969" s="121">
        <v>21</v>
      </c>
      <c r="C4969" s="121">
        <v>31</v>
      </c>
      <c r="D4969" s="121">
        <v>3</v>
      </c>
      <c r="E4969" s="121">
        <v>3448</v>
      </c>
    </row>
    <row r="4970" spans="1:5" ht="15">
      <c r="A4970" s="120" t="s">
        <v>595</v>
      </c>
      <c r="B4970" s="121">
        <v>21</v>
      </c>
      <c r="C4970" s="121">
        <v>31</v>
      </c>
      <c r="D4970" s="121">
        <v>4</v>
      </c>
      <c r="E4970" s="121">
        <v>1511</v>
      </c>
    </row>
    <row r="4971" spans="1:5" ht="15">
      <c r="A4971" s="120" t="s">
        <v>595</v>
      </c>
      <c r="B4971" s="121">
        <v>21</v>
      </c>
      <c r="C4971" s="121">
        <v>31</v>
      </c>
      <c r="D4971" s="121">
        <v>7</v>
      </c>
      <c r="E4971" s="121">
        <v>10000</v>
      </c>
    </row>
    <row r="4972" spans="1:5" ht="15">
      <c r="A4972" s="120" t="s">
        <v>595</v>
      </c>
      <c r="B4972" s="121">
        <v>21</v>
      </c>
      <c r="C4972" s="121">
        <v>31</v>
      </c>
      <c r="D4972" s="121">
        <v>8</v>
      </c>
      <c r="E4972" s="121">
        <v>2000</v>
      </c>
    </row>
    <row r="4973" spans="1:5" ht="15">
      <c r="A4973" s="120" t="s">
        <v>595</v>
      </c>
      <c r="B4973" s="121">
        <v>21</v>
      </c>
      <c r="C4973" s="121">
        <v>33</v>
      </c>
      <c r="D4973" s="121">
        <v>5</v>
      </c>
      <c r="E4973" s="121">
        <v>11000</v>
      </c>
    </row>
    <row r="4974" spans="1:5" ht="15">
      <c r="A4974" s="120" t="s">
        <v>595</v>
      </c>
      <c r="B4974" s="121">
        <v>21</v>
      </c>
      <c r="C4974" s="121">
        <v>34</v>
      </c>
      <c r="D4974" s="121">
        <v>2</v>
      </c>
      <c r="E4974" s="121">
        <v>91629</v>
      </c>
    </row>
    <row r="4975" spans="1:5" ht="15">
      <c r="A4975" s="120" t="s">
        <v>595</v>
      </c>
      <c r="B4975" s="121">
        <v>21</v>
      </c>
      <c r="C4975" s="121">
        <v>34</v>
      </c>
      <c r="D4975" s="121">
        <v>4</v>
      </c>
      <c r="E4975" s="121">
        <v>16447</v>
      </c>
    </row>
    <row r="4976" spans="1:5" ht="15">
      <c r="A4976" s="120" t="s">
        <v>595</v>
      </c>
      <c r="B4976" s="121">
        <v>24</v>
      </c>
      <c r="C4976" s="121">
        <v>27</v>
      </c>
      <c r="D4976" s="121">
        <v>3</v>
      </c>
      <c r="E4976" s="121">
        <v>785725</v>
      </c>
    </row>
    <row r="4977" spans="1:5" ht="15">
      <c r="A4977" s="120" t="s">
        <v>595</v>
      </c>
      <c r="B4977" s="121">
        <v>24</v>
      </c>
      <c r="C4977" s="121">
        <v>27</v>
      </c>
      <c r="D4977" s="121">
        <v>4</v>
      </c>
      <c r="E4977" s="121">
        <v>554796</v>
      </c>
    </row>
    <row r="4978" spans="1:5" ht="15">
      <c r="A4978" s="120" t="s">
        <v>595</v>
      </c>
      <c r="B4978" s="121">
        <v>24</v>
      </c>
      <c r="C4978" s="121">
        <v>27</v>
      </c>
      <c r="D4978" s="121">
        <v>5</v>
      </c>
      <c r="E4978" s="121">
        <v>30000</v>
      </c>
    </row>
    <row r="4979" spans="1:5" ht="15">
      <c r="A4979" s="120" t="s">
        <v>595</v>
      </c>
      <c r="B4979" s="121">
        <v>24</v>
      </c>
      <c r="C4979" s="121">
        <v>31</v>
      </c>
      <c r="D4979" s="121">
        <v>7</v>
      </c>
      <c r="E4979" s="121">
        <v>1000</v>
      </c>
    </row>
    <row r="4980" spans="1:5" ht="15">
      <c r="A4980" s="120" t="s">
        <v>569</v>
      </c>
      <c r="B4980" s="121">
        <v>21</v>
      </c>
      <c r="C4980" s="121">
        <v>29</v>
      </c>
      <c r="D4980" s="121">
        <v>7</v>
      </c>
      <c r="E4980" s="121">
        <v>1259520</v>
      </c>
    </row>
    <row r="4981" spans="1:5" ht="15">
      <c r="A4981" s="120" t="s">
        <v>545</v>
      </c>
      <c r="B4981" s="121">
        <v>21</v>
      </c>
      <c r="C4981" s="121">
        <v>21</v>
      </c>
      <c r="D4981" s="121">
        <v>2</v>
      </c>
      <c r="E4981" s="121">
        <v>305402</v>
      </c>
    </row>
    <row r="4982" spans="1:5" ht="15">
      <c r="A4982" s="120" t="s">
        <v>545</v>
      </c>
      <c r="B4982" s="121">
        <v>21</v>
      </c>
      <c r="C4982" s="121">
        <v>21</v>
      </c>
      <c r="D4982" s="121">
        <v>3</v>
      </c>
      <c r="E4982" s="121">
        <v>160443</v>
      </c>
    </row>
    <row r="4983" spans="1:5" ht="15">
      <c r="A4983" s="120" t="s">
        <v>545</v>
      </c>
      <c r="B4983" s="121">
        <v>21</v>
      </c>
      <c r="C4983" s="121">
        <v>21</v>
      </c>
      <c r="D4983" s="121">
        <v>4</v>
      </c>
      <c r="E4983" s="121">
        <v>153248</v>
      </c>
    </row>
    <row r="4984" spans="1:5" ht="15">
      <c r="A4984" s="120" t="s">
        <v>545</v>
      </c>
      <c r="B4984" s="121">
        <v>21</v>
      </c>
      <c r="C4984" s="121">
        <v>21</v>
      </c>
      <c r="D4984" s="121">
        <v>5</v>
      </c>
      <c r="E4984" s="121">
        <v>4500</v>
      </c>
    </row>
    <row r="4985" spans="1:5" ht="15">
      <c r="A4985" s="120" t="s">
        <v>545</v>
      </c>
      <c r="B4985" s="121">
        <v>21</v>
      </c>
      <c r="C4985" s="121">
        <v>21</v>
      </c>
      <c r="D4985" s="121">
        <v>7</v>
      </c>
      <c r="E4985" s="121">
        <v>1350</v>
      </c>
    </row>
    <row r="4986" spans="1:5" ht="15">
      <c r="A4986" s="120" t="s">
        <v>545</v>
      </c>
      <c r="B4986" s="121">
        <v>21</v>
      </c>
      <c r="C4986" s="121">
        <v>21</v>
      </c>
      <c r="D4986" s="121">
        <v>8</v>
      </c>
      <c r="E4986" s="121">
        <v>1620</v>
      </c>
    </row>
    <row r="4987" spans="1:5" ht="15">
      <c r="A4987" s="120" t="s">
        <v>545</v>
      </c>
      <c r="B4987" s="121">
        <v>21</v>
      </c>
      <c r="C4987" s="121">
        <v>25</v>
      </c>
      <c r="D4987" s="121">
        <v>3</v>
      </c>
      <c r="E4987" s="121">
        <v>187274</v>
      </c>
    </row>
    <row r="4988" spans="1:5" ht="15">
      <c r="A4988" s="120" t="s">
        <v>545</v>
      </c>
      <c r="B4988" s="121">
        <v>21</v>
      </c>
      <c r="C4988" s="121">
        <v>25</v>
      </c>
      <c r="D4988" s="121">
        <v>4</v>
      </c>
      <c r="E4988" s="121">
        <v>156881</v>
      </c>
    </row>
    <row r="4989" spans="1:5" ht="15">
      <c r="A4989" s="120" t="s">
        <v>545</v>
      </c>
      <c r="B4989" s="121">
        <v>21</v>
      </c>
      <c r="C4989" s="121">
        <v>26</v>
      </c>
      <c r="D4989" s="121">
        <v>2</v>
      </c>
      <c r="E4989" s="121">
        <v>1117202</v>
      </c>
    </row>
    <row r="4990" spans="1:5" ht="15">
      <c r="A4990" s="120" t="s">
        <v>545</v>
      </c>
      <c r="B4990" s="121">
        <v>21</v>
      </c>
      <c r="C4990" s="121">
        <v>26</v>
      </c>
      <c r="D4990" s="121">
        <v>3</v>
      </c>
      <c r="E4990" s="121">
        <v>389084</v>
      </c>
    </row>
    <row r="4991" spans="1:5" ht="15">
      <c r="A4991" s="120" t="s">
        <v>545</v>
      </c>
      <c r="B4991" s="121">
        <v>21</v>
      </c>
      <c r="C4991" s="121">
        <v>26</v>
      </c>
      <c r="D4991" s="121">
        <v>4</v>
      </c>
      <c r="E4991" s="121">
        <v>572525</v>
      </c>
    </row>
    <row r="4992" spans="1:5" ht="15">
      <c r="A4992" s="120" t="s">
        <v>545</v>
      </c>
      <c r="B4992" s="121">
        <v>21</v>
      </c>
      <c r="C4992" s="121">
        <v>26</v>
      </c>
      <c r="D4992" s="121">
        <v>5</v>
      </c>
      <c r="E4992" s="121">
        <v>22500</v>
      </c>
    </row>
    <row r="4993" spans="1:5" ht="15">
      <c r="A4993" s="120" t="s">
        <v>545</v>
      </c>
      <c r="B4993" s="121">
        <v>21</v>
      </c>
      <c r="C4993" s="121">
        <v>26</v>
      </c>
      <c r="D4993" s="121">
        <v>7</v>
      </c>
      <c r="E4993" s="121">
        <v>1000000</v>
      </c>
    </row>
    <row r="4994" spans="1:5" ht="15">
      <c r="A4994" s="120" t="s">
        <v>545</v>
      </c>
      <c r="B4994" s="121">
        <v>21</v>
      </c>
      <c r="C4994" s="121">
        <v>27</v>
      </c>
      <c r="D4994" s="121">
        <v>2</v>
      </c>
      <c r="E4994" s="121">
        <v>4312109</v>
      </c>
    </row>
    <row r="4995" spans="1:5" ht="15">
      <c r="A4995" s="120" t="s">
        <v>545</v>
      </c>
      <c r="B4995" s="121">
        <v>21</v>
      </c>
      <c r="C4995" s="121">
        <v>27</v>
      </c>
      <c r="D4995" s="121">
        <v>3</v>
      </c>
      <c r="E4995" s="121">
        <v>1138187</v>
      </c>
    </row>
    <row r="4996" spans="1:5" ht="15">
      <c r="A4996" s="120" t="s">
        <v>545</v>
      </c>
      <c r="B4996" s="121">
        <v>21</v>
      </c>
      <c r="C4996" s="121">
        <v>27</v>
      </c>
      <c r="D4996" s="121">
        <v>4</v>
      </c>
      <c r="E4996" s="121">
        <v>1888827</v>
      </c>
    </row>
    <row r="4997" spans="1:5" ht="15">
      <c r="A4997" s="120" t="s">
        <v>545</v>
      </c>
      <c r="B4997" s="121">
        <v>21</v>
      </c>
      <c r="C4997" s="121">
        <v>27</v>
      </c>
      <c r="D4997" s="121">
        <v>5</v>
      </c>
      <c r="E4997" s="121">
        <v>134997</v>
      </c>
    </row>
    <row r="4998" spans="1:5" ht="15">
      <c r="A4998" s="120" t="s">
        <v>545</v>
      </c>
      <c r="B4998" s="121">
        <v>21</v>
      </c>
      <c r="C4998" s="121">
        <v>27</v>
      </c>
      <c r="D4998" s="121">
        <v>7</v>
      </c>
      <c r="E4998" s="121">
        <v>45000</v>
      </c>
    </row>
    <row r="4999" spans="1:5" ht="15">
      <c r="A4999" s="120" t="s">
        <v>545</v>
      </c>
      <c r="B4999" s="121">
        <v>21</v>
      </c>
      <c r="C4999" s="121">
        <v>27</v>
      </c>
      <c r="D4999" s="121">
        <v>8</v>
      </c>
      <c r="E4999" s="121">
        <v>1800</v>
      </c>
    </row>
    <row r="5000" spans="1:5" ht="15">
      <c r="A5000" s="120" t="s">
        <v>545</v>
      </c>
      <c r="B5000" s="121">
        <v>21</v>
      </c>
      <c r="C5000" s="121">
        <v>31</v>
      </c>
      <c r="D5000" s="121">
        <v>2</v>
      </c>
      <c r="E5000" s="121">
        <v>251445</v>
      </c>
    </row>
    <row r="5001" spans="1:5" ht="15">
      <c r="A5001" s="120" t="s">
        <v>545</v>
      </c>
      <c r="B5001" s="121">
        <v>21</v>
      </c>
      <c r="C5001" s="121">
        <v>31</v>
      </c>
      <c r="D5001" s="121">
        <v>4</v>
      </c>
      <c r="E5001" s="121">
        <v>41255</v>
      </c>
    </row>
    <row r="5002" spans="1:5" ht="15">
      <c r="A5002" s="120" t="s">
        <v>545</v>
      </c>
      <c r="B5002" s="121">
        <v>21</v>
      </c>
      <c r="C5002" s="121">
        <v>31</v>
      </c>
      <c r="D5002" s="121">
        <v>7</v>
      </c>
      <c r="E5002" s="121">
        <v>7200</v>
      </c>
    </row>
    <row r="5003" spans="1:5" ht="15">
      <c r="A5003" s="120" t="s">
        <v>545</v>
      </c>
      <c r="B5003" s="121">
        <v>21</v>
      </c>
      <c r="C5003" s="121">
        <v>31</v>
      </c>
      <c r="D5003" s="121">
        <v>8</v>
      </c>
      <c r="E5003" s="121">
        <v>1800</v>
      </c>
    </row>
    <row r="5004" spans="1:5" ht="15">
      <c r="A5004" s="120" t="s">
        <v>545</v>
      </c>
      <c r="B5004" s="121">
        <v>21</v>
      </c>
      <c r="C5004" s="121">
        <v>34</v>
      </c>
      <c r="D5004" s="121">
        <v>2</v>
      </c>
      <c r="E5004" s="121">
        <v>5152</v>
      </c>
    </row>
    <row r="5005" spans="1:5" ht="15">
      <c r="A5005" s="120" t="s">
        <v>545</v>
      </c>
      <c r="B5005" s="121">
        <v>21</v>
      </c>
      <c r="C5005" s="121">
        <v>34</v>
      </c>
      <c r="D5005" s="121">
        <v>4</v>
      </c>
      <c r="E5005" s="121">
        <v>838</v>
      </c>
    </row>
    <row r="5006" spans="1:5" ht="15">
      <c r="A5006" s="120" t="s">
        <v>545</v>
      </c>
      <c r="B5006" s="121">
        <v>24</v>
      </c>
      <c r="C5006" s="121">
        <v>21</v>
      </c>
      <c r="D5006" s="121">
        <v>3</v>
      </c>
      <c r="E5006" s="121">
        <v>64240</v>
      </c>
    </row>
    <row r="5007" spans="1:5" ht="15">
      <c r="A5007" s="120" t="s">
        <v>545</v>
      </c>
      <c r="B5007" s="121">
        <v>24</v>
      </c>
      <c r="C5007" s="121">
        <v>21</v>
      </c>
      <c r="D5007" s="121">
        <v>4</v>
      </c>
      <c r="E5007" s="121">
        <v>25982</v>
      </c>
    </row>
    <row r="5008" spans="1:5" ht="15">
      <c r="A5008" s="120" t="s">
        <v>545</v>
      </c>
      <c r="B5008" s="121">
        <v>24</v>
      </c>
      <c r="C5008" s="121">
        <v>27</v>
      </c>
      <c r="D5008" s="121">
        <v>3</v>
      </c>
      <c r="E5008" s="121">
        <v>846134</v>
      </c>
    </row>
    <row r="5009" spans="1:5" ht="15">
      <c r="A5009" s="120" t="s">
        <v>545</v>
      </c>
      <c r="B5009" s="121">
        <v>24</v>
      </c>
      <c r="C5009" s="121">
        <v>27</v>
      </c>
      <c r="D5009" s="121">
        <v>4</v>
      </c>
      <c r="E5009" s="121">
        <v>515483</v>
      </c>
    </row>
    <row r="5010" spans="1:5" ht="15">
      <c r="A5010" s="120" t="s">
        <v>617</v>
      </c>
      <c r="B5010" s="121">
        <v>21</v>
      </c>
      <c r="C5010" s="121">
        <v>26</v>
      </c>
      <c r="D5010" s="121">
        <v>7</v>
      </c>
      <c r="E5010" s="121">
        <v>192000</v>
      </c>
    </row>
    <row r="5011" spans="1:5" ht="15">
      <c r="A5011" s="120" t="s">
        <v>617</v>
      </c>
      <c r="B5011" s="121">
        <v>21</v>
      </c>
      <c r="C5011" s="121">
        <v>27</v>
      </c>
      <c r="D5011" s="121">
        <v>2</v>
      </c>
      <c r="E5011" s="121">
        <v>161446</v>
      </c>
    </row>
    <row r="5012" spans="1:5" ht="15">
      <c r="A5012" s="120" t="s">
        <v>617</v>
      </c>
      <c r="B5012" s="121">
        <v>21</v>
      </c>
      <c r="C5012" s="121">
        <v>27</v>
      </c>
      <c r="D5012" s="121">
        <v>3</v>
      </c>
      <c r="E5012" s="121">
        <v>264291</v>
      </c>
    </row>
    <row r="5013" spans="1:5" ht="15">
      <c r="A5013" s="120" t="s">
        <v>617</v>
      </c>
      <c r="B5013" s="121">
        <v>21</v>
      </c>
      <c r="C5013" s="121">
        <v>27</v>
      </c>
      <c r="D5013" s="121">
        <v>4</v>
      </c>
      <c r="E5013" s="121">
        <v>231414</v>
      </c>
    </row>
    <row r="5014" spans="1:5" ht="15">
      <c r="A5014" s="120" t="s">
        <v>617</v>
      </c>
      <c r="B5014" s="121">
        <v>21</v>
      </c>
      <c r="C5014" s="121">
        <v>27</v>
      </c>
      <c r="D5014" s="121">
        <v>5</v>
      </c>
      <c r="E5014" s="121">
        <v>1600</v>
      </c>
    </row>
    <row r="5015" spans="1:5" ht="15">
      <c r="A5015" s="120" t="s">
        <v>617</v>
      </c>
      <c r="B5015" s="121">
        <v>21</v>
      </c>
      <c r="C5015" s="121">
        <v>27</v>
      </c>
      <c r="D5015" s="121">
        <v>7</v>
      </c>
      <c r="E5015" s="121">
        <v>120000</v>
      </c>
    </row>
    <row r="5016" spans="1:5" ht="15">
      <c r="A5016" s="120" t="s">
        <v>617</v>
      </c>
      <c r="B5016" s="121">
        <v>21</v>
      </c>
      <c r="C5016" s="121">
        <v>31</v>
      </c>
      <c r="D5016" s="121">
        <v>7</v>
      </c>
      <c r="E5016" s="121">
        <v>500</v>
      </c>
    </row>
    <row r="5017" spans="1:5" ht="15">
      <c r="A5017" s="120" t="s">
        <v>617</v>
      </c>
      <c r="B5017" s="121">
        <v>21</v>
      </c>
      <c r="C5017" s="121">
        <v>31</v>
      </c>
      <c r="D5017" s="121">
        <v>8</v>
      </c>
      <c r="E5017" s="121">
        <v>299</v>
      </c>
    </row>
    <row r="5018" spans="1:5" ht="15">
      <c r="A5018" s="120" t="s">
        <v>617</v>
      </c>
      <c r="B5018" s="121">
        <v>24</v>
      </c>
      <c r="C5018" s="121">
        <v>26</v>
      </c>
      <c r="D5018" s="121">
        <v>7</v>
      </c>
      <c r="E5018" s="121">
        <v>130335</v>
      </c>
    </row>
    <row r="5019" spans="1:5" ht="15">
      <c r="A5019" s="120" t="s">
        <v>617</v>
      </c>
      <c r="B5019" s="121">
        <v>24</v>
      </c>
      <c r="C5019" s="121">
        <v>27</v>
      </c>
      <c r="D5019" s="121">
        <v>5</v>
      </c>
      <c r="E5019" s="121">
        <v>8311</v>
      </c>
    </row>
    <row r="5020" spans="1:5" ht="15">
      <c r="A5020" s="120" t="s">
        <v>605</v>
      </c>
      <c r="B5020" s="121">
        <v>21</v>
      </c>
      <c r="C5020" s="121">
        <v>29</v>
      </c>
      <c r="D5020" s="121">
        <v>7</v>
      </c>
      <c r="E5020" s="121">
        <v>589747</v>
      </c>
    </row>
    <row r="5021" spans="1:5" ht="15">
      <c r="A5021" s="120" t="s">
        <v>597</v>
      </c>
      <c r="B5021" s="121">
        <v>21</v>
      </c>
      <c r="C5021" s="121">
        <v>21</v>
      </c>
      <c r="D5021" s="121">
        <v>2</v>
      </c>
      <c r="E5021" s="121">
        <v>161343</v>
      </c>
    </row>
    <row r="5022" spans="1:5" ht="15">
      <c r="A5022" s="120" t="s">
        <v>597</v>
      </c>
      <c r="B5022" s="121">
        <v>21</v>
      </c>
      <c r="C5022" s="121">
        <v>21</v>
      </c>
      <c r="D5022" s="121">
        <v>3</v>
      </c>
      <c r="E5022" s="121">
        <v>90521</v>
      </c>
    </row>
    <row r="5023" spans="1:5" ht="15">
      <c r="A5023" s="120" t="s">
        <v>597</v>
      </c>
      <c r="B5023" s="121">
        <v>21</v>
      </c>
      <c r="C5023" s="121">
        <v>21</v>
      </c>
      <c r="D5023" s="121">
        <v>4</v>
      </c>
      <c r="E5023" s="121">
        <v>85732</v>
      </c>
    </row>
    <row r="5024" spans="1:5" ht="15">
      <c r="A5024" s="120" t="s">
        <v>597</v>
      </c>
      <c r="B5024" s="121">
        <v>21</v>
      </c>
      <c r="C5024" s="121">
        <v>21</v>
      </c>
      <c r="D5024" s="121">
        <v>5</v>
      </c>
      <c r="E5024" s="121">
        <v>14000</v>
      </c>
    </row>
    <row r="5025" spans="1:5" ht="15">
      <c r="A5025" s="120" t="s">
        <v>597</v>
      </c>
      <c r="B5025" s="121">
        <v>21</v>
      </c>
      <c r="C5025" s="121">
        <v>21</v>
      </c>
      <c r="D5025" s="121">
        <v>7</v>
      </c>
      <c r="E5025" s="121">
        <v>3000</v>
      </c>
    </row>
    <row r="5026" spans="1:5" ht="15">
      <c r="A5026" s="120" t="s">
        <v>597</v>
      </c>
      <c r="B5026" s="121">
        <v>21</v>
      </c>
      <c r="C5026" s="121">
        <v>25</v>
      </c>
      <c r="D5026" s="121">
        <v>3</v>
      </c>
      <c r="E5026" s="121">
        <v>67534</v>
      </c>
    </row>
    <row r="5027" spans="1:5" ht="15">
      <c r="A5027" s="120" t="s">
        <v>597</v>
      </c>
      <c r="B5027" s="121">
        <v>21</v>
      </c>
      <c r="C5027" s="121">
        <v>25</v>
      </c>
      <c r="D5027" s="121">
        <v>4</v>
      </c>
      <c r="E5027" s="121">
        <v>38373</v>
      </c>
    </row>
    <row r="5028" spans="1:5" ht="15">
      <c r="A5028" s="120" t="s">
        <v>597</v>
      </c>
      <c r="B5028" s="121">
        <v>21</v>
      </c>
      <c r="C5028" s="121">
        <v>26</v>
      </c>
      <c r="D5028" s="121">
        <v>2</v>
      </c>
      <c r="E5028" s="121">
        <v>892093</v>
      </c>
    </row>
    <row r="5029" spans="1:5" ht="15">
      <c r="A5029" s="120" t="s">
        <v>597</v>
      </c>
      <c r="B5029" s="121">
        <v>21</v>
      </c>
      <c r="C5029" s="121">
        <v>26</v>
      </c>
      <c r="D5029" s="121">
        <v>3</v>
      </c>
      <c r="E5029" s="121">
        <v>239644</v>
      </c>
    </row>
    <row r="5030" spans="1:5" ht="15">
      <c r="A5030" s="120" t="s">
        <v>597</v>
      </c>
      <c r="B5030" s="121">
        <v>21</v>
      </c>
      <c r="C5030" s="121">
        <v>26</v>
      </c>
      <c r="D5030" s="121">
        <v>4</v>
      </c>
      <c r="E5030" s="121">
        <v>371937</v>
      </c>
    </row>
    <row r="5031" spans="1:5" ht="15">
      <c r="A5031" s="120" t="s">
        <v>597</v>
      </c>
      <c r="B5031" s="121">
        <v>21</v>
      </c>
      <c r="C5031" s="121">
        <v>26</v>
      </c>
      <c r="D5031" s="121">
        <v>7</v>
      </c>
      <c r="E5031" s="121">
        <v>8659</v>
      </c>
    </row>
    <row r="5032" spans="1:5" ht="15">
      <c r="A5032" s="120" t="s">
        <v>597</v>
      </c>
      <c r="B5032" s="121">
        <v>21</v>
      </c>
      <c r="C5032" s="121">
        <v>27</v>
      </c>
      <c r="D5032" s="121">
        <v>2</v>
      </c>
      <c r="E5032" s="121">
        <v>1737847</v>
      </c>
    </row>
    <row r="5033" spans="1:5" ht="15">
      <c r="A5033" s="120" t="s">
        <v>597</v>
      </c>
      <c r="B5033" s="121">
        <v>21</v>
      </c>
      <c r="C5033" s="121">
        <v>27</v>
      </c>
      <c r="D5033" s="121">
        <v>3</v>
      </c>
      <c r="E5033" s="121">
        <v>906337</v>
      </c>
    </row>
    <row r="5034" spans="1:5" ht="15">
      <c r="A5034" s="120" t="s">
        <v>597</v>
      </c>
      <c r="B5034" s="121">
        <v>21</v>
      </c>
      <c r="C5034" s="121">
        <v>27</v>
      </c>
      <c r="D5034" s="121">
        <v>4</v>
      </c>
      <c r="E5034" s="121">
        <v>1120026</v>
      </c>
    </row>
    <row r="5035" spans="1:5" ht="15">
      <c r="A5035" s="120" t="s">
        <v>597</v>
      </c>
      <c r="B5035" s="121">
        <v>21</v>
      </c>
      <c r="C5035" s="121">
        <v>27</v>
      </c>
      <c r="D5035" s="121">
        <v>5</v>
      </c>
      <c r="E5035" s="121">
        <v>1500</v>
      </c>
    </row>
    <row r="5036" spans="1:5" ht="15">
      <c r="A5036" s="120" t="s">
        <v>597</v>
      </c>
      <c r="B5036" s="121">
        <v>21</v>
      </c>
      <c r="C5036" s="121">
        <v>31</v>
      </c>
      <c r="D5036" s="121">
        <v>2</v>
      </c>
      <c r="E5036" s="121">
        <v>4500</v>
      </c>
    </row>
    <row r="5037" spans="1:5" ht="15">
      <c r="A5037" s="120" t="s">
        <v>597</v>
      </c>
      <c r="B5037" s="121">
        <v>21</v>
      </c>
      <c r="C5037" s="121">
        <v>31</v>
      </c>
      <c r="D5037" s="121">
        <v>3</v>
      </c>
      <c r="E5037" s="121">
        <v>3500</v>
      </c>
    </row>
    <row r="5038" spans="1:5" ht="15">
      <c r="A5038" s="120" t="s">
        <v>597</v>
      </c>
      <c r="B5038" s="121">
        <v>21</v>
      </c>
      <c r="C5038" s="121">
        <v>31</v>
      </c>
      <c r="D5038" s="121">
        <v>4</v>
      </c>
      <c r="E5038" s="121">
        <v>1801</v>
      </c>
    </row>
    <row r="5039" spans="1:5" ht="15">
      <c r="A5039" s="120" t="s">
        <v>597</v>
      </c>
      <c r="B5039" s="121">
        <v>21</v>
      </c>
      <c r="C5039" s="121">
        <v>31</v>
      </c>
      <c r="D5039" s="121">
        <v>7</v>
      </c>
      <c r="E5039" s="121">
        <v>5000</v>
      </c>
    </row>
    <row r="5040" spans="1:5" ht="15">
      <c r="A5040" s="120" t="s">
        <v>597</v>
      </c>
      <c r="B5040" s="121">
        <v>21</v>
      </c>
      <c r="C5040" s="121">
        <v>31</v>
      </c>
      <c r="D5040" s="121">
        <v>8</v>
      </c>
      <c r="E5040" s="121">
        <v>4500</v>
      </c>
    </row>
    <row r="5041" spans="1:5" ht="15">
      <c r="A5041" s="120" t="s">
        <v>597</v>
      </c>
      <c r="B5041" s="121">
        <v>21</v>
      </c>
      <c r="C5041" s="121">
        <v>34</v>
      </c>
      <c r="D5041" s="121">
        <v>2</v>
      </c>
      <c r="E5041" s="121">
        <v>23136</v>
      </c>
    </row>
    <row r="5042" spans="1:5" ht="15">
      <c r="A5042" s="120" t="s">
        <v>597</v>
      </c>
      <c r="B5042" s="121">
        <v>21</v>
      </c>
      <c r="C5042" s="121">
        <v>34</v>
      </c>
      <c r="D5042" s="121">
        <v>4</v>
      </c>
      <c r="E5042" s="121">
        <v>6703</v>
      </c>
    </row>
    <row r="5043" spans="1:5" ht="15">
      <c r="A5043" s="120" t="s">
        <v>597</v>
      </c>
      <c r="B5043" s="121">
        <v>24</v>
      </c>
      <c r="C5043" s="121">
        <v>26</v>
      </c>
      <c r="D5043" s="121">
        <v>3</v>
      </c>
      <c r="E5043" s="121">
        <v>365126</v>
      </c>
    </row>
    <row r="5044" spans="1:5" ht="15">
      <c r="A5044" s="120" t="s">
        <v>597</v>
      </c>
      <c r="B5044" s="121">
        <v>24</v>
      </c>
      <c r="C5044" s="121">
        <v>26</v>
      </c>
      <c r="D5044" s="121">
        <v>4</v>
      </c>
      <c r="E5044" s="121">
        <v>211838</v>
      </c>
    </row>
    <row r="5045" spans="1:5" ht="15">
      <c r="A5045" s="120" t="s">
        <v>597</v>
      </c>
      <c r="B5045" s="121">
        <v>24</v>
      </c>
      <c r="C5045" s="121">
        <v>26</v>
      </c>
      <c r="D5045" s="121">
        <v>5</v>
      </c>
      <c r="E5045" s="121">
        <v>2544</v>
      </c>
    </row>
    <row r="5046" spans="1:5" ht="15">
      <c r="A5046" s="120" t="s">
        <v>597</v>
      </c>
      <c r="B5046" s="121">
        <v>24</v>
      </c>
      <c r="C5046" s="121">
        <v>26</v>
      </c>
      <c r="D5046" s="121">
        <v>7</v>
      </c>
      <c r="E5046" s="121">
        <v>2544</v>
      </c>
    </row>
    <row r="5047" spans="1:5" ht="15">
      <c r="A5047" s="120" t="s">
        <v>597</v>
      </c>
      <c r="B5047" s="121">
        <v>24</v>
      </c>
      <c r="C5047" s="121">
        <v>27</v>
      </c>
      <c r="D5047" s="121">
        <v>3</v>
      </c>
      <c r="E5047" s="121">
        <v>143382</v>
      </c>
    </row>
    <row r="5048" spans="1:5" ht="15">
      <c r="A5048" s="120" t="s">
        <v>597</v>
      </c>
      <c r="B5048" s="121">
        <v>24</v>
      </c>
      <c r="C5048" s="121">
        <v>27</v>
      </c>
      <c r="D5048" s="121">
        <v>4</v>
      </c>
      <c r="E5048" s="121">
        <v>88427</v>
      </c>
    </row>
    <row r="5049" spans="1:5" ht="15">
      <c r="A5049" s="120" t="s">
        <v>597</v>
      </c>
      <c r="B5049" s="121">
        <v>24</v>
      </c>
      <c r="C5049" s="121">
        <v>31</v>
      </c>
      <c r="D5049" s="121">
        <v>2</v>
      </c>
      <c r="E5049" s="121">
        <v>350</v>
      </c>
    </row>
    <row r="5050" spans="1:5" ht="15">
      <c r="A5050" s="120" t="s">
        <v>597</v>
      </c>
      <c r="B5050" s="121">
        <v>24</v>
      </c>
      <c r="C5050" s="121">
        <v>31</v>
      </c>
      <c r="D5050" s="121">
        <v>3</v>
      </c>
      <c r="E5050" s="121">
        <v>350</v>
      </c>
    </row>
    <row r="5051" spans="1:5" ht="15">
      <c r="A5051" s="120" t="s">
        <v>597</v>
      </c>
      <c r="B5051" s="121">
        <v>24</v>
      </c>
      <c r="C5051" s="121">
        <v>31</v>
      </c>
      <c r="D5051" s="121">
        <v>4</v>
      </c>
      <c r="E5051" s="121">
        <v>101</v>
      </c>
    </row>
    <row r="5052" spans="1:5" ht="15">
      <c r="A5052" s="120" t="s">
        <v>597</v>
      </c>
      <c r="B5052" s="121">
        <v>24</v>
      </c>
      <c r="C5052" s="121">
        <v>31</v>
      </c>
      <c r="D5052" s="121">
        <v>5</v>
      </c>
      <c r="E5052" s="121">
        <v>2417</v>
      </c>
    </row>
    <row r="5053" spans="1:5" ht="15">
      <c r="A5053" s="120" t="s">
        <v>597</v>
      </c>
      <c r="B5053" s="121">
        <v>24</v>
      </c>
      <c r="C5053" s="121">
        <v>31</v>
      </c>
      <c r="D5053" s="121">
        <v>7</v>
      </c>
      <c r="E5053" s="121">
        <v>2416</v>
      </c>
    </row>
    <row r="5054" spans="1:5" ht="15">
      <c r="A5054" s="120" t="s">
        <v>597</v>
      </c>
      <c r="B5054" s="121">
        <v>29</v>
      </c>
      <c r="C5054" s="121">
        <v>27</v>
      </c>
      <c r="D5054" s="121">
        <v>7</v>
      </c>
      <c r="E5054" s="121">
        <v>140080</v>
      </c>
    </row>
    <row r="5055" spans="1:5" ht="15">
      <c r="A5055" s="120" t="s">
        <v>619</v>
      </c>
      <c r="B5055" s="121">
        <v>21</v>
      </c>
      <c r="C5055" s="121">
        <v>21</v>
      </c>
      <c r="D5055" s="121">
        <v>0</v>
      </c>
      <c r="E5055" s="121">
        <v>5000</v>
      </c>
    </row>
    <row r="5056" spans="1:5" ht="15">
      <c r="A5056" s="120" t="s">
        <v>619</v>
      </c>
      <c r="B5056" s="121">
        <v>21</v>
      </c>
      <c r="C5056" s="121">
        <v>21</v>
      </c>
      <c r="D5056" s="121">
        <v>2</v>
      </c>
      <c r="E5056" s="121">
        <v>247652</v>
      </c>
    </row>
    <row r="5057" spans="1:5" ht="15">
      <c r="A5057" s="120" t="s">
        <v>619</v>
      </c>
      <c r="B5057" s="121">
        <v>21</v>
      </c>
      <c r="C5057" s="121">
        <v>21</v>
      </c>
      <c r="D5057" s="121">
        <v>3</v>
      </c>
      <c r="E5057" s="121">
        <v>103168</v>
      </c>
    </row>
    <row r="5058" spans="1:5" ht="15">
      <c r="A5058" s="120" t="s">
        <v>619</v>
      </c>
      <c r="B5058" s="121">
        <v>21</v>
      </c>
      <c r="C5058" s="121">
        <v>21</v>
      </c>
      <c r="D5058" s="121">
        <v>4</v>
      </c>
      <c r="E5058" s="121">
        <v>92281</v>
      </c>
    </row>
    <row r="5059" spans="1:5" ht="15">
      <c r="A5059" s="120" t="s">
        <v>619</v>
      </c>
      <c r="B5059" s="121">
        <v>21</v>
      </c>
      <c r="C5059" s="121">
        <v>21</v>
      </c>
      <c r="D5059" s="121">
        <v>5</v>
      </c>
      <c r="E5059" s="121">
        <v>4000</v>
      </c>
    </row>
    <row r="5060" spans="1:5" ht="15">
      <c r="A5060" s="120" t="s">
        <v>619</v>
      </c>
      <c r="B5060" s="121">
        <v>21</v>
      </c>
      <c r="C5060" s="121">
        <v>21</v>
      </c>
      <c r="D5060" s="121">
        <v>7</v>
      </c>
      <c r="E5060" s="121">
        <v>1000</v>
      </c>
    </row>
    <row r="5061" spans="1:5" ht="15">
      <c r="A5061" s="120" t="s">
        <v>619</v>
      </c>
      <c r="B5061" s="121">
        <v>21</v>
      </c>
      <c r="C5061" s="121">
        <v>21</v>
      </c>
      <c r="D5061" s="121">
        <v>8</v>
      </c>
      <c r="E5061" s="121">
        <v>500</v>
      </c>
    </row>
    <row r="5062" spans="1:5" ht="15">
      <c r="A5062" s="120" t="s">
        <v>619</v>
      </c>
      <c r="B5062" s="121">
        <v>21</v>
      </c>
      <c r="C5062" s="121">
        <v>24</v>
      </c>
      <c r="D5062" s="121">
        <v>2</v>
      </c>
      <c r="E5062" s="121">
        <v>67217</v>
      </c>
    </row>
    <row r="5063" spans="1:5" ht="15">
      <c r="A5063" s="120" t="s">
        <v>619</v>
      </c>
      <c r="B5063" s="121">
        <v>21</v>
      </c>
      <c r="C5063" s="121">
        <v>24</v>
      </c>
      <c r="D5063" s="121">
        <v>4</v>
      </c>
      <c r="E5063" s="121">
        <v>20745</v>
      </c>
    </row>
    <row r="5064" spans="1:5" ht="15">
      <c r="A5064" s="120" t="s">
        <v>619</v>
      </c>
      <c r="B5064" s="121">
        <v>21</v>
      </c>
      <c r="C5064" s="121">
        <v>25</v>
      </c>
      <c r="D5064" s="121">
        <v>3</v>
      </c>
      <c r="E5064" s="121">
        <v>177275</v>
      </c>
    </row>
    <row r="5065" spans="1:5" ht="15">
      <c r="A5065" s="120" t="s">
        <v>619</v>
      </c>
      <c r="B5065" s="121">
        <v>21</v>
      </c>
      <c r="C5065" s="121">
        <v>25</v>
      </c>
      <c r="D5065" s="121">
        <v>4</v>
      </c>
      <c r="E5065" s="121">
        <v>161098</v>
      </c>
    </row>
    <row r="5066" spans="1:5" ht="15">
      <c r="A5066" s="120" t="s">
        <v>619</v>
      </c>
      <c r="B5066" s="121">
        <v>21</v>
      </c>
      <c r="C5066" s="121">
        <v>26</v>
      </c>
      <c r="D5066" s="121">
        <v>2</v>
      </c>
      <c r="E5066" s="121">
        <v>1710956</v>
      </c>
    </row>
    <row r="5067" spans="1:5" ht="15">
      <c r="A5067" s="120" t="s">
        <v>619</v>
      </c>
      <c r="B5067" s="121">
        <v>21</v>
      </c>
      <c r="C5067" s="121">
        <v>26</v>
      </c>
      <c r="D5067" s="121">
        <v>4</v>
      </c>
      <c r="E5067" s="121">
        <v>589876</v>
      </c>
    </row>
    <row r="5068" spans="1:5" ht="15">
      <c r="A5068" s="120" t="s">
        <v>619</v>
      </c>
      <c r="B5068" s="121">
        <v>21</v>
      </c>
      <c r="C5068" s="121">
        <v>26</v>
      </c>
      <c r="D5068" s="121">
        <v>5</v>
      </c>
      <c r="E5068" s="121">
        <v>36000</v>
      </c>
    </row>
    <row r="5069" spans="1:5" ht="15">
      <c r="A5069" s="120" t="s">
        <v>619</v>
      </c>
      <c r="B5069" s="121">
        <v>21</v>
      </c>
      <c r="C5069" s="121">
        <v>26</v>
      </c>
      <c r="D5069" s="121">
        <v>7</v>
      </c>
      <c r="E5069" s="121">
        <v>79550</v>
      </c>
    </row>
    <row r="5070" spans="1:5" ht="15">
      <c r="A5070" s="120" t="s">
        <v>619</v>
      </c>
      <c r="B5070" s="121">
        <v>21</v>
      </c>
      <c r="C5070" s="121">
        <v>26</v>
      </c>
      <c r="D5070" s="121">
        <v>8</v>
      </c>
      <c r="E5070" s="121">
        <v>1500</v>
      </c>
    </row>
    <row r="5071" spans="1:5" ht="15">
      <c r="A5071" s="120" t="s">
        <v>619</v>
      </c>
      <c r="B5071" s="121">
        <v>21</v>
      </c>
      <c r="C5071" s="121">
        <v>27</v>
      </c>
      <c r="D5071" s="121">
        <v>0</v>
      </c>
      <c r="E5071" s="121">
        <v>1800</v>
      </c>
    </row>
    <row r="5072" spans="1:5" ht="15">
      <c r="A5072" s="120" t="s">
        <v>619</v>
      </c>
      <c r="B5072" s="121">
        <v>21</v>
      </c>
      <c r="C5072" s="121">
        <v>27</v>
      </c>
      <c r="D5072" s="121">
        <v>2</v>
      </c>
      <c r="E5072" s="121">
        <v>2211062</v>
      </c>
    </row>
    <row r="5073" spans="1:5" ht="15">
      <c r="A5073" s="120" t="s">
        <v>619</v>
      </c>
      <c r="B5073" s="121">
        <v>21</v>
      </c>
      <c r="C5073" s="121">
        <v>27</v>
      </c>
      <c r="D5073" s="121">
        <v>3</v>
      </c>
      <c r="E5073" s="121">
        <v>2222392</v>
      </c>
    </row>
    <row r="5074" spans="1:5" ht="15">
      <c r="A5074" s="120" t="s">
        <v>619</v>
      </c>
      <c r="B5074" s="121">
        <v>21</v>
      </c>
      <c r="C5074" s="121">
        <v>27</v>
      </c>
      <c r="D5074" s="121">
        <v>4</v>
      </c>
      <c r="E5074" s="121">
        <v>1835342</v>
      </c>
    </row>
    <row r="5075" spans="1:5" ht="15">
      <c r="A5075" s="120" t="s">
        <v>619</v>
      </c>
      <c r="B5075" s="121">
        <v>21</v>
      </c>
      <c r="C5075" s="121">
        <v>27</v>
      </c>
      <c r="D5075" s="121">
        <v>5</v>
      </c>
      <c r="E5075" s="121">
        <v>31650</v>
      </c>
    </row>
    <row r="5076" spans="1:5" ht="15">
      <c r="A5076" s="120" t="s">
        <v>619</v>
      </c>
      <c r="B5076" s="121">
        <v>21</v>
      </c>
      <c r="C5076" s="121">
        <v>27</v>
      </c>
      <c r="D5076" s="121">
        <v>7</v>
      </c>
      <c r="E5076" s="121">
        <v>144000</v>
      </c>
    </row>
    <row r="5077" spans="1:5" ht="15">
      <c r="A5077" s="120" t="s">
        <v>619</v>
      </c>
      <c r="B5077" s="121">
        <v>21</v>
      </c>
      <c r="C5077" s="121">
        <v>29</v>
      </c>
      <c r="D5077" s="121">
        <v>7</v>
      </c>
      <c r="E5077" s="121">
        <v>8500</v>
      </c>
    </row>
    <row r="5078" spans="1:5" ht="15">
      <c r="A5078" s="120" t="s">
        <v>619</v>
      </c>
      <c r="B5078" s="121">
        <v>21</v>
      </c>
      <c r="C5078" s="121">
        <v>31</v>
      </c>
      <c r="D5078" s="121">
        <v>2</v>
      </c>
      <c r="E5078" s="121">
        <v>209526</v>
      </c>
    </row>
    <row r="5079" spans="1:5" ht="15">
      <c r="A5079" s="120" t="s">
        <v>619</v>
      </c>
      <c r="B5079" s="121">
        <v>21</v>
      </c>
      <c r="C5079" s="121">
        <v>31</v>
      </c>
      <c r="D5079" s="121">
        <v>3</v>
      </c>
      <c r="E5079" s="121">
        <v>15400</v>
      </c>
    </row>
    <row r="5080" spans="1:5" ht="15">
      <c r="A5080" s="120" t="s">
        <v>619</v>
      </c>
      <c r="B5080" s="121">
        <v>21</v>
      </c>
      <c r="C5080" s="121">
        <v>31</v>
      </c>
      <c r="D5080" s="121">
        <v>4</v>
      </c>
      <c r="E5080" s="121">
        <v>37022</v>
      </c>
    </row>
    <row r="5081" spans="1:5" ht="15">
      <c r="A5081" s="120" t="s">
        <v>619</v>
      </c>
      <c r="B5081" s="121">
        <v>21</v>
      </c>
      <c r="C5081" s="121">
        <v>31</v>
      </c>
      <c r="D5081" s="121">
        <v>5</v>
      </c>
      <c r="E5081" s="121">
        <v>5500</v>
      </c>
    </row>
    <row r="5082" spans="1:5" ht="15">
      <c r="A5082" s="120" t="s">
        <v>619</v>
      </c>
      <c r="B5082" s="121">
        <v>21</v>
      </c>
      <c r="C5082" s="121">
        <v>31</v>
      </c>
      <c r="D5082" s="121">
        <v>7</v>
      </c>
      <c r="E5082" s="121">
        <v>24000</v>
      </c>
    </row>
    <row r="5083" spans="1:5" ht="15">
      <c r="A5083" s="120" t="s">
        <v>619</v>
      </c>
      <c r="B5083" s="121">
        <v>21</v>
      </c>
      <c r="C5083" s="121">
        <v>31</v>
      </c>
      <c r="D5083" s="121">
        <v>8</v>
      </c>
      <c r="E5083" s="121">
        <v>1500</v>
      </c>
    </row>
    <row r="5084" spans="1:5" ht="15">
      <c r="A5084" s="120" t="s">
        <v>619</v>
      </c>
      <c r="B5084" s="121">
        <v>21</v>
      </c>
      <c r="C5084" s="121">
        <v>33</v>
      </c>
      <c r="D5084" s="121">
        <v>5</v>
      </c>
      <c r="E5084" s="121">
        <v>37050</v>
      </c>
    </row>
    <row r="5085" spans="1:5" ht="15">
      <c r="A5085" s="120" t="s">
        <v>619</v>
      </c>
      <c r="B5085" s="121">
        <v>21</v>
      </c>
      <c r="C5085" s="121">
        <v>34</v>
      </c>
      <c r="D5085" s="121">
        <v>2</v>
      </c>
      <c r="E5085" s="121">
        <v>93957</v>
      </c>
    </row>
    <row r="5086" spans="1:5" ht="15">
      <c r="A5086" s="120" t="s">
        <v>619</v>
      </c>
      <c r="B5086" s="121">
        <v>21</v>
      </c>
      <c r="C5086" s="121">
        <v>34</v>
      </c>
      <c r="D5086" s="121">
        <v>4</v>
      </c>
      <c r="E5086" s="121">
        <v>30908</v>
      </c>
    </row>
    <row r="5087" spans="1:5" ht="15">
      <c r="A5087" s="120" t="s">
        <v>549</v>
      </c>
      <c r="B5087" s="121">
        <v>21</v>
      </c>
      <c r="C5087" s="121">
        <v>21</v>
      </c>
      <c r="D5087" s="121">
        <v>2</v>
      </c>
      <c r="E5087" s="121">
        <v>1416292</v>
      </c>
    </row>
    <row r="5088" spans="1:5" ht="15">
      <c r="A5088" s="120" t="s">
        <v>549</v>
      </c>
      <c r="B5088" s="121">
        <v>21</v>
      </c>
      <c r="C5088" s="121">
        <v>21</v>
      </c>
      <c r="D5088" s="121">
        <v>3</v>
      </c>
      <c r="E5088" s="121">
        <v>396759</v>
      </c>
    </row>
    <row r="5089" spans="1:5" ht="15">
      <c r="A5089" s="120" t="s">
        <v>549</v>
      </c>
      <c r="B5089" s="121">
        <v>21</v>
      </c>
      <c r="C5089" s="121">
        <v>21</v>
      </c>
      <c r="D5089" s="121">
        <v>4</v>
      </c>
      <c r="E5089" s="121">
        <v>484664</v>
      </c>
    </row>
    <row r="5090" spans="1:5" ht="15">
      <c r="A5090" s="120" t="s">
        <v>549</v>
      </c>
      <c r="B5090" s="121">
        <v>21</v>
      </c>
      <c r="C5090" s="121">
        <v>25</v>
      </c>
      <c r="D5090" s="121">
        <v>3</v>
      </c>
      <c r="E5090" s="121">
        <v>533090</v>
      </c>
    </row>
    <row r="5091" spans="1:5" ht="15">
      <c r="A5091" s="120" t="s">
        <v>549</v>
      </c>
      <c r="B5091" s="121">
        <v>21</v>
      </c>
      <c r="C5091" s="121">
        <v>25</v>
      </c>
      <c r="D5091" s="121">
        <v>4</v>
      </c>
      <c r="E5091" s="121">
        <v>308253</v>
      </c>
    </row>
    <row r="5092" spans="1:5" ht="15">
      <c r="A5092" s="120" t="s">
        <v>549</v>
      </c>
      <c r="B5092" s="121">
        <v>21</v>
      </c>
      <c r="C5092" s="121">
        <v>26</v>
      </c>
      <c r="D5092" s="121">
        <v>2</v>
      </c>
      <c r="E5092" s="121">
        <v>17002865</v>
      </c>
    </row>
    <row r="5093" spans="1:5" ht="15">
      <c r="A5093" s="120" t="s">
        <v>549</v>
      </c>
      <c r="B5093" s="121">
        <v>21</v>
      </c>
      <c r="C5093" s="121">
        <v>26</v>
      </c>
      <c r="D5093" s="121">
        <v>3</v>
      </c>
      <c r="E5093" s="121">
        <v>618990</v>
      </c>
    </row>
    <row r="5094" spans="1:5" ht="15">
      <c r="A5094" s="120" t="s">
        <v>549</v>
      </c>
      <c r="B5094" s="121">
        <v>21</v>
      </c>
      <c r="C5094" s="121">
        <v>26</v>
      </c>
      <c r="D5094" s="121">
        <v>4</v>
      </c>
      <c r="E5094" s="121">
        <v>5037119</v>
      </c>
    </row>
    <row r="5095" spans="1:5" ht="15">
      <c r="A5095" s="120" t="s">
        <v>549</v>
      </c>
      <c r="B5095" s="121">
        <v>21</v>
      </c>
      <c r="C5095" s="121">
        <v>26</v>
      </c>
      <c r="D5095" s="121">
        <v>7</v>
      </c>
      <c r="E5095" s="121">
        <v>1837626</v>
      </c>
    </row>
    <row r="5096" spans="1:5" ht="15">
      <c r="A5096" s="120" t="s">
        <v>549</v>
      </c>
      <c r="B5096" s="121">
        <v>21</v>
      </c>
      <c r="C5096" s="121">
        <v>27</v>
      </c>
      <c r="D5096" s="121">
        <v>2</v>
      </c>
      <c r="E5096" s="121">
        <v>26020938</v>
      </c>
    </row>
    <row r="5097" spans="1:5" ht="15">
      <c r="A5097" s="120" t="s">
        <v>549</v>
      </c>
      <c r="B5097" s="121">
        <v>21</v>
      </c>
      <c r="C5097" s="121">
        <v>27</v>
      </c>
      <c r="D5097" s="121">
        <v>3</v>
      </c>
      <c r="E5097" s="121">
        <v>9873485</v>
      </c>
    </row>
    <row r="5098" spans="1:5" ht="15">
      <c r="A5098" s="120" t="s">
        <v>549</v>
      </c>
      <c r="B5098" s="121">
        <v>21</v>
      </c>
      <c r="C5098" s="121">
        <v>27</v>
      </c>
      <c r="D5098" s="121">
        <v>4</v>
      </c>
      <c r="E5098" s="121">
        <v>12522854</v>
      </c>
    </row>
    <row r="5099" spans="1:5" ht="15">
      <c r="A5099" s="120" t="s">
        <v>549</v>
      </c>
      <c r="B5099" s="121">
        <v>21</v>
      </c>
      <c r="C5099" s="121">
        <v>27</v>
      </c>
      <c r="D5099" s="121">
        <v>5</v>
      </c>
      <c r="E5099" s="121">
        <v>70000</v>
      </c>
    </row>
    <row r="5100" spans="1:5" ht="15">
      <c r="A5100" s="120" t="s">
        <v>549</v>
      </c>
      <c r="B5100" s="121">
        <v>21</v>
      </c>
      <c r="C5100" s="121">
        <v>27</v>
      </c>
      <c r="D5100" s="121">
        <v>7</v>
      </c>
      <c r="E5100" s="121">
        <v>1755784</v>
      </c>
    </row>
    <row r="5101" spans="1:5" ht="15">
      <c r="A5101" s="120" t="s">
        <v>549</v>
      </c>
      <c r="B5101" s="121">
        <v>21</v>
      </c>
      <c r="C5101" s="121">
        <v>27</v>
      </c>
      <c r="D5101" s="121">
        <v>8</v>
      </c>
      <c r="E5101" s="121">
        <v>30000</v>
      </c>
    </row>
    <row r="5102" spans="1:5" ht="15">
      <c r="A5102" s="120" t="s">
        <v>549</v>
      </c>
      <c r="B5102" s="121">
        <v>21</v>
      </c>
      <c r="C5102" s="121">
        <v>31</v>
      </c>
      <c r="D5102" s="121">
        <v>2</v>
      </c>
      <c r="E5102" s="121">
        <v>997114</v>
      </c>
    </row>
    <row r="5103" spans="1:5" ht="15">
      <c r="A5103" s="120" t="s">
        <v>549</v>
      </c>
      <c r="B5103" s="121">
        <v>21</v>
      </c>
      <c r="C5103" s="121">
        <v>31</v>
      </c>
      <c r="D5103" s="121">
        <v>3</v>
      </c>
      <c r="E5103" s="121">
        <v>136198</v>
      </c>
    </row>
    <row r="5104" spans="1:5" ht="15">
      <c r="A5104" s="120" t="s">
        <v>549</v>
      </c>
      <c r="B5104" s="121">
        <v>21</v>
      </c>
      <c r="C5104" s="121">
        <v>31</v>
      </c>
      <c r="D5104" s="121">
        <v>4</v>
      </c>
      <c r="E5104" s="121">
        <v>293934</v>
      </c>
    </row>
    <row r="5105" spans="1:5" ht="15">
      <c r="A5105" s="120" t="s">
        <v>549</v>
      </c>
      <c r="B5105" s="121">
        <v>21</v>
      </c>
      <c r="C5105" s="121">
        <v>33</v>
      </c>
      <c r="D5105" s="121">
        <v>3</v>
      </c>
      <c r="E5105" s="121">
        <v>86737</v>
      </c>
    </row>
    <row r="5106" spans="1:5" ht="15">
      <c r="A5106" s="120" t="s">
        <v>549</v>
      </c>
      <c r="B5106" s="121">
        <v>21</v>
      </c>
      <c r="C5106" s="121">
        <v>33</v>
      </c>
      <c r="D5106" s="121">
        <v>4</v>
      </c>
      <c r="E5106" s="121">
        <v>30781</v>
      </c>
    </row>
    <row r="5107" spans="1:5" ht="15">
      <c r="A5107" s="120" t="s">
        <v>549</v>
      </c>
      <c r="B5107" s="121">
        <v>21</v>
      </c>
      <c r="C5107" s="121">
        <v>34</v>
      </c>
      <c r="D5107" s="121">
        <v>2</v>
      </c>
      <c r="E5107" s="121">
        <v>453771</v>
      </c>
    </row>
    <row r="5108" spans="1:5" ht="15">
      <c r="A5108" s="120" t="s">
        <v>549</v>
      </c>
      <c r="B5108" s="121">
        <v>21</v>
      </c>
      <c r="C5108" s="121">
        <v>34</v>
      </c>
      <c r="D5108" s="121">
        <v>4</v>
      </c>
      <c r="E5108" s="121">
        <v>74964</v>
      </c>
    </row>
    <row r="5109" spans="1:5" ht="15">
      <c r="A5109" s="120" t="s">
        <v>549</v>
      </c>
      <c r="B5109" s="121">
        <v>24</v>
      </c>
      <c r="C5109" s="121">
        <v>27</v>
      </c>
      <c r="D5109" s="121">
        <v>2</v>
      </c>
      <c r="E5109" s="121">
        <v>65433</v>
      </c>
    </row>
    <row r="5110" spans="1:5" ht="15">
      <c r="A5110" s="120" t="s">
        <v>549</v>
      </c>
      <c r="B5110" s="121">
        <v>24</v>
      </c>
      <c r="C5110" s="121">
        <v>27</v>
      </c>
      <c r="D5110" s="121">
        <v>3</v>
      </c>
      <c r="E5110" s="121">
        <v>4885369</v>
      </c>
    </row>
    <row r="5111" spans="1:5" ht="15">
      <c r="A5111" s="120" t="s">
        <v>549</v>
      </c>
      <c r="B5111" s="121">
        <v>24</v>
      </c>
      <c r="C5111" s="121">
        <v>27</v>
      </c>
      <c r="D5111" s="121">
        <v>4</v>
      </c>
      <c r="E5111" s="121">
        <v>2576556</v>
      </c>
    </row>
    <row r="5112" spans="1:5" ht="15">
      <c r="A5112" s="120" t="s">
        <v>549</v>
      </c>
      <c r="B5112" s="121">
        <v>24</v>
      </c>
      <c r="C5112" s="121">
        <v>27</v>
      </c>
      <c r="D5112" s="121">
        <v>5</v>
      </c>
      <c r="E5112" s="121">
        <v>134644</v>
      </c>
    </row>
    <row r="5113" spans="1:5" ht="15">
      <c r="A5113" s="120" t="s">
        <v>549</v>
      </c>
      <c r="B5113" s="121">
        <v>24</v>
      </c>
      <c r="C5113" s="121">
        <v>31</v>
      </c>
      <c r="D5113" s="121">
        <v>2</v>
      </c>
      <c r="E5113" s="121">
        <v>683</v>
      </c>
    </row>
    <row r="5114" spans="1:5" ht="15">
      <c r="A5114" s="120" t="s">
        <v>549</v>
      </c>
      <c r="B5114" s="121">
        <v>24</v>
      </c>
      <c r="C5114" s="121">
        <v>31</v>
      </c>
      <c r="D5114" s="121">
        <v>3</v>
      </c>
      <c r="E5114" s="121">
        <v>62606</v>
      </c>
    </row>
    <row r="5115" spans="1:5" ht="15">
      <c r="A5115" s="120" t="s">
        <v>549</v>
      </c>
      <c r="B5115" s="121">
        <v>24</v>
      </c>
      <c r="C5115" s="121">
        <v>31</v>
      </c>
      <c r="D5115" s="121">
        <v>4</v>
      </c>
      <c r="E5115" s="121">
        <v>10690</v>
      </c>
    </row>
    <row r="5116" spans="1:5" ht="15">
      <c r="A5116" s="120" t="s">
        <v>619</v>
      </c>
      <c r="B5116" s="121">
        <v>24</v>
      </c>
      <c r="C5116" s="121">
        <v>26</v>
      </c>
      <c r="D5116" s="121">
        <v>2</v>
      </c>
      <c r="E5116" s="121">
        <v>201431</v>
      </c>
    </row>
    <row r="5117" spans="1:5" ht="15">
      <c r="A5117" s="120" t="s">
        <v>619</v>
      </c>
      <c r="B5117" s="121">
        <v>24</v>
      </c>
      <c r="C5117" s="121">
        <v>26</v>
      </c>
      <c r="D5117" s="121">
        <v>4</v>
      </c>
      <c r="E5117" s="121">
        <v>79610</v>
      </c>
    </row>
    <row r="5118" spans="1:5" ht="15">
      <c r="A5118" s="120" t="s">
        <v>619</v>
      </c>
      <c r="B5118" s="121">
        <v>24</v>
      </c>
      <c r="C5118" s="121">
        <v>27</v>
      </c>
      <c r="D5118" s="121">
        <v>2</v>
      </c>
      <c r="E5118" s="121">
        <v>433110</v>
      </c>
    </row>
    <row r="5119" spans="1:5" ht="15">
      <c r="A5119" s="120" t="s">
        <v>619</v>
      </c>
      <c r="B5119" s="121">
        <v>24</v>
      </c>
      <c r="C5119" s="121">
        <v>27</v>
      </c>
      <c r="D5119" s="121">
        <v>4</v>
      </c>
      <c r="E5119" s="121">
        <v>138596</v>
      </c>
    </row>
    <row r="5120" spans="1:5" ht="15">
      <c r="A5120" s="120" t="s">
        <v>619</v>
      </c>
      <c r="B5120" s="121">
        <v>24</v>
      </c>
      <c r="C5120" s="121">
        <v>31</v>
      </c>
      <c r="D5120" s="121">
        <v>2</v>
      </c>
      <c r="E5120" s="121">
        <v>26093</v>
      </c>
    </row>
    <row r="5121" spans="1:5" ht="15">
      <c r="A5121" s="120" t="s">
        <v>619</v>
      </c>
      <c r="B5121" s="121">
        <v>24</v>
      </c>
      <c r="C5121" s="121">
        <v>31</v>
      </c>
      <c r="D5121" s="121">
        <v>4</v>
      </c>
      <c r="E5121" s="121">
        <v>4237</v>
      </c>
    </row>
    <row r="5122" spans="1:5" ht="15">
      <c r="A5122" s="120" t="s">
        <v>619</v>
      </c>
      <c r="B5122" s="121">
        <v>26</v>
      </c>
      <c r="C5122" s="121">
        <v>27</v>
      </c>
      <c r="D5122" s="121">
        <v>5</v>
      </c>
      <c r="E5122" s="121">
        <v>1</v>
      </c>
    </row>
    <row r="5123" spans="1:5" ht="15">
      <c r="A5123" s="120" t="s">
        <v>571</v>
      </c>
      <c r="B5123" s="121">
        <v>21</v>
      </c>
      <c r="C5123" s="121">
        <v>27</v>
      </c>
      <c r="D5123" s="121">
        <v>7</v>
      </c>
      <c r="E5123" s="121">
        <v>260000</v>
      </c>
    </row>
    <row r="5124" spans="1:5" ht="15">
      <c r="A5124" s="120" t="s">
        <v>599</v>
      </c>
      <c r="B5124" s="121">
        <v>21</v>
      </c>
      <c r="C5124" s="121">
        <v>21</v>
      </c>
      <c r="D5124" s="121">
        <v>2</v>
      </c>
      <c r="E5124" s="121">
        <v>100860</v>
      </c>
    </row>
    <row r="5125" spans="1:5" ht="15">
      <c r="A5125" s="120" t="s">
        <v>599</v>
      </c>
      <c r="B5125" s="121">
        <v>21</v>
      </c>
      <c r="C5125" s="121">
        <v>21</v>
      </c>
      <c r="D5125" s="121">
        <v>3</v>
      </c>
      <c r="E5125" s="121">
        <v>35609</v>
      </c>
    </row>
    <row r="5126" spans="1:5" ht="15">
      <c r="A5126" s="120" t="s">
        <v>599</v>
      </c>
      <c r="B5126" s="121">
        <v>21</v>
      </c>
      <c r="C5126" s="121">
        <v>21</v>
      </c>
      <c r="D5126" s="121">
        <v>4</v>
      </c>
      <c r="E5126" s="121">
        <v>48399</v>
      </c>
    </row>
    <row r="5127" spans="1:5" ht="15">
      <c r="A5127" s="120" t="s">
        <v>599</v>
      </c>
      <c r="B5127" s="121">
        <v>21</v>
      </c>
      <c r="C5127" s="121">
        <v>21</v>
      </c>
      <c r="D5127" s="121">
        <v>5</v>
      </c>
      <c r="E5127" s="121">
        <v>7501</v>
      </c>
    </row>
    <row r="5128" spans="1:5" ht="15">
      <c r="A5128" s="120" t="s">
        <v>599</v>
      </c>
      <c r="B5128" s="121">
        <v>21</v>
      </c>
      <c r="C5128" s="121">
        <v>21</v>
      </c>
      <c r="D5128" s="121">
        <v>7</v>
      </c>
      <c r="E5128" s="121">
        <v>12200</v>
      </c>
    </row>
    <row r="5129" spans="1:5" ht="15">
      <c r="A5129" s="120" t="s">
        <v>599</v>
      </c>
      <c r="B5129" s="121">
        <v>21</v>
      </c>
      <c r="C5129" s="121">
        <v>21</v>
      </c>
      <c r="D5129" s="121">
        <v>8</v>
      </c>
      <c r="E5129" s="121">
        <v>1500</v>
      </c>
    </row>
    <row r="5130" spans="1:5" ht="15">
      <c r="A5130" s="120" t="s">
        <v>599</v>
      </c>
      <c r="B5130" s="121">
        <v>21</v>
      </c>
      <c r="C5130" s="121">
        <v>26</v>
      </c>
      <c r="D5130" s="121">
        <v>2</v>
      </c>
      <c r="E5130" s="121">
        <v>237088</v>
      </c>
    </row>
    <row r="5131" spans="1:5" ht="15">
      <c r="A5131" s="120" t="s">
        <v>599</v>
      </c>
      <c r="B5131" s="121">
        <v>21</v>
      </c>
      <c r="C5131" s="121">
        <v>26</v>
      </c>
      <c r="D5131" s="121">
        <v>3</v>
      </c>
      <c r="E5131" s="121">
        <v>75734</v>
      </c>
    </row>
    <row r="5132" spans="1:5" ht="15">
      <c r="A5132" s="120" t="s">
        <v>599</v>
      </c>
      <c r="B5132" s="121">
        <v>21</v>
      </c>
      <c r="C5132" s="121">
        <v>26</v>
      </c>
      <c r="D5132" s="121">
        <v>4</v>
      </c>
      <c r="E5132" s="121">
        <v>106900</v>
      </c>
    </row>
    <row r="5133" spans="1:5" ht="15">
      <c r="A5133" s="120" t="s">
        <v>599</v>
      </c>
      <c r="B5133" s="121">
        <v>21</v>
      </c>
      <c r="C5133" s="121">
        <v>26</v>
      </c>
      <c r="D5133" s="121">
        <v>5</v>
      </c>
      <c r="E5133" s="121">
        <v>3000</v>
      </c>
    </row>
    <row r="5134" spans="1:5" ht="15">
      <c r="A5134" s="120" t="s">
        <v>599</v>
      </c>
      <c r="B5134" s="121">
        <v>21</v>
      </c>
      <c r="C5134" s="121">
        <v>26</v>
      </c>
      <c r="D5134" s="121">
        <v>7</v>
      </c>
      <c r="E5134" s="121">
        <v>189771</v>
      </c>
    </row>
    <row r="5135" spans="1:5" ht="15">
      <c r="A5135" s="120" t="s">
        <v>599</v>
      </c>
      <c r="B5135" s="121">
        <v>21</v>
      </c>
      <c r="C5135" s="121">
        <v>27</v>
      </c>
      <c r="D5135" s="121">
        <v>2</v>
      </c>
      <c r="E5135" s="121">
        <v>525067</v>
      </c>
    </row>
    <row r="5136" spans="1:5" ht="15">
      <c r="A5136" s="120" t="s">
        <v>599</v>
      </c>
      <c r="B5136" s="121">
        <v>21</v>
      </c>
      <c r="C5136" s="121">
        <v>27</v>
      </c>
      <c r="D5136" s="121">
        <v>3</v>
      </c>
      <c r="E5136" s="121">
        <v>201762</v>
      </c>
    </row>
    <row r="5137" spans="1:5" ht="15">
      <c r="A5137" s="120" t="s">
        <v>599</v>
      </c>
      <c r="B5137" s="121">
        <v>21</v>
      </c>
      <c r="C5137" s="121">
        <v>27</v>
      </c>
      <c r="D5137" s="121">
        <v>4</v>
      </c>
      <c r="E5137" s="121">
        <v>356742</v>
      </c>
    </row>
    <row r="5138" spans="1:5" ht="15">
      <c r="A5138" s="120" t="s">
        <v>599</v>
      </c>
      <c r="B5138" s="121">
        <v>21</v>
      </c>
      <c r="C5138" s="121">
        <v>27</v>
      </c>
      <c r="D5138" s="121">
        <v>5</v>
      </c>
      <c r="E5138" s="121">
        <v>7586</v>
      </c>
    </row>
    <row r="5139" spans="1:5" ht="15">
      <c r="A5139" s="120" t="s">
        <v>599</v>
      </c>
      <c r="B5139" s="121">
        <v>21</v>
      </c>
      <c r="C5139" s="121">
        <v>27</v>
      </c>
      <c r="D5139" s="121">
        <v>7</v>
      </c>
      <c r="E5139" s="121">
        <v>92500</v>
      </c>
    </row>
    <row r="5140" spans="1:5" ht="15">
      <c r="A5140" s="120" t="s">
        <v>599</v>
      </c>
      <c r="B5140" s="121">
        <v>21</v>
      </c>
      <c r="C5140" s="121">
        <v>27</v>
      </c>
      <c r="D5140" s="121">
        <v>8</v>
      </c>
      <c r="E5140" s="121">
        <v>1500</v>
      </c>
    </row>
    <row r="5141" spans="1:5" ht="15">
      <c r="A5141" s="120" t="s">
        <v>599</v>
      </c>
      <c r="B5141" s="121">
        <v>21</v>
      </c>
      <c r="C5141" s="121">
        <v>31</v>
      </c>
      <c r="D5141" s="121">
        <v>2</v>
      </c>
      <c r="E5141" s="121">
        <v>12184</v>
      </c>
    </row>
    <row r="5142" spans="1:5" ht="15">
      <c r="A5142" s="120" t="s">
        <v>599</v>
      </c>
      <c r="B5142" s="121">
        <v>21</v>
      </c>
      <c r="C5142" s="121">
        <v>31</v>
      </c>
      <c r="D5142" s="121">
        <v>4</v>
      </c>
      <c r="E5142" s="121">
        <v>1076</v>
      </c>
    </row>
    <row r="5143" spans="1:5" ht="15">
      <c r="A5143" s="120" t="s">
        <v>599</v>
      </c>
      <c r="B5143" s="121">
        <v>21</v>
      </c>
      <c r="C5143" s="121">
        <v>31</v>
      </c>
      <c r="D5143" s="121">
        <v>7</v>
      </c>
      <c r="E5143" s="121">
        <v>42500</v>
      </c>
    </row>
    <row r="5144" spans="1:5" ht="15">
      <c r="A5144" s="120" t="s">
        <v>599</v>
      </c>
      <c r="B5144" s="121">
        <v>21</v>
      </c>
      <c r="C5144" s="121">
        <v>31</v>
      </c>
      <c r="D5144" s="121">
        <v>8</v>
      </c>
      <c r="E5144" s="121">
        <v>3000</v>
      </c>
    </row>
    <row r="5145" spans="1:5" ht="15">
      <c r="A5145" s="120" t="s">
        <v>599</v>
      </c>
      <c r="B5145" s="121">
        <v>21</v>
      </c>
      <c r="C5145" s="121">
        <v>32</v>
      </c>
      <c r="D5145" s="121">
        <v>5</v>
      </c>
      <c r="E5145" s="121">
        <v>6000</v>
      </c>
    </row>
    <row r="5146" spans="1:5" ht="15">
      <c r="A5146" s="120" t="s">
        <v>599</v>
      </c>
      <c r="B5146" s="121">
        <v>21</v>
      </c>
      <c r="C5146" s="121">
        <v>32</v>
      </c>
      <c r="D5146" s="121">
        <v>7</v>
      </c>
      <c r="E5146" s="121">
        <v>10500</v>
      </c>
    </row>
    <row r="5147" spans="1:5" ht="15">
      <c r="A5147" s="120" t="s">
        <v>599</v>
      </c>
      <c r="B5147" s="121">
        <v>21</v>
      </c>
      <c r="C5147" s="121">
        <v>33</v>
      </c>
      <c r="D5147" s="121">
        <v>5</v>
      </c>
      <c r="E5147" s="121">
        <v>3000</v>
      </c>
    </row>
    <row r="5148" spans="1:5" ht="15">
      <c r="A5148" s="120" t="s">
        <v>599</v>
      </c>
      <c r="B5148" s="121">
        <v>24</v>
      </c>
      <c r="C5148" s="121">
        <v>21</v>
      </c>
      <c r="D5148" s="121">
        <v>2</v>
      </c>
      <c r="E5148" s="121">
        <v>12608</v>
      </c>
    </row>
    <row r="5149" spans="1:5" ht="15">
      <c r="A5149" s="120" t="s">
        <v>599</v>
      </c>
      <c r="B5149" s="121">
        <v>24</v>
      </c>
      <c r="C5149" s="121">
        <v>21</v>
      </c>
      <c r="D5149" s="121">
        <v>4</v>
      </c>
      <c r="E5149" s="121">
        <v>3605</v>
      </c>
    </row>
    <row r="5150" spans="1:5" ht="15">
      <c r="A5150" s="120" t="s">
        <v>599</v>
      </c>
      <c r="B5150" s="121">
        <v>24</v>
      </c>
      <c r="C5150" s="121">
        <v>21</v>
      </c>
      <c r="D5150" s="121">
        <v>5</v>
      </c>
      <c r="E5150" s="121">
        <v>4525</v>
      </c>
    </row>
    <row r="5151" spans="1:5" ht="15">
      <c r="A5151" s="120" t="s">
        <v>599</v>
      </c>
      <c r="B5151" s="121">
        <v>24</v>
      </c>
      <c r="C5151" s="121">
        <v>21</v>
      </c>
      <c r="D5151" s="121">
        <v>7</v>
      </c>
      <c r="E5151" s="121">
        <v>2000</v>
      </c>
    </row>
    <row r="5152" spans="1:5" ht="15">
      <c r="A5152" s="120" t="s">
        <v>599</v>
      </c>
      <c r="B5152" s="121">
        <v>24</v>
      </c>
      <c r="C5152" s="121">
        <v>27</v>
      </c>
      <c r="D5152" s="121">
        <v>2</v>
      </c>
      <c r="E5152" s="121">
        <v>67599</v>
      </c>
    </row>
    <row r="5153" spans="1:5" ht="15">
      <c r="A5153" s="120" t="s">
        <v>599</v>
      </c>
      <c r="B5153" s="121">
        <v>24</v>
      </c>
      <c r="C5153" s="121">
        <v>27</v>
      </c>
      <c r="D5153" s="121">
        <v>3</v>
      </c>
      <c r="E5153" s="121">
        <v>129437</v>
      </c>
    </row>
    <row r="5154" spans="1:5" ht="15">
      <c r="A5154" s="120" t="s">
        <v>599</v>
      </c>
      <c r="B5154" s="121">
        <v>24</v>
      </c>
      <c r="C5154" s="121">
        <v>27</v>
      </c>
      <c r="D5154" s="121">
        <v>4</v>
      </c>
      <c r="E5154" s="121">
        <v>71832</v>
      </c>
    </row>
    <row r="5155" spans="1:5" ht="15">
      <c r="A5155" s="120" t="s">
        <v>599</v>
      </c>
      <c r="B5155" s="121">
        <v>24</v>
      </c>
      <c r="C5155" s="121">
        <v>27</v>
      </c>
      <c r="D5155" s="121">
        <v>5</v>
      </c>
      <c r="E5155" s="121">
        <v>4837</v>
      </c>
    </row>
    <row r="5156" spans="1:5" ht="15">
      <c r="A5156" s="120" t="s">
        <v>599</v>
      </c>
      <c r="B5156" s="121">
        <v>24</v>
      </c>
      <c r="C5156" s="121">
        <v>27</v>
      </c>
      <c r="D5156" s="121">
        <v>7</v>
      </c>
      <c r="E5156" s="121">
        <v>4530</v>
      </c>
    </row>
    <row r="5157" spans="1:5" ht="15">
      <c r="A5157" s="120" t="s">
        <v>599</v>
      </c>
      <c r="B5157" s="121">
        <v>24</v>
      </c>
      <c r="C5157" s="121">
        <v>31</v>
      </c>
      <c r="D5157" s="121">
        <v>2</v>
      </c>
      <c r="E5157" s="121">
        <v>271</v>
      </c>
    </row>
    <row r="5158" spans="1:5" ht="15">
      <c r="A5158" s="120" t="s">
        <v>599</v>
      </c>
      <c r="B5158" s="121">
        <v>24</v>
      </c>
      <c r="C5158" s="121">
        <v>31</v>
      </c>
      <c r="D5158" s="121">
        <v>4</v>
      </c>
      <c r="E5158" s="121">
        <v>47</v>
      </c>
    </row>
    <row r="5159" spans="1:5" ht="15">
      <c r="A5159" s="120" t="s">
        <v>599</v>
      </c>
      <c r="B5159" s="121">
        <v>24</v>
      </c>
      <c r="C5159" s="121">
        <v>31</v>
      </c>
      <c r="D5159" s="121">
        <v>7</v>
      </c>
      <c r="E5159" s="121">
        <v>2000</v>
      </c>
    </row>
    <row r="5160" spans="1:5" ht="15">
      <c r="A5160" s="120" t="s">
        <v>599</v>
      </c>
      <c r="B5160" s="121">
        <v>24</v>
      </c>
      <c r="C5160" s="121">
        <v>31</v>
      </c>
      <c r="D5160" s="121">
        <v>8</v>
      </c>
      <c r="E5160" s="121">
        <v>3500</v>
      </c>
    </row>
    <row r="5161" spans="1:5" ht="15">
      <c r="A5161" s="120" t="s">
        <v>607</v>
      </c>
      <c r="B5161" s="121">
        <v>21</v>
      </c>
      <c r="C5161" s="121">
        <v>21</v>
      </c>
      <c r="D5161" s="121">
        <v>2</v>
      </c>
      <c r="E5161" s="121">
        <v>12011</v>
      </c>
    </row>
    <row r="5162" spans="1:5" ht="15">
      <c r="A5162" s="120" t="s">
        <v>607</v>
      </c>
      <c r="B5162" s="121">
        <v>21</v>
      </c>
      <c r="C5162" s="121">
        <v>21</v>
      </c>
      <c r="D5162" s="121">
        <v>4</v>
      </c>
      <c r="E5162" s="121">
        <v>2121</v>
      </c>
    </row>
    <row r="5163" spans="1:5" ht="15">
      <c r="A5163" s="120" t="s">
        <v>607</v>
      </c>
      <c r="B5163" s="121">
        <v>21</v>
      </c>
      <c r="C5163" s="121">
        <v>26</v>
      </c>
      <c r="D5163" s="121">
        <v>2</v>
      </c>
      <c r="E5163" s="121">
        <v>168684</v>
      </c>
    </row>
    <row r="5164" spans="1:5" ht="15">
      <c r="A5164" s="120" t="s">
        <v>607</v>
      </c>
      <c r="B5164" s="121">
        <v>21</v>
      </c>
      <c r="C5164" s="121">
        <v>26</v>
      </c>
      <c r="D5164" s="121">
        <v>4</v>
      </c>
      <c r="E5164" s="121">
        <v>60197</v>
      </c>
    </row>
    <row r="5165" spans="1:5" ht="15">
      <c r="A5165" s="120" t="s">
        <v>607</v>
      </c>
      <c r="B5165" s="121">
        <v>21</v>
      </c>
      <c r="C5165" s="121">
        <v>27</v>
      </c>
      <c r="D5165" s="121">
        <v>2</v>
      </c>
      <c r="E5165" s="121">
        <v>155124</v>
      </c>
    </row>
    <row r="5166" spans="1:5" ht="15">
      <c r="A5166" s="120" t="s">
        <v>607</v>
      </c>
      <c r="B5166" s="121">
        <v>21</v>
      </c>
      <c r="C5166" s="121">
        <v>27</v>
      </c>
      <c r="D5166" s="121">
        <v>3</v>
      </c>
      <c r="E5166" s="121">
        <v>221239</v>
      </c>
    </row>
    <row r="5167" spans="1:5" ht="15">
      <c r="A5167" s="120" t="s">
        <v>607</v>
      </c>
      <c r="B5167" s="121">
        <v>21</v>
      </c>
      <c r="C5167" s="121">
        <v>27</v>
      </c>
      <c r="D5167" s="121">
        <v>4</v>
      </c>
      <c r="E5167" s="121">
        <v>217763</v>
      </c>
    </row>
    <row r="5168" spans="1:5" ht="15">
      <c r="A5168" s="120" t="s">
        <v>607</v>
      </c>
      <c r="B5168" s="121">
        <v>21</v>
      </c>
      <c r="C5168" s="121">
        <v>27</v>
      </c>
      <c r="D5168" s="121">
        <v>5</v>
      </c>
      <c r="E5168" s="121">
        <v>28032</v>
      </c>
    </row>
    <row r="5169" spans="1:5" ht="15">
      <c r="A5169" s="120" t="s">
        <v>607</v>
      </c>
      <c r="B5169" s="121">
        <v>21</v>
      </c>
      <c r="C5169" s="121">
        <v>27</v>
      </c>
      <c r="D5169" s="121">
        <v>7</v>
      </c>
      <c r="E5169" s="121">
        <v>198280</v>
      </c>
    </row>
    <row r="5170" spans="1:5" ht="15">
      <c r="A5170" s="120" t="s">
        <v>621</v>
      </c>
      <c r="B5170" s="121">
        <v>21</v>
      </c>
      <c r="C5170" s="121">
        <v>29</v>
      </c>
      <c r="D5170" s="121">
        <v>7</v>
      </c>
      <c r="E5170" s="121">
        <v>2472540</v>
      </c>
    </row>
    <row r="5171" spans="1:5" ht="15">
      <c r="A5171" s="120" t="s">
        <v>607</v>
      </c>
      <c r="B5171" s="121">
        <v>24</v>
      </c>
      <c r="C5171" s="121">
        <v>26</v>
      </c>
      <c r="D5171" s="121">
        <v>2</v>
      </c>
      <c r="E5171" s="121">
        <v>48464</v>
      </c>
    </row>
    <row r="5172" spans="1:5" ht="15">
      <c r="A5172" s="120" t="s">
        <v>607</v>
      </c>
      <c r="B5172" s="121">
        <v>24</v>
      </c>
      <c r="C5172" s="121">
        <v>26</v>
      </c>
      <c r="D5172" s="121">
        <v>4</v>
      </c>
      <c r="E5172" s="121">
        <v>16467</v>
      </c>
    </row>
    <row r="5173" spans="1:5" ht="15">
      <c r="A5173" s="120" t="s">
        <v>607</v>
      </c>
      <c r="B5173" s="121">
        <v>24</v>
      </c>
      <c r="C5173" s="121">
        <v>26</v>
      </c>
      <c r="D5173" s="121">
        <v>5</v>
      </c>
      <c r="E5173" s="121">
        <v>5000</v>
      </c>
    </row>
    <row r="5174" spans="1:5" ht="15">
      <c r="A5174" s="120" t="s">
        <v>607</v>
      </c>
      <c r="B5174" s="121">
        <v>24</v>
      </c>
      <c r="C5174" s="121">
        <v>26</v>
      </c>
      <c r="D5174" s="121">
        <v>7</v>
      </c>
      <c r="E5174" s="121">
        <v>29411</v>
      </c>
    </row>
    <row r="5175" spans="1:5" ht="15">
      <c r="A5175" s="120" t="s">
        <v>607</v>
      </c>
      <c r="B5175" s="121">
        <v>29</v>
      </c>
      <c r="C5175" s="121">
        <v>27</v>
      </c>
      <c r="D5175" s="121">
        <v>2</v>
      </c>
      <c r="E5175" s="121">
        <v>81074</v>
      </c>
    </row>
    <row r="5176" spans="1:5" ht="15">
      <c r="A5176" s="120" t="s">
        <v>607</v>
      </c>
      <c r="B5176" s="121">
        <v>29</v>
      </c>
      <c r="C5176" s="121">
        <v>27</v>
      </c>
      <c r="D5176" s="121">
        <v>4</v>
      </c>
      <c r="E5176" s="121">
        <v>25547</v>
      </c>
    </row>
    <row r="5177" spans="1:5" ht="15">
      <c r="A5177" s="120" t="s">
        <v>607</v>
      </c>
      <c r="B5177" s="121">
        <v>29</v>
      </c>
      <c r="C5177" s="121">
        <v>27</v>
      </c>
      <c r="D5177" s="121">
        <v>7</v>
      </c>
      <c r="E5177" s="121">
        <v>10000</v>
      </c>
    </row>
    <row r="5178" spans="1:5" ht="15">
      <c r="A5178" s="120" t="s">
        <v>607</v>
      </c>
      <c r="B5178" s="121">
        <v>29</v>
      </c>
      <c r="C5178" s="121">
        <v>27</v>
      </c>
      <c r="D5178" s="121">
        <v>8</v>
      </c>
      <c r="E5178" s="121">
        <v>10000</v>
      </c>
    </row>
    <row r="5179" spans="1:5" ht="15">
      <c r="A5179" s="120" t="s">
        <v>607</v>
      </c>
      <c r="B5179" s="121">
        <v>29</v>
      </c>
      <c r="C5179" s="121">
        <v>31</v>
      </c>
      <c r="D5179" s="121">
        <v>8</v>
      </c>
      <c r="E5179" s="121">
        <v>5150</v>
      </c>
    </row>
    <row r="5180" spans="1:5" ht="15">
      <c r="A5180" s="120" t="s">
        <v>551</v>
      </c>
      <c r="B5180" s="121">
        <v>21</v>
      </c>
      <c r="C5180" s="121">
        <v>21</v>
      </c>
      <c r="D5180" s="121">
        <v>2</v>
      </c>
      <c r="E5180" s="121">
        <v>34205</v>
      </c>
    </row>
    <row r="5181" spans="1:5" ht="15">
      <c r="A5181" s="120" t="s">
        <v>551</v>
      </c>
      <c r="B5181" s="121">
        <v>21</v>
      </c>
      <c r="C5181" s="121">
        <v>21</v>
      </c>
      <c r="D5181" s="121">
        <v>4</v>
      </c>
      <c r="E5181" s="121">
        <v>10805</v>
      </c>
    </row>
    <row r="5182" spans="1:5" ht="15">
      <c r="A5182" s="120" t="s">
        <v>551</v>
      </c>
      <c r="B5182" s="121">
        <v>21</v>
      </c>
      <c r="C5182" s="121">
        <v>21</v>
      </c>
      <c r="D5182" s="121">
        <v>5</v>
      </c>
      <c r="E5182" s="121">
        <v>1000</v>
      </c>
    </row>
    <row r="5183" spans="1:5" ht="15">
      <c r="A5183" s="120" t="s">
        <v>551</v>
      </c>
      <c r="B5183" s="121">
        <v>21</v>
      </c>
      <c r="C5183" s="121">
        <v>26</v>
      </c>
      <c r="D5183" s="121">
        <v>3</v>
      </c>
      <c r="E5183" s="121">
        <v>61500</v>
      </c>
    </row>
    <row r="5184" spans="1:5" ht="15">
      <c r="A5184" s="120" t="s">
        <v>551</v>
      </c>
      <c r="B5184" s="121">
        <v>21</v>
      </c>
      <c r="C5184" s="121">
        <v>26</v>
      </c>
      <c r="D5184" s="121">
        <v>4</v>
      </c>
      <c r="E5184" s="121">
        <v>17297</v>
      </c>
    </row>
    <row r="5185" spans="1:5" ht="15">
      <c r="A5185" s="120" t="s">
        <v>551</v>
      </c>
      <c r="B5185" s="121">
        <v>21</v>
      </c>
      <c r="C5185" s="121">
        <v>26</v>
      </c>
      <c r="D5185" s="121">
        <v>7</v>
      </c>
      <c r="E5185" s="121">
        <v>25000</v>
      </c>
    </row>
    <row r="5186" spans="1:5" ht="15">
      <c r="A5186" s="120" t="s">
        <v>551</v>
      </c>
      <c r="B5186" s="121">
        <v>21</v>
      </c>
      <c r="C5186" s="121">
        <v>27</v>
      </c>
      <c r="D5186" s="121">
        <v>2</v>
      </c>
      <c r="E5186" s="121">
        <v>174983</v>
      </c>
    </row>
    <row r="5187" spans="1:5" ht="15">
      <c r="A5187" s="120" t="s">
        <v>551</v>
      </c>
      <c r="B5187" s="121">
        <v>21</v>
      </c>
      <c r="C5187" s="121">
        <v>27</v>
      </c>
      <c r="D5187" s="121">
        <v>3</v>
      </c>
      <c r="E5187" s="121">
        <v>69845</v>
      </c>
    </row>
    <row r="5188" spans="1:5" ht="15">
      <c r="A5188" s="120" t="s">
        <v>551</v>
      </c>
      <c r="B5188" s="121">
        <v>21</v>
      </c>
      <c r="C5188" s="121">
        <v>27</v>
      </c>
      <c r="D5188" s="121">
        <v>4</v>
      </c>
      <c r="E5188" s="121">
        <v>77545</v>
      </c>
    </row>
    <row r="5189" spans="1:5" ht="15">
      <c r="A5189" s="120" t="s">
        <v>551</v>
      </c>
      <c r="B5189" s="121">
        <v>21</v>
      </c>
      <c r="C5189" s="121">
        <v>27</v>
      </c>
      <c r="D5189" s="121">
        <v>5</v>
      </c>
      <c r="E5189" s="121">
        <v>32701</v>
      </c>
    </row>
    <row r="5190" spans="1:5" ht="15">
      <c r="A5190" s="120" t="s">
        <v>551</v>
      </c>
      <c r="B5190" s="121">
        <v>21</v>
      </c>
      <c r="C5190" s="121">
        <v>27</v>
      </c>
      <c r="D5190" s="121">
        <v>8</v>
      </c>
      <c r="E5190" s="121">
        <v>1000</v>
      </c>
    </row>
    <row r="5191" spans="1:5" ht="15">
      <c r="A5191" s="120" t="s">
        <v>551</v>
      </c>
      <c r="B5191" s="121">
        <v>24</v>
      </c>
      <c r="C5191" s="121">
        <v>26</v>
      </c>
      <c r="D5191" s="121">
        <v>7</v>
      </c>
      <c r="E5191" s="121">
        <v>44000</v>
      </c>
    </row>
    <row r="5192" spans="1:5" ht="15">
      <c r="A5192" s="120" t="s">
        <v>551</v>
      </c>
      <c r="B5192" s="121">
        <v>29</v>
      </c>
      <c r="C5192" s="121">
        <v>27</v>
      </c>
      <c r="D5192" s="121">
        <v>3</v>
      </c>
      <c r="E5192" s="121">
        <v>39178</v>
      </c>
    </row>
    <row r="5193" spans="1:5" ht="15">
      <c r="A5193" s="120" t="s">
        <v>551</v>
      </c>
      <c r="B5193" s="121">
        <v>29</v>
      </c>
      <c r="C5193" s="121">
        <v>27</v>
      </c>
      <c r="D5193" s="121">
        <v>4</v>
      </c>
      <c r="E5193" s="121">
        <v>23305</v>
      </c>
    </row>
    <row r="5194" spans="1:5" ht="15">
      <c r="A5194" s="120" t="s">
        <v>305</v>
      </c>
      <c r="B5194" s="121">
        <v>21</v>
      </c>
      <c r="C5194" s="121">
        <v>21</v>
      </c>
      <c r="D5194" s="121">
        <v>2</v>
      </c>
      <c r="E5194" s="121">
        <v>167055</v>
      </c>
    </row>
    <row r="5195" spans="1:5" ht="15">
      <c r="A5195" s="120" t="s">
        <v>305</v>
      </c>
      <c r="B5195" s="121">
        <v>21</v>
      </c>
      <c r="C5195" s="121">
        <v>21</v>
      </c>
      <c r="D5195" s="121">
        <v>3</v>
      </c>
      <c r="E5195" s="121">
        <v>71321</v>
      </c>
    </row>
    <row r="5196" spans="1:5" ht="15">
      <c r="A5196" s="120" t="s">
        <v>305</v>
      </c>
      <c r="B5196" s="121">
        <v>21</v>
      </c>
      <c r="C5196" s="121">
        <v>21</v>
      </c>
      <c r="D5196" s="121">
        <v>4</v>
      </c>
      <c r="E5196" s="121">
        <v>72331</v>
      </c>
    </row>
    <row r="5197" spans="1:5" ht="15">
      <c r="A5197" s="120" t="s">
        <v>305</v>
      </c>
      <c r="B5197" s="121">
        <v>21</v>
      </c>
      <c r="C5197" s="121">
        <v>25</v>
      </c>
      <c r="D5197" s="121">
        <v>3</v>
      </c>
      <c r="E5197" s="121">
        <v>62138</v>
      </c>
    </row>
    <row r="5198" spans="1:5" ht="15">
      <c r="A5198" s="120" t="s">
        <v>305</v>
      </c>
      <c r="B5198" s="121">
        <v>21</v>
      </c>
      <c r="C5198" s="121">
        <v>25</v>
      </c>
      <c r="D5198" s="121">
        <v>4</v>
      </c>
      <c r="E5198" s="121">
        <v>51148</v>
      </c>
    </row>
    <row r="5199" spans="1:5" ht="15">
      <c r="A5199" s="120" t="s">
        <v>305</v>
      </c>
      <c r="B5199" s="121">
        <v>21</v>
      </c>
      <c r="C5199" s="121">
        <v>26</v>
      </c>
      <c r="D5199" s="121">
        <v>2</v>
      </c>
      <c r="E5199" s="121">
        <v>699360</v>
      </c>
    </row>
    <row r="5200" spans="1:5" ht="15">
      <c r="A5200" s="120" t="s">
        <v>305</v>
      </c>
      <c r="B5200" s="121">
        <v>21</v>
      </c>
      <c r="C5200" s="121">
        <v>26</v>
      </c>
      <c r="D5200" s="121">
        <v>3</v>
      </c>
      <c r="E5200" s="121">
        <v>400</v>
      </c>
    </row>
    <row r="5201" spans="1:5" ht="15">
      <c r="A5201" s="120" t="s">
        <v>305</v>
      </c>
      <c r="B5201" s="121">
        <v>21</v>
      </c>
      <c r="C5201" s="121">
        <v>26</v>
      </c>
      <c r="D5201" s="121">
        <v>4</v>
      </c>
      <c r="E5201" s="121">
        <v>215698</v>
      </c>
    </row>
    <row r="5202" spans="1:5" ht="15">
      <c r="A5202" s="120" t="s">
        <v>305</v>
      </c>
      <c r="B5202" s="121">
        <v>21</v>
      </c>
      <c r="C5202" s="121">
        <v>26</v>
      </c>
      <c r="D5202" s="121">
        <v>7</v>
      </c>
      <c r="E5202" s="121">
        <v>86000</v>
      </c>
    </row>
    <row r="5203" spans="1:5" ht="15">
      <c r="A5203" s="120" t="s">
        <v>305</v>
      </c>
      <c r="B5203" s="121">
        <v>21</v>
      </c>
      <c r="C5203" s="121">
        <v>27</v>
      </c>
      <c r="D5203" s="121">
        <v>0</v>
      </c>
      <c r="E5203" s="121">
        <v>531</v>
      </c>
    </row>
    <row r="5204" spans="1:5" ht="15">
      <c r="A5204" s="120" t="s">
        <v>305</v>
      </c>
      <c r="B5204" s="121">
        <v>21</v>
      </c>
      <c r="C5204" s="121">
        <v>27</v>
      </c>
      <c r="D5204" s="121">
        <v>2</v>
      </c>
      <c r="E5204" s="121">
        <v>950672</v>
      </c>
    </row>
    <row r="5205" spans="1:5" ht="15">
      <c r="A5205" s="120" t="s">
        <v>305</v>
      </c>
      <c r="B5205" s="121">
        <v>21</v>
      </c>
      <c r="C5205" s="121">
        <v>27</v>
      </c>
      <c r="D5205" s="121">
        <v>3</v>
      </c>
      <c r="E5205" s="121">
        <v>1050494</v>
      </c>
    </row>
    <row r="5206" spans="1:5" ht="15">
      <c r="A5206" s="120" t="s">
        <v>305</v>
      </c>
      <c r="B5206" s="121">
        <v>21</v>
      </c>
      <c r="C5206" s="121">
        <v>27</v>
      </c>
      <c r="D5206" s="121">
        <v>4</v>
      </c>
      <c r="E5206" s="121">
        <v>960490</v>
      </c>
    </row>
    <row r="5207" spans="1:5" ht="15">
      <c r="A5207" s="120" t="s">
        <v>305</v>
      </c>
      <c r="B5207" s="121">
        <v>21</v>
      </c>
      <c r="C5207" s="121">
        <v>27</v>
      </c>
      <c r="D5207" s="121">
        <v>5</v>
      </c>
      <c r="E5207" s="121">
        <v>11397</v>
      </c>
    </row>
    <row r="5208" spans="1:5" ht="15">
      <c r="A5208" s="120" t="s">
        <v>305</v>
      </c>
      <c r="B5208" s="121">
        <v>21</v>
      </c>
      <c r="C5208" s="121">
        <v>27</v>
      </c>
      <c r="D5208" s="121">
        <v>7</v>
      </c>
      <c r="E5208" s="121">
        <v>457864</v>
      </c>
    </row>
    <row r="5209" spans="1:5" ht="15">
      <c r="A5209" s="120" t="s">
        <v>305</v>
      </c>
      <c r="B5209" s="121">
        <v>21</v>
      </c>
      <c r="C5209" s="121">
        <v>27</v>
      </c>
      <c r="D5209" s="121">
        <v>8</v>
      </c>
      <c r="E5209" s="121">
        <v>20700</v>
      </c>
    </row>
    <row r="5210" spans="1:5" ht="15">
      <c r="A5210" s="120" t="s">
        <v>305</v>
      </c>
      <c r="B5210" s="121">
        <v>21</v>
      </c>
      <c r="C5210" s="121">
        <v>31</v>
      </c>
      <c r="D5210" s="121">
        <v>0</v>
      </c>
      <c r="E5210" s="121">
        <v>600</v>
      </c>
    </row>
    <row r="5211" spans="1:5" ht="15">
      <c r="A5211" s="120" t="s">
        <v>305</v>
      </c>
      <c r="B5211" s="121">
        <v>21</v>
      </c>
      <c r="C5211" s="121">
        <v>31</v>
      </c>
      <c r="D5211" s="121">
        <v>5</v>
      </c>
      <c r="E5211" s="121">
        <v>1</v>
      </c>
    </row>
    <row r="5212" spans="1:5" ht="15">
      <c r="A5212" s="120" t="s">
        <v>305</v>
      </c>
      <c r="B5212" s="121">
        <v>21</v>
      </c>
      <c r="C5212" s="121">
        <v>31</v>
      </c>
      <c r="D5212" s="121">
        <v>7</v>
      </c>
      <c r="E5212" s="121">
        <v>4000</v>
      </c>
    </row>
    <row r="5213" spans="1:5" ht="15">
      <c r="A5213" s="120" t="s">
        <v>305</v>
      </c>
      <c r="B5213" s="121">
        <v>21</v>
      </c>
      <c r="C5213" s="121">
        <v>31</v>
      </c>
      <c r="D5213" s="121">
        <v>8</v>
      </c>
      <c r="E5213" s="121">
        <v>1600</v>
      </c>
    </row>
    <row r="5214" spans="1:5" ht="15">
      <c r="A5214" s="120" t="s">
        <v>305</v>
      </c>
      <c r="B5214" s="121">
        <v>21</v>
      </c>
      <c r="C5214" s="121">
        <v>34</v>
      </c>
      <c r="D5214" s="121">
        <v>2</v>
      </c>
      <c r="E5214" s="121">
        <v>32321</v>
      </c>
    </row>
    <row r="5215" spans="1:5" ht="15">
      <c r="A5215" s="120" t="s">
        <v>305</v>
      </c>
      <c r="B5215" s="121">
        <v>21</v>
      </c>
      <c r="C5215" s="121">
        <v>34</v>
      </c>
      <c r="D5215" s="121">
        <v>4</v>
      </c>
      <c r="E5215" s="121">
        <v>10692</v>
      </c>
    </row>
    <row r="5216" spans="1:5" ht="15">
      <c r="A5216" s="120" t="s">
        <v>305</v>
      </c>
      <c r="B5216" s="121">
        <v>24</v>
      </c>
      <c r="C5216" s="121">
        <v>27</v>
      </c>
      <c r="D5216" s="121">
        <v>2</v>
      </c>
      <c r="E5216" s="121">
        <v>238112</v>
      </c>
    </row>
    <row r="5217" spans="1:5" ht="15">
      <c r="A5217" s="120" t="s">
        <v>305</v>
      </c>
      <c r="B5217" s="121">
        <v>24</v>
      </c>
      <c r="C5217" s="121">
        <v>27</v>
      </c>
      <c r="D5217" s="121">
        <v>3</v>
      </c>
      <c r="E5217" s="121">
        <v>31858</v>
      </c>
    </row>
    <row r="5218" spans="1:5" ht="15">
      <c r="A5218" s="120" t="s">
        <v>305</v>
      </c>
      <c r="B5218" s="121">
        <v>24</v>
      </c>
      <c r="C5218" s="121">
        <v>27</v>
      </c>
      <c r="D5218" s="121">
        <v>4</v>
      </c>
      <c r="E5218" s="121">
        <v>90553</v>
      </c>
    </row>
    <row r="5219" spans="1:5" ht="15">
      <c r="A5219" s="120" t="s">
        <v>305</v>
      </c>
      <c r="B5219" s="121">
        <v>24</v>
      </c>
      <c r="C5219" s="121">
        <v>27</v>
      </c>
      <c r="D5219" s="121">
        <v>5</v>
      </c>
      <c r="E5219" s="121">
        <v>4</v>
      </c>
    </row>
    <row r="5220" spans="1:5" ht="15">
      <c r="A5220" s="120" t="s">
        <v>305</v>
      </c>
      <c r="B5220" s="121">
        <v>24</v>
      </c>
      <c r="C5220" s="121">
        <v>27</v>
      </c>
      <c r="D5220" s="121">
        <v>7</v>
      </c>
      <c r="E5220" s="121">
        <v>3</v>
      </c>
    </row>
    <row r="5221" spans="1:5" ht="15">
      <c r="A5221" s="120" t="s">
        <v>305</v>
      </c>
      <c r="B5221" s="121">
        <v>24</v>
      </c>
      <c r="C5221" s="121">
        <v>27</v>
      </c>
      <c r="D5221" s="121">
        <v>8</v>
      </c>
      <c r="E5221" s="121">
        <v>1</v>
      </c>
    </row>
    <row r="5222" spans="1:5" ht="15">
      <c r="A5222" s="120" t="s">
        <v>305</v>
      </c>
      <c r="B5222" s="121">
        <v>24</v>
      </c>
      <c r="C5222" s="121">
        <v>31</v>
      </c>
      <c r="D5222" s="121">
        <v>7</v>
      </c>
      <c r="E5222" s="121">
        <v>1</v>
      </c>
    </row>
    <row r="5223" spans="1:5" ht="15">
      <c r="A5223" s="120" t="s">
        <v>623</v>
      </c>
      <c r="B5223" s="121">
        <v>21</v>
      </c>
      <c r="C5223" s="121">
        <v>26</v>
      </c>
      <c r="D5223" s="121">
        <v>7</v>
      </c>
      <c r="E5223" s="121">
        <v>366631</v>
      </c>
    </row>
    <row r="5224" spans="1:5" ht="15">
      <c r="A5224" s="120" t="s">
        <v>623</v>
      </c>
      <c r="B5224" s="121">
        <v>21</v>
      </c>
      <c r="C5224" s="121">
        <v>27</v>
      </c>
      <c r="D5224" s="121">
        <v>3</v>
      </c>
      <c r="E5224" s="121">
        <v>76182</v>
      </c>
    </row>
    <row r="5225" spans="1:5" ht="15">
      <c r="A5225" s="120" t="s">
        <v>623</v>
      </c>
      <c r="B5225" s="121">
        <v>21</v>
      </c>
      <c r="C5225" s="121">
        <v>27</v>
      </c>
      <c r="D5225" s="121">
        <v>4</v>
      </c>
      <c r="E5225" s="121">
        <v>24493</v>
      </c>
    </row>
    <row r="5226" spans="1:5" ht="15">
      <c r="A5226" s="120" t="s">
        <v>623</v>
      </c>
      <c r="B5226" s="121">
        <v>24</v>
      </c>
      <c r="C5226" s="121">
        <v>27</v>
      </c>
      <c r="D5226" s="121">
        <v>3</v>
      </c>
      <c r="E5226" s="121">
        <v>23817</v>
      </c>
    </row>
    <row r="5227" spans="1:5" ht="15">
      <c r="A5227" s="120" t="s">
        <v>623</v>
      </c>
      <c r="B5227" s="121">
        <v>24</v>
      </c>
      <c r="C5227" s="121">
        <v>27</v>
      </c>
      <c r="D5227" s="121">
        <v>4</v>
      </c>
      <c r="E5227" s="121">
        <v>7657</v>
      </c>
    </row>
    <row r="5228" spans="1:5" ht="15">
      <c r="A5228" s="120" t="s">
        <v>573</v>
      </c>
      <c r="B5228" s="121">
        <v>21</v>
      </c>
      <c r="C5228" s="121">
        <v>21</v>
      </c>
      <c r="D5228" s="121">
        <v>2</v>
      </c>
      <c r="E5228" s="121">
        <v>146939</v>
      </c>
    </row>
    <row r="5229" spans="1:5" ht="15">
      <c r="A5229" s="120" t="s">
        <v>573</v>
      </c>
      <c r="B5229" s="121">
        <v>21</v>
      </c>
      <c r="C5229" s="121">
        <v>21</v>
      </c>
      <c r="D5229" s="121">
        <v>3</v>
      </c>
      <c r="E5229" s="121">
        <v>70372</v>
      </c>
    </row>
    <row r="5230" spans="1:5" ht="15">
      <c r="A5230" s="120" t="s">
        <v>573</v>
      </c>
      <c r="B5230" s="121">
        <v>21</v>
      </c>
      <c r="C5230" s="121">
        <v>21</v>
      </c>
      <c r="D5230" s="121">
        <v>4</v>
      </c>
      <c r="E5230" s="121">
        <v>61257</v>
      </c>
    </row>
    <row r="5231" spans="1:5" ht="15">
      <c r="A5231" s="120" t="s">
        <v>573</v>
      </c>
      <c r="B5231" s="121">
        <v>21</v>
      </c>
      <c r="C5231" s="121">
        <v>21</v>
      </c>
      <c r="D5231" s="121">
        <v>5</v>
      </c>
      <c r="E5231" s="121">
        <v>500</v>
      </c>
    </row>
    <row r="5232" spans="1:5" ht="15">
      <c r="A5232" s="120" t="s">
        <v>573</v>
      </c>
      <c r="B5232" s="121">
        <v>21</v>
      </c>
      <c r="C5232" s="121">
        <v>21</v>
      </c>
      <c r="D5232" s="121">
        <v>7</v>
      </c>
      <c r="E5232" s="121">
        <v>1000</v>
      </c>
    </row>
    <row r="5233" spans="1:5" ht="15">
      <c r="A5233" s="120" t="s">
        <v>573</v>
      </c>
      <c r="B5233" s="121">
        <v>21</v>
      </c>
      <c r="C5233" s="121">
        <v>21</v>
      </c>
      <c r="D5233" s="121">
        <v>8</v>
      </c>
      <c r="E5233" s="121">
        <v>500</v>
      </c>
    </row>
    <row r="5234" spans="1:5" ht="15">
      <c r="A5234" s="120" t="s">
        <v>573</v>
      </c>
      <c r="B5234" s="121">
        <v>21</v>
      </c>
      <c r="C5234" s="121">
        <v>22</v>
      </c>
      <c r="D5234" s="121">
        <v>3</v>
      </c>
      <c r="E5234" s="121">
        <v>500</v>
      </c>
    </row>
    <row r="5235" spans="1:5" ht="15">
      <c r="A5235" s="120" t="s">
        <v>573</v>
      </c>
      <c r="B5235" s="121">
        <v>21</v>
      </c>
      <c r="C5235" s="121">
        <v>26</v>
      </c>
      <c r="D5235" s="121">
        <v>2</v>
      </c>
      <c r="E5235" s="121">
        <v>1586691</v>
      </c>
    </row>
    <row r="5236" spans="1:5" ht="15">
      <c r="A5236" s="120" t="s">
        <v>573</v>
      </c>
      <c r="B5236" s="121">
        <v>21</v>
      </c>
      <c r="C5236" s="121">
        <v>26</v>
      </c>
      <c r="D5236" s="121">
        <v>4</v>
      </c>
      <c r="E5236" s="121">
        <v>453961</v>
      </c>
    </row>
    <row r="5237" spans="1:5" ht="15">
      <c r="A5237" s="120" t="s">
        <v>573</v>
      </c>
      <c r="B5237" s="121">
        <v>21</v>
      </c>
      <c r="C5237" s="121">
        <v>26</v>
      </c>
      <c r="D5237" s="121">
        <v>5</v>
      </c>
      <c r="E5237" s="121">
        <v>12500</v>
      </c>
    </row>
    <row r="5238" spans="1:5" ht="15">
      <c r="A5238" s="120" t="s">
        <v>573</v>
      </c>
      <c r="B5238" s="121">
        <v>21</v>
      </c>
      <c r="C5238" s="121">
        <v>26</v>
      </c>
      <c r="D5238" s="121">
        <v>7</v>
      </c>
      <c r="E5238" s="121">
        <v>450000</v>
      </c>
    </row>
    <row r="5239" spans="1:5" ht="15">
      <c r="A5239" s="120" t="s">
        <v>573</v>
      </c>
      <c r="B5239" s="121">
        <v>21</v>
      </c>
      <c r="C5239" s="121">
        <v>26</v>
      </c>
      <c r="D5239" s="121">
        <v>8</v>
      </c>
      <c r="E5239" s="121">
        <v>150</v>
      </c>
    </row>
    <row r="5240" spans="1:5" ht="15">
      <c r="A5240" s="120" t="s">
        <v>573</v>
      </c>
      <c r="B5240" s="121">
        <v>21</v>
      </c>
      <c r="C5240" s="121">
        <v>27</v>
      </c>
      <c r="D5240" s="121">
        <v>0</v>
      </c>
      <c r="E5240" s="121">
        <v>6000</v>
      </c>
    </row>
    <row r="5241" spans="1:5" ht="15">
      <c r="A5241" s="120" t="s">
        <v>573</v>
      </c>
      <c r="B5241" s="121">
        <v>21</v>
      </c>
      <c r="C5241" s="121">
        <v>27</v>
      </c>
      <c r="D5241" s="121">
        <v>2</v>
      </c>
      <c r="E5241" s="121">
        <v>1813356</v>
      </c>
    </row>
    <row r="5242" spans="1:5" ht="15">
      <c r="A5242" s="120" t="s">
        <v>573</v>
      </c>
      <c r="B5242" s="121">
        <v>21</v>
      </c>
      <c r="C5242" s="121">
        <v>27</v>
      </c>
      <c r="D5242" s="121">
        <v>3</v>
      </c>
      <c r="E5242" s="121">
        <v>1664395</v>
      </c>
    </row>
    <row r="5243" spans="1:5" ht="15">
      <c r="A5243" s="120" t="s">
        <v>573</v>
      </c>
      <c r="B5243" s="121">
        <v>21</v>
      </c>
      <c r="C5243" s="121">
        <v>27</v>
      </c>
      <c r="D5243" s="121">
        <v>4</v>
      </c>
      <c r="E5243" s="121">
        <v>1224985</v>
      </c>
    </row>
    <row r="5244" spans="1:5" ht="15">
      <c r="A5244" s="120" t="s">
        <v>573</v>
      </c>
      <c r="B5244" s="121">
        <v>21</v>
      </c>
      <c r="C5244" s="121">
        <v>27</v>
      </c>
      <c r="D5244" s="121">
        <v>5</v>
      </c>
      <c r="E5244" s="121">
        <v>23712</v>
      </c>
    </row>
    <row r="5245" spans="1:5" ht="15">
      <c r="A5245" s="120" t="s">
        <v>573</v>
      </c>
      <c r="B5245" s="121">
        <v>21</v>
      </c>
      <c r="C5245" s="121">
        <v>27</v>
      </c>
      <c r="D5245" s="121">
        <v>7</v>
      </c>
      <c r="E5245" s="121">
        <v>295000</v>
      </c>
    </row>
    <row r="5246" spans="1:5" ht="15">
      <c r="A5246" s="120" t="s">
        <v>573</v>
      </c>
      <c r="B5246" s="121">
        <v>21</v>
      </c>
      <c r="C5246" s="121">
        <v>27</v>
      </c>
      <c r="D5246" s="121">
        <v>8</v>
      </c>
      <c r="E5246" s="121">
        <v>300</v>
      </c>
    </row>
    <row r="5247" spans="1:5" ht="15">
      <c r="A5247" s="120" t="s">
        <v>573</v>
      </c>
      <c r="B5247" s="121">
        <v>21</v>
      </c>
      <c r="C5247" s="121">
        <v>29</v>
      </c>
      <c r="D5247" s="121">
        <v>7</v>
      </c>
      <c r="E5247" s="121">
        <v>5000</v>
      </c>
    </row>
    <row r="5248" spans="1:5" ht="15">
      <c r="A5248" s="120" t="s">
        <v>573</v>
      </c>
      <c r="B5248" s="121">
        <v>21</v>
      </c>
      <c r="C5248" s="121">
        <v>31</v>
      </c>
      <c r="D5248" s="121">
        <v>2</v>
      </c>
      <c r="E5248" s="121">
        <v>334395</v>
      </c>
    </row>
    <row r="5249" spans="1:5" ht="15">
      <c r="A5249" s="120" t="s">
        <v>573</v>
      </c>
      <c r="B5249" s="121">
        <v>21</v>
      </c>
      <c r="C5249" s="121">
        <v>31</v>
      </c>
      <c r="D5249" s="121">
        <v>4</v>
      </c>
      <c r="E5249" s="121">
        <v>53391</v>
      </c>
    </row>
    <row r="5250" spans="1:5" ht="15">
      <c r="A5250" s="120" t="s">
        <v>573</v>
      </c>
      <c r="B5250" s="121">
        <v>21</v>
      </c>
      <c r="C5250" s="121">
        <v>31</v>
      </c>
      <c r="D5250" s="121">
        <v>7</v>
      </c>
      <c r="E5250" s="121">
        <v>1000</v>
      </c>
    </row>
    <row r="5251" spans="1:5" ht="15">
      <c r="A5251" s="120" t="s">
        <v>573</v>
      </c>
      <c r="B5251" s="121">
        <v>21</v>
      </c>
      <c r="C5251" s="121">
        <v>34</v>
      </c>
      <c r="D5251" s="121">
        <v>2</v>
      </c>
      <c r="E5251" s="121">
        <v>52832</v>
      </c>
    </row>
    <row r="5252" spans="1:5" ht="15">
      <c r="A5252" s="120" t="s">
        <v>573</v>
      </c>
      <c r="B5252" s="121">
        <v>21</v>
      </c>
      <c r="C5252" s="121">
        <v>34</v>
      </c>
      <c r="D5252" s="121">
        <v>4</v>
      </c>
      <c r="E5252" s="121">
        <v>8304</v>
      </c>
    </row>
    <row r="5253" spans="1:5" ht="15">
      <c r="A5253" s="120" t="s">
        <v>553</v>
      </c>
      <c r="B5253" s="121">
        <v>21</v>
      </c>
      <c r="C5253" s="121">
        <v>21</v>
      </c>
      <c r="D5253" s="121">
        <v>2</v>
      </c>
      <c r="E5253" s="121">
        <v>760549</v>
      </c>
    </row>
    <row r="5254" spans="1:5" ht="15">
      <c r="A5254" s="120" t="s">
        <v>553</v>
      </c>
      <c r="B5254" s="121">
        <v>21</v>
      </c>
      <c r="C5254" s="121">
        <v>21</v>
      </c>
      <c r="D5254" s="121">
        <v>3</v>
      </c>
      <c r="E5254" s="121">
        <v>188245</v>
      </c>
    </row>
    <row r="5255" spans="1:5" ht="15">
      <c r="A5255" s="120" t="s">
        <v>553</v>
      </c>
      <c r="B5255" s="121">
        <v>21</v>
      </c>
      <c r="C5255" s="121">
        <v>21</v>
      </c>
      <c r="D5255" s="121">
        <v>4</v>
      </c>
      <c r="E5255" s="121">
        <v>269964</v>
      </c>
    </row>
    <row r="5256" spans="1:5" ht="15">
      <c r="A5256" s="120" t="s">
        <v>553</v>
      </c>
      <c r="B5256" s="121">
        <v>21</v>
      </c>
      <c r="C5256" s="121">
        <v>21</v>
      </c>
      <c r="D5256" s="121">
        <v>5</v>
      </c>
      <c r="E5256" s="121">
        <v>72000</v>
      </c>
    </row>
    <row r="5257" spans="1:5" ht="15">
      <c r="A5257" s="120" t="s">
        <v>553</v>
      </c>
      <c r="B5257" s="121">
        <v>21</v>
      </c>
      <c r="C5257" s="121">
        <v>21</v>
      </c>
      <c r="D5257" s="121">
        <v>7</v>
      </c>
      <c r="E5257" s="121">
        <v>29950</v>
      </c>
    </row>
    <row r="5258" spans="1:5" ht="15">
      <c r="A5258" s="120" t="s">
        <v>553</v>
      </c>
      <c r="B5258" s="121">
        <v>21</v>
      </c>
      <c r="C5258" s="121">
        <v>21</v>
      </c>
      <c r="D5258" s="121">
        <v>8</v>
      </c>
      <c r="E5258" s="121">
        <v>8400</v>
      </c>
    </row>
    <row r="5259" spans="1:5" ht="15">
      <c r="A5259" s="120" t="s">
        <v>553</v>
      </c>
      <c r="B5259" s="121">
        <v>21</v>
      </c>
      <c r="C5259" s="121">
        <v>26</v>
      </c>
      <c r="D5259" s="121">
        <v>2</v>
      </c>
      <c r="E5259" s="121">
        <v>3779780</v>
      </c>
    </row>
    <row r="5260" spans="1:5" ht="15">
      <c r="A5260" s="120" t="s">
        <v>553</v>
      </c>
      <c r="B5260" s="121">
        <v>21</v>
      </c>
      <c r="C5260" s="121">
        <v>26</v>
      </c>
      <c r="D5260" s="121">
        <v>3</v>
      </c>
      <c r="E5260" s="121">
        <v>164207</v>
      </c>
    </row>
    <row r="5261" spans="1:5" ht="15">
      <c r="A5261" s="120" t="s">
        <v>553</v>
      </c>
      <c r="B5261" s="121">
        <v>21</v>
      </c>
      <c r="C5261" s="121">
        <v>26</v>
      </c>
      <c r="D5261" s="121">
        <v>4</v>
      </c>
      <c r="E5261" s="121">
        <v>1183232</v>
      </c>
    </row>
    <row r="5262" spans="1:5" ht="15">
      <c r="A5262" s="120" t="s">
        <v>573</v>
      </c>
      <c r="B5262" s="121">
        <v>24</v>
      </c>
      <c r="C5262" s="121">
        <v>27</v>
      </c>
      <c r="D5262" s="121">
        <v>2</v>
      </c>
      <c r="E5262" s="121">
        <v>13827</v>
      </c>
    </row>
    <row r="5263" spans="1:5" ht="15">
      <c r="A5263" s="120" t="s">
        <v>573</v>
      </c>
      <c r="B5263" s="121">
        <v>24</v>
      </c>
      <c r="C5263" s="121">
        <v>27</v>
      </c>
      <c r="D5263" s="121">
        <v>4</v>
      </c>
      <c r="E5263" s="121">
        <v>3303</v>
      </c>
    </row>
    <row r="5264" spans="1:5" ht="15">
      <c r="A5264" s="120" t="s">
        <v>573</v>
      </c>
      <c r="B5264" s="121">
        <v>24</v>
      </c>
      <c r="C5264" s="121">
        <v>27</v>
      </c>
      <c r="D5264" s="121">
        <v>7</v>
      </c>
      <c r="E5264" s="121">
        <v>627966</v>
      </c>
    </row>
    <row r="5265" spans="1:5" ht="15">
      <c r="A5265" s="120" t="s">
        <v>573</v>
      </c>
      <c r="B5265" s="121">
        <v>24</v>
      </c>
      <c r="C5265" s="121">
        <v>31</v>
      </c>
      <c r="D5265" s="121">
        <v>2</v>
      </c>
      <c r="E5265" s="121">
        <v>1983</v>
      </c>
    </row>
    <row r="5266" spans="1:5" ht="15">
      <c r="A5266" s="120" t="s">
        <v>573</v>
      </c>
      <c r="B5266" s="121">
        <v>24</v>
      </c>
      <c r="C5266" s="121">
        <v>31</v>
      </c>
      <c r="D5266" s="121">
        <v>4</v>
      </c>
      <c r="E5266" s="121">
        <v>244</v>
      </c>
    </row>
    <row r="5267" spans="1:5" ht="15">
      <c r="A5267" s="120" t="s">
        <v>553</v>
      </c>
      <c r="B5267" s="121">
        <v>21</v>
      </c>
      <c r="C5267" s="121">
        <v>26</v>
      </c>
      <c r="D5267" s="121">
        <v>5</v>
      </c>
      <c r="E5267" s="121">
        <v>17750</v>
      </c>
    </row>
    <row r="5268" spans="1:5" ht="15">
      <c r="A5268" s="120" t="s">
        <v>553</v>
      </c>
      <c r="B5268" s="121">
        <v>21</v>
      </c>
      <c r="C5268" s="121">
        <v>26</v>
      </c>
      <c r="D5268" s="121">
        <v>7</v>
      </c>
      <c r="E5268" s="121">
        <v>705400</v>
      </c>
    </row>
    <row r="5269" spans="1:5" ht="15">
      <c r="A5269" s="120" t="s">
        <v>553</v>
      </c>
      <c r="B5269" s="121">
        <v>21</v>
      </c>
      <c r="C5269" s="121">
        <v>27</v>
      </c>
      <c r="D5269" s="121">
        <v>0</v>
      </c>
      <c r="E5269" s="121">
        <v>2870</v>
      </c>
    </row>
    <row r="5270" spans="1:5" ht="15">
      <c r="A5270" s="120" t="s">
        <v>553</v>
      </c>
      <c r="B5270" s="121">
        <v>21</v>
      </c>
      <c r="C5270" s="121">
        <v>27</v>
      </c>
      <c r="D5270" s="121">
        <v>2</v>
      </c>
      <c r="E5270" s="121">
        <v>6537528</v>
      </c>
    </row>
    <row r="5271" spans="1:5" ht="15">
      <c r="A5271" s="120" t="s">
        <v>553</v>
      </c>
      <c r="B5271" s="121">
        <v>21</v>
      </c>
      <c r="C5271" s="121">
        <v>27</v>
      </c>
      <c r="D5271" s="121">
        <v>3</v>
      </c>
      <c r="E5271" s="121">
        <v>7177864</v>
      </c>
    </row>
    <row r="5272" spans="1:5" ht="15">
      <c r="A5272" s="120" t="s">
        <v>553</v>
      </c>
      <c r="B5272" s="121">
        <v>21</v>
      </c>
      <c r="C5272" s="121">
        <v>27</v>
      </c>
      <c r="D5272" s="121">
        <v>4</v>
      </c>
      <c r="E5272" s="121">
        <v>6489947</v>
      </c>
    </row>
    <row r="5273" spans="1:5" ht="15">
      <c r="A5273" s="120" t="s">
        <v>553</v>
      </c>
      <c r="B5273" s="121">
        <v>21</v>
      </c>
      <c r="C5273" s="121">
        <v>27</v>
      </c>
      <c r="D5273" s="121">
        <v>5</v>
      </c>
      <c r="E5273" s="121">
        <v>81826</v>
      </c>
    </row>
    <row r="5274" spans="1:5" ht="15">
      <c r="A5274" s="120" t="s">
        <v>553</v>
      </c>
      <c r="B5274" s="121">
        <v>21</v>
      </c>
      <c r="C5274" s="121">
        <v>27</v>
      </c>
      <c r="D5274" s="121">
        <v>7</v>
      </c>
      <c r="E5274" s="121">
        <v>3474000</v>
      </c>
    </row>
    <row r="5275" spans="1:5" ht="15">
      <c r="A5275" s="120" t="s">
        <v>553</v>
      </c>
      <c r="B5275" s="121">
        <v>21</v>
      </c>
      <c r="C5275" s="121">
        <v>27</v>
      </c>
      <c r="D5275" s="121">
        <v>8</v>
      </c>
      <c r="E5275" s="121">
        <v>1000</v>
      </c>
    </row>
    <row r="5276" spans="1:5" ht="15">
      <c r="A5276" s="120" t="s">
        <v>553</v>
      </c>
      <c r="B5276" s="121">
        <v>21</v>
      </c>
      <c r="C5276" s="121">
        <v>28</v>
      </c>
      <c r="D5276" s="121">
        <v>7</v>
      </c>
      <c r="E5276" s="121">
        <v>2500</v>
      </c>
    </row>
    <row r="5277" spans="1:5" ht="15">
      <c r="A5277" s="120" t="s">
        <v>553</v>
      </c>
      <c r="B5277" s="121">
        <v>21</v>
      </c>
      <c r="C5277" s="121">
        <v>28</v>
      </c>
      <c r="D5277" s="121">
        <v>8</v>
      </c>
      <c r="E5277" s="121">
        <v>1850</v>
      </c>
    </row>
    <row r="5278" spans="1:5" ht="15">
      <c r="A5278" s="120" t="s">
        <v>553</v>
      </c>
      <c r="B5278" s="121">
        <v>21</v>
      </c>
      <c r="C5278" s="121">
        <v>33</v>
      </c>
      <c r="D5278" s="121">
        <v>2</v>
      </c>
      <c r="E5278" s="121">
        <v>30000</v>
      </c>
    </row>
    <row r="5279" spans="1:5" ht="15">
      <c r="A5279" s="120" t="s">
        <v>553</v>
      </c>
      <c r="B5279" s="121">
        <v>21</v>
      </c>
      <c r="C5279" s="121">
        <v>33</v>
      </c>
      <c r="D5279" s="121">
        <v>4</v>
      </c>
      <c r="E5279" s="121">
        <v>3924</v>
      </c>
    </row>
    <row r="5280" spans="1:5" ht="15">
      <c r="A5280" s="120" t="s">
        <v>553</v>
      </c>
      <c r="B5280" s="121">
        <v>21</v>
      </c>
      <c r="C5280" s="121">
        <v>33</v>
      </c>
      <c r="D5280" s="121">
        <v>5</v>
      </c>
      <c r="E5280" s="121">
        <v>50500</v>
      </c>
    </row>
    <row r="5281" spans="1:5" ht="15">
      <c r="A5281" s="120" t="s">
        <v>553</v>
      </c>
      <c r="B5281" s="121">
        <v>21</v>
      </c>
      <c r="C5281" s="121">
        <v>33</v>
      </c>
      <c r="D5281" s="121">
        <v>7</v>
      </c>
      <c r="E5281" s="121">
        <v>15000</v>
      </c>
    </row>
    <row r="5282" spans="1:5" ht="15">
      <c r="A5282" s="120" t="s">
        <v>609</v>
      </c>
      <c r="B5282" s="121">
        <v>21</v>
      </c>
      <c r="C5282" s="121">
        <v>21</v>
      </c>
      <c r="D5282" s="121">
        <v>2</v>
      </c>
      <c r="E5282" s="121">
        <v>668166</v>
      </c>
    </row>
    <row r="5283" spans="1:5" ht="15">
      <c r="A5283" s="120" t="s">
        <v>609</v>
      </c>
      <c r="B5283" s="121">
        <v>21</v>
      </c>
      <c r="C5283" s="121">
        <v>21</v>
      </c>
      <c r="D5283" s="121">
        <v>3</v>
      </c>
      <c r="E5283" s="121">
        <v>179059</v>
      </c>
    </row>
    <row r="5284" spans="1:5" ht="15">
      <c r="A5284" s="120" t="s">
        <v>609</v>
      </c>
      <c r="B5284" s="121">
        <v>21</v>
      </c>
      <c r="C5284" s="121">
        <v>21</v>
      </c>
      <c r="D5284" s="121">
        <v>4</v>
      </c>
      <c r="E5284" s="121">
        <v>288738</v>
      </c>
    </row>
    <row r="5285" spans="1:5" ht="15">
      <c r="A5285" s="120" t="s">
        <v>609</v>
      </c>
      <c r="B5285" s="121">
        <v>21</v>
      </c>
      <c r="C5285" s="121">
        <v>21</v>
      </c>
      <c r="D5285" s="121">
        <v>5</v>
      </c>
      <c r="E5285" s="121">
        <v>4925</v>
      </c>
    </row>
    <row r="5286" spans="1:5" ht="15">
      <c r="A5286" s="120" t="s">
        <v>609</v>
      </c>
      <c r="B5286" s="121">
        <v>21</v>
      </c>
      <c r="C5286" s="121">
        <v>21</v>
      </c>
      <c r="D5286" s="121">
        <v>7</v>
      </c>
      <c r="E5286" s="121">
        <v>900</v>
      </c>
    </row>
    <row r="5287" spans="1:5" ht="15">
      <c r="A5287" s="120" t="s">
        <v>609</v>
      </c>
      <c r="B5287" s="121">
        <v>21</v>
      </c>
      <c r="C5287" s="121">
        <v>24</v>
      </c>
      <c r="D5287" s="121">
        <v>3</v>
      </c>
      <c r="E5287" s="121">
        <v>39520</v>
      </c>
    </row>
    <row r="5288" spans="1:5" ht="15">
      <c r="A5288" s="120" t="s">
        <v>609</v>
      </c>
      <c r="B5288" s="121">
        <v>21</v>
      </c>
      <c r="C5288" s="121">
        <v>24</v>
      </c>
      <c r="D5288" s="121">
        <v>4</v>
      </c>
      <c r="E5288" s="121">
        <v>22380</v>
      </c>
    </row>
    <row r="5289" spans="1:5" ht="15">
      <c r="A5289" s="120" t="s">
        <v>609</v>
      </c>
      <c r="B5289" s="121">
        <v>21</v>
      </c>
      <c r="C5289" s="121">
        <v>26</v>
      </c>
      <c r="D5289" s="121">
        <v>2</v>
      </c>
      <c r="E5289" s="121">
        <v>3147643</v>
      </c>
    </row>
    <row r="5290" spans="1:5" ht="15">
      <c r="A5290" s="120" t="s">
        <v>609</v>
      </c>
      <c r="B5290" s="121">
        <v>21</v>
      </c>
      <c r="C5290" s="121">
        <v>26</v>
      </c>
      <c r="D5290" s="121">
        <v>3</v>
      </c>
      <c r="E5290" s="121">
        <v>95590</v>
      </c>
    </row>
    <row r="5291" spans="1:5" ht="15">
      <c r="A5291" s="120" t="s">
        <v>609</v>
      </c>
      <c r="B5291" s="121">
        <v>21</v>
      </c>
      <c r="C5291" s="121">
        <v>26</v>
      </c>
      <c r="D5291" s="121">
        <v>4</v>
      </c>
      <c r="E5291" s="121">
        <v>1045668</v>
      </c>
    </row>
    <row r="5292" spans="1:5" ht="15">
      <c r="A5292" s="120" t="s">
        <v>609</v>
      </c>
      <c r="B5292" s="121">
        <v>21</v>
      </c>
      <c r="C5292" s="121">
        <v>26</v>
      </c>
      <c r="D5292" s="121">
        <v>5</v>
      </c>
      <c r="E5292" s="121">
        <v>31000</v>
      </c>
    </row>
    <row r="5293" spans="1:5" ht="15">
      <c r="A5293" s="120" t="s">
        <v>609</v>
      </c>
      <c r="B5293" s="121">
        <v>21</v>
      </c>
      <c r="C5293" s="121">
        <v>26</v>
      </c>
      <c r="D5293" s="121">
        <v>7</v>
      </c>
      <c r="E5293" s="121">
        <v>961829</v>
      </c>
    </row>
    <row r="5294" spans="1:5" ht="15">
      <c r="A5294" s="120" t="s">
        <v>609</v>
      </c>
      <c r="B5294" s="121">
        <v>21</v>
      </c>
      <c r="C5294" s="121">
        <v>26</v>
      </c>
      <c r="D5294" s="121">
        <v>8</v>
      </c>
      <c r="E5294" s="121">
        <v>3000</v>
      </c>
    </row>
    <row r="5295" spans="1:5" ht="15">
      <c r="A5295" s="120" t="s">
        <v>609</v>
      </c>
      <c r="B5295" s="121">
        <v>21</v>
      </c>
      <c r="C5295" s="121">
        <v>27</v>
      </c>
      <c r="D5295" s="121">
        <v>0</v>
      </c>
      <c r="E5295" s="121">
        <v>5500</v>
      </c>
    </row>
    <row r="5296" spans="1:5" ht="15">
      <c r="A5296" s="120" t="s">
        <v>609</v>
      </c>
      <c r="B5296" s="121">
        <v>21</v>
      </c>
      <c r="C5296" s="121">
        <v>27</v>
      </c>
      <c r="D5296" s="121">
        <v>2</v>
      </c>
      <c r="E5296" s="121">
        <v>4046447</v>
      </c>
    </row>
    <row r="5297" spans="1:5" ht="15">
      <c r="A5297" s="120" t="s">
        <v>609</v>
      </c>
      <c r="B5297" s="121">
        <v>21</v>
      </c>
      <c r="C5297" s="121">
        <v>27</v>
      </c>
      <c r="D5297" s="121">
        <v>3</v>
      </c>
      <c r="E5297" s="121">
        <v>3376927</v>
      </c>
    </row>
    <row r="5298" spans="1:5" ht="15">
      <c r="A5298" s="120" t="s">
        <v>609</v>
      </c>
      <c r="B5298" s="121">
        <v>21</v>
      </c>
      <c r="C5298" s="121">
        <v>27</v>
      </c>
      <c r="D5298" s="121">
        <v>4</v>
      </c>
      <c r="E5298" s="121">
        <v>3858729</v>
      </c>
    </row>
    <row r="5299" spans="1:5" ht="15">
      <c r="A5299" s="120" t="s">
        <v>609</v>
      </c>
      <c r="B5299" s="121">
        <v>21</v>
      </c>
      <c r="C5299" s="121">
        <v>27</v>
      </c>
      <c r="D5299" s="121">
        <v>5</v>
      </c>
      <c r="E5299" s="121">
        <v>58800</v>
      </c>
    </row>
    <row r="5300" spans="1:5" ht="15">
      <c r="A5300" s="120" t="s">
        <v>609</v>
      </c>
      <c r="B5300" s="121">
        <v>21</v>
      </c>
      <c r="C5300" s="121">
        <v>27</v>
      </c>
      <c r="D5300" s="121">
        <v>7</v>
      </c>
      <c r="E5300" s="121">
        <v>99190</v>
      </c>
    </row>
    <row r="5301" spans="1:5" ht="15">
      <c r="A5301" s="120" t="s">
        <v>609</v>
      </c>
      <c r="B5301" s="121">
        <v>21</v>
      </c>
      <c r="C5301" s="121">
        <v>27</v>
      </c>
      <c r="D5301" s="121">
        <v>8</v>
      </c>
      <c r="E5301" s="121">
        <v>66000</v>
      </c>
    </row>
    <row r="5302" spans="1:5" ht="15">
      <c r="A5302" s="120" t="s">
        <v>609</v>
      </c>
      <c r="B5302" s="121">
        <v>21</v>
      </c>
      <c r="C5302" s="121">
        <v>31</v>
      </c>
      <c r="D5302" s="121">
        <v>2</v>
      </c>
      <c r="E5302" s="121">
        <v>85414</v>
      </c>
    </row>
    <row r="5303" spans="1:5" ht="15">
      <c r="A5303" s="120" t="s">
        <v>609</v>
      </c>
      <c r="B5303" s="121">
        <v>21</v>
      </c>
      <c r="C5303" s="121">
        <v>31</v>
      </c>
      <c r="D5303" s="121">
        <v>3</v>
      </c>
      <c r="E5303" s="121">
        <v>10369</v>
      </c>
    </row>
    <row r="5304" spans="1:5" ht="15">
      <c r="A5304" s="120" t="s">
        <v>609</v>
      </c>
      <c r="B5304" s="121">
        <v>21</v>
      </c>
      <c r="C5304" s="121">
        <v>31</v>
      </c>
      <c r="D5304" s="121">
        <v>4</v>
      </c>
      <c r="E5304" s="121">
        <v>15845</v>
      </c>
    </row>
    <row r="5305" spans="1:5" ht="15">
      <c r="A5305" s="120" t="s">
        <v>609</v>
      </c>
      <c r="B5305" s="121">
        <v>21</v>
      </c>
      <c r="C5305" s="121">
        <v>31</v>
      </c>
      <c r="D5305" s="121">
        <v>7</v>
      </c>
      <c r="E5305" s="121">
        <v>17700</v>
      </c>
    </row>
    <row r="5306" spans="1:5" ht="15">
      <c r="A5306" s="120" t="s">
        <v>609</v>
      </c>
      <c r="B5306" s="121">
        <v>21</v>
      </c>
      <c r="C5306" s="121">
        <v>31</v>
      </c>
      <c r="D5306" s="121">
        <v>8</v>
      </c>
      <c r="E5306" s="121">
        <v>1500</v>
      </c>
    </row>
    <row r="5307" spans="1:5" ht="15">
      <c r="A5307" s="120" t="s">
        <v>609</v>
      </c>
      <c r="B5307" s="121">
        <v>21</v>
      </c>
      <c r="C5307" s="121">
        <v>32</v>
      </c>
      <c r="D5307" s="121">
        <v>5</v>
      </c>
      <c r="E5307" s="121">
        <v>2000</v>
      </c>
    </row>
    <row r="5308" spans="1:5" ht="15">
      <c r="A5308" s="120" t="s">
        <v>609</v>
      </c>
      <c r="B5308" s="121">
        <v>21</v>
      </c>
      <c r="C5308" s="121">
        <v>33</v>
      </c>
      <c r="D5308" s="121">
        <v>5</v>
      </c>
      <c r="E5308" s="121">
        <v>88920</v>
      </c>
    </row>
    <row r="5309" spans="1:5" ht="15">
      <c r="A5309" s="120" t="s">
        <v>609</v>
      </c>
      <c r="B5309" s="121">
        <v>21</v>
      </c>
      <c r="C5309" s="121">
        <v>34</v>
      </c>
      <c r="D5309" s="121">
        <v>2</v>
      </c>
      <c r="E5309" s="121">
        <v>112196</v>
      </c>
    </row>
    <row r="5310" spans="1:5" ht="15">
      <c r="A5310" s="120" t="s">
        <v>609</v>
      </c>
      <c r="B5310" s="121">
        <v>21</v>
      </c>
      <c r="C5310" s="121">
        <v>34</v>
      </c>
      <c r="D5310" s="121">
        <v>4</v>
      </c>
      <c r="E5310" s="121">
        <v>18741</v>
      </c>
    </row>
    <row r="5311" spans="1:5" ht="15">
      <c r="A5311" s="120" t="s">
        <v>553</v>
      </c>
      <c r="B5311" s="121">
        <v>24</v>
      </c>
      <c r="C5311" s="121">
        <v>21</v>
      </c>
      <c r="D5311" s="121">
        <v>7</v>
      </c>
      <c r="E5311" s="121">
        <v>16500</v>
      </c>
    </row>
    <row r="5312" spans="1:5" ht="15">
      <c r="A5312" s="120" t="s">
        <v>553</v>
      </c>
      <c r="B5312" s="121">
        <v>24</v>
      </c>
      <c r="C5312" s="121">
        <v>26</v>
      </c>
      <c r="D5312" s="121">
        <v>2</v>
      </c>
      <c r="E5312" s="121">
        <v>115133</v>
      </c>
    </row>
    <row r="5313" spans="1:5" ht="15">
      <c r="A5313" s="120" t="s">
        <v>553</v>
      </c>
      <c r="B5313" s="121">
        <v>24</v>
      </c>
      <c r="C5313" s="121">
        <v>26</v>
      </c>
      <c r="D5313" s="121">
        <v>4</v>
      </c>
      <c r="E5313" s="121">
        <v>32401</v>
      </c>
    </row>
    <row r="5314" spans="1:5" ht="15">
      <c r="A5314" s="120" t="s">
        <v>553</v>
      </c>
      <c r="B5314" s="121">
        <v>24</v>
      </c>
      <c r="C5314" s="121">
        <v>26</v>
      </c>
      <c r="D5314" s="121">
        <v>7</v>
      </c>
      <c r="E5314" s="121">
        <v>80000</v>
      </c>
    </row>
    <row r="5315" spans="1:5" ht="15">
      <c r="A5315" s="120" t="s">
        <v>553</v>
      </c>
      <c r="B5315" s="121">
        <v>24</v>
      </c>
      <c r="C5315" s="121">
        <v>27</v>
      </c>
      <c r="D5315" s="121">
        <v>2</v>
      </c>
      <c r="E5315" s="121">
        <v>315932</v>
      </c>
    </row>
    <row r="5316" spans="1:5" ht="15">
      <c r="A5316" s="120" t="s">
        <v>553</v>
      </c>
      <c r="B5316" s="121">
        <v>24</v>
      </c>
      <c r="C5316" s="121">
        <v>27</v>
      </c>
      <c r="D5316" s="121">
        <v>3</v>
      </c>
      <c r="E5316" s="121">
        <v>173920</v>
      </c>
    </row>
    <row r="5317" spans="1:5" ht="15">
      <c r="A5317" s="120" t="s">
        <v>553</v>
      </c>
      <c r="B5317" s="121">
        <v>24</v>
      </c>
      <c r="C5317" s="121">
        <v>27</v>
      </c>
      <c r="D5317" s="121">
        <v>4</v>
      </c>
      <c r="E5317" s="121">
        <v>208272</v>
      </c>
    </row>
    <row r="5318" spans="1:5" ht="15">
      <c r="A5318" s="120" t="s">
        <v>553</v>
      </c>
      <c r="B5318" s="121">
        <v>24</v>
      </c>
      <c r="C5318" s="121">
        <v>27</v>
      </c>
      <c r="D5318" s="121">
        <v>7</v>
      </c>
      <c r="E5318" s="121">
        <v>1530020</v>
      </c>
    </row>
    <row r="5319" spans="1:5" ht="15">
      <c r="A5319" s="120" t="s">
        <v>609</v>
      </c>
      <c r="B5319" s="121">
        <v>24</v>
      </c>
      <c r="C5319" s="121">
        <v>21</v>
      </c>
      <c r="D5319" s="121">
        <v>2</v>
      </c>
      <c r="E5319" s="121">
        <v>30504</v>
      </c>
    </row>
    <row r="5320" spans="1:5" ht="15">
      <c r="A5320" s="120" t="s">
        <v>609</v>
      </c>
      <c r="B5320" s="121">
        <v>24</v>
      </c>
      <c r="C5320" s="121">
        <v>21</v>
      </c>
      <c r="D5320" s="121">
        <v>4</v>
      </c>
      <c r="E5320" s="121">
        <v>8130</v>
      </c>
    </row>
    <row r="5321" spans="1:5" ht="15">
      <c r="A5321" s="120" t="s">
        <v>609</v>
      </c>
      <c r="B5321" s="121">
        <v>24</v>
      </c>
      <c r="C5321" s="121">
        <v>27</v>
      </c>
      <c r="D5321" s="121">
        <v>2</v>
      </c>
      <c r="E5321" s="121">
        <v>521908</v>
      </c>
    </row>
    <row r="5322" spans="1:5" ht="15">
      <c r="A5322" s="120" t="s">
        <v>609</v>
      </c>
      <c r="B5322" s="121">
        <v>24</v>
      </c>
      <c r="C5322" s="121">
        <v>27</v>
      </c>
      <c r="D5322" s="121">
        <v>3</v>
      </c>
      <c r="E5322" s="121">
        <v>467317</v>
      </c>
    </row>
    <row r="5323" spans="1:5" ht="15">
      <c r="A5323" s="120" t="s">
        <v>609</v>
      </c>
      <c r="B5323" s="121">
        <v>24</v>
      </c>
      <c r="C5323" s="121">
        <v>27</v>
      </c>
      <c r="D5323" s="121">
        <v>4</v>
      </c>
      <c r="E5323" s="121">
        <v>484248</v>
      </c>
    </row>
    <row r="5324" spans="1:5" ht="15">
      <c r="A5324" s="120" t="s">
        <v>609</v>
      </c>
      <c r="B5324" s="121">
        <v>24</v>
      </c>
      <c r="C5324" s="121">
        <v>27</v>
      </c>
      <c r="D5324" s="121">
        <v>5</v>
      </c>
      <c r="E5324" s="121">
        <v>70957</v>
      </c>
    </row>
    <row r="5325" spans="1:5" ht="15">
      <c r="A5325" s="120" t="s">
        <v>609</v>
      </c>
      <c r="B5325" s="121">
        <v>24</v>
      </c>
      <c r="C5325" s="121">
        <v>27</v>
      </c>
      <c r="D5325" s="121">
        <v>7</v>
      </c>
      <c r="E5325" s="121">
        <v>79938</v>
      </c>
    </row>
    <row r="5326" spans="1:5" ht="15">
      <c r="A5326" s="120" t="s">
        <v>609</v>
      </c>
      <c r="B5326" s="121">
        <v>24</v>
      </c>
      <c r="C5326" s="121">
        <v>31</v>
      </c>
      <c r="D5326" s="121">
        <v>2</v>
      </c>
      <c r="E5326" s="121">
        <v>14129</v>
      </c>
    </row>
    <row r="5327" spans="1:5" ht="15">
      <c r="A5327" s="120" t="s">
        <v>609</v>
      </c>
      <c r="B5327" s="121">
        <v>24</v>
      </c>
      <c r="C5327" s="121">
        <v>31</v>
      </c>
      <c r="D5327" s="121">
        <v>4</v>
      </c>
      <c r="E5327" s="121">
        <v>2294</v>
      </c>
    </row>
    <row r="5328" spans="1:5" ht="15">
      <c r="A5328" s="120" t="s">
        <v>629</v>
      </c>
      <c r="B5328" s="121">
        <v>21</v>
      </c>
      <c r="C5328" s="121">
        <v>21</v>
      </c>
      <c r="D5328" s="121">
        <v>2</v>
      </c>
      <c r="E5328" s="121">
        <v>5416</v>
      </c>
    </row>
    <row r="5329" spans="1:5" ht="15">
      <c r="A5329" s="120" t="s">
        <v>629</v>
      </c>
      <c r="B5329" s="121">
        <v>21</v>
      </c>
      <c r="C5329" s="121">
        <v>21</v>
      </c>
      <c r="D5329" s="121">
        <v>4</v>
      </c>
      <c r="E5329" s="121">
        <v>874</v>
      </c>
    </row>
    <row r="5330" spans="1:5" ht="15">
      <c r="A5330" s="120" t="s">
        <v>629</v>
      </c>
      <c r="B5330" s="121">
        <v>21</v>
      </c>
      <c r="C5330" s="121">
        <v>26</v>
      </c>
      <c r="D5330" s="121">
        <v>7</v>
      </c>
      <c r="E5330" s="121">
        <v>47421</v>
      </c>
    </row>
    <row r="5331" spans="1:5" ht="15">
      <c r="A5331" s="120" t="s">
        <v>629</v>
      </c>
      <c r="B5331" s="121">
        <v>21</v>
      </c>
      <c r="C5331" s="121">
        <v>27</v>
      </c>
      <c r="D5331" s="121">
        <v>2</v>
      </c>
      <c r="E5331" s="121">
        <v>93079</v>
      </c>
    </row>
    <row r="5332" spans="1:5" ht="15">
      <c r="A5332" s="120" t="s">
        <v>629</v>
      </c>
      <c r="B5332" s="121">
        <v>21</v>
      </c>
      <c r="C5332" s="121">
        <v>27</v>
      </c>
      <c r="D5332" s="121">
        <v>3</v>
      </c>
      <c r="E5332" s="121">
        <v>46055</v>
      </c>
    </row>
    <row r="5333" spans="1:5" ht="15">
      <c r="A5333" s="120" t="s">
        <v>629</v>
      </c>
      <c r="B5333" s="121">
        <v>21</v>
      </c>
      <c r="C5333" s="121">
        <v>27</v>
      </c>
      <c r="D5333" s="121">
        <v>4</v>
      </c>
      <c r="E5333" s="121">
        <v>73525</v>
      </c>
    </row>
    <row r="5334" spans="1:5" ht="15">
      <c r="A5334" s="120" t="s">
        <v>629</v>
      </c>
      <c r="B5334" s="121">
        <v>21</v>
      </c>
      <c r="C5334" s="121">
        <v>27</v>
      </c>
      <c r="D5334" s="121">
        <v>5</v>
      </c>
      <c r="E5334" s="121">
        <v>10000</v>
      </c>
    </row>
    <row r="5335" spans="1:5" ht="15">
      <c r="A5335" s="120" t="s">
        <v>629</v>
      </c>
      <c r="B5335" s="121">
        <v>24</v>
      </c>
      <c r="C5335" s="121">
        <v>26</v>
      </c>
      <c r="D5335" s="121">
        <v>7</v>
      </c>
      <c r="E5335" s="121">
        <v>25498</v>
      </c>
    </row>
    <row r="5336" spans="1:5" ht="15">
      <c r="A5336" s="120" t="s">
        <v>629</v>
      </c>
      <c r="B5336" s="121">
        <v>24</v>
      </c>
      <c r="C5336" s="121">
        <v>26</v>
      </c>
      <c r="D5336" s="121">
        <v>8</v>
      </c>
      <c r="E5336" s="121">
        <v>1000</v>
      </c>
    </row>
    <row r="5337" spans="1:5" ht="15">
      <c r="A5337" s="120" t="s">
        <v>625</v>
      </c>
      <c r="B5337" s="121">
        <v>21</v>
      </c>
      <c r="C5337" s="121">
        <v>26</v>
      </c>
      <c r="D5337" s="121">
        <v>7</v>
      </c>
      <c r="E5337" s="121">
        <v>20000</v>
      </c>
    </row>
    <row r="5338" spans="1:5" ht="15">
      <c r="A5338" s="120" t="s">
        <v>625</v>
      </c>
      <c r="B5338" s="121">
        <v>21</v>
      </c>
      <c r="C5338" s="121">
        <v>27</v>
      </c>
      <c r="D5338" s="121">
        <v>2</v>
      </c>
      <c r="E5338" s="121">
        <v>215536</v>
      </c>
    </row>
    <row r="5339" spans="1:5" ht="15">
      <c r="A5339" s="120" t="s">
        <v>625</v>
      </c>
      <c r="B5339" s="121">
        <v>21</v>
      </c>
      <c r="C5339" s="121">
        <v>27</v>
      </c>
      <c r="D5339" s="121">
        <v>3</v>
      </c>
      <c r="E5339" s="121">
        <v>133694</v>
      </c>
    </row>
    <row r="5340" spans="1:5" ht="15">
      <c r="A5340" s="120" t="s">
        <v>625</v>
      </c>
      <c r="B5340" s="121">
        <v>21</v>
      </c>
      <c r="C5340" s="121">
        <v>27</v>
      </c>
      <c r="D5340" s="121">
        <v>4</v>
      </c>
      <c r="E5340" s="121">
        <v>174054</v>
      </c>
    </row>
    <row r="5341" spans="1:5" ht="15">
      <c r="A5341" s="120" t="s">
        <v>625</v>
      </c>
      <c r="B5341" s="121">
        <v>21</v>
      </c>
      <c r="C5341" s="121">
        <v>27</v>
      </c>
      <c r="D5341" s="121">
        <v>5</v>
      </c>
      <c r="E5341" s="121">
        <v>5000</v>
      </c>
    </row>
    <row r="5342" spans="1:5" ht="15">
      <c r="A5342" s="120" t="s">
        <v>625</v>
      </c>
      <c r="B5342" s="121">
        <v>21</v>
      </c>
      <c r="C5342" s="121">
        <v>27</v>
      </c>
      <c r="D5342" s="121">
        <v>7</v>
      </c>
      <c r="E5342" s="121">
        <v>9800</v>
      </c>
    </row>
    <row r="5343" spans="1:5" ht="15">
      <c r="A5343" s="120" t="s">
        <v>625</v>
      </c>
      <c r="B5343" s="121">
        <v>24</v>
      </c>
      <c r="C5343" s="121">
        <v>26</v>
      </c>
      <c r="D5343" s="121">
        <v>7</v>
      </c>
      <c r="E5343" s="121">
        <v>54000</v>
      </c>
    </row>
    <row r="5344" spans="1:5" ht="15">
      <c r="A5344" s="120" t="s">
        <v>613</v>
      </c>
      <c r="B5344" s="121">
        <v>21</v>
      </c>
      <c r="C5344" s="121">
        <v>21</v>
      </c>
      <c r="D5344" s="121">
        <v>2</v>
      </c>
      <c r="E5344" s="121">
        <v>155210</v>
      </c>
    </row>
    <row r="5345" spans="1:5" ht="15">
      <c r="A5345" s="120" t="s">
        <v>613</v>
      </c>
      <c r="B5345" s="121">
        <v>21</v>
      </c>
      <c r="C5345" s="121">
        <v>21</v>
      </c>
      <c r="D5345" s="121">
        <v>3</v>
      </c>
      <c r="E5345" s="121">
        <v>45158</v>
      </c>
    </row>
    <row r="5346" spans="1:5" ht="15">
      <c r="A5346" s="120" t="s">
        <v>613</v>
      </c>
      <c r="B5346" s="121">
        <v>21</v>
      </c>
      <c r="C5346" s="121">
        <v>21</v>
      </c>
      <c r="D5346" s="121">
        <v>4</v>
      </c>
      <c r="E5346" s="121">
        <v>63004</v>
      </c>
    </row>
    <row r="5347" spans="1:5" ht="15">
      <c r="A5347" s="120" t="s">
        <v>613</v>
      </c>
      <c r="B5347" s="121">
        <v>21</v>
      </c>
      <c r="C5347" s="121">
        <v>21</v>
      </c>
      <c r="D5347" s="121">
        <v>7</v>
      </c>
      <c r="E5347" s="121">
        <v>10000</v>
      </c>
    </row>
    <row r="5348" spans="1:5" ht="15">
      <c r="A5348" s="120" t="s">
        <v>613</v>
      </c>
      <c r="B5348" s="121">
        <v>21</v>
      </c>
      <c r="C5348" s="121">
        <v>21</v>
      </c>
      <c r="D5348" s="121">
        <v>8</v>
      </c>
      <c r="E5348" s="121">
        <v>1000</v>
      </c>
    </row>
    <row r="5349" spans="1:5" ht="15">
      <c r="A5349" s="120" t="s">
        <v>613</v>
      </c>
      <c r="B5349" s="121">
        <v>21</v>
      </c>
      <c r="C5349" s="121">
        <v>23</v>
      </c>
      <c r="D5349" s="121">
        <v>3</v>
      </c>
      <c r="E5349" s="121">
        <v>16856</v>
      </c>
    </row>
    <row r="5350" spans="1:5" ht="15">
      <c r="A5350" s="120" t="s">
        <v>613</v>
      </c>
      <c r="B5350" s="121">
        <v>21</v>
      </c>
      <c r="C5350" s="121">
        <v>23</v>
      </c>
      <c r="D5350" s="121">
        <v>4</v>
      </c>
      <c r="E5350" s="121">
        <v>10565</v>
      </c>
    </row>
    <row r="5351" spans="1:5" ht="15">
      <c r="A5351" s="120" t="s">
        <v>613</v>
      </c>
      <c r="B5351" s="121">
        <v>21</v>
      </c>
      <c r="C5351" s="121">
        <v>26</v>
      </c>
      <c r="D5351" s="121">
        <v>2</v>
      </c>
      <c r="E5351" s="121">
        <v>1350753</v>
      </c>
    </row>
    <row r="5352" spans="1:5" ht="15">
      <c r="A5352" s="120" t="s">
        <v>613</v>
      </c>
      <c r="B5352" s="121">
        <v>21</v>
      </c>
      <c r="C5352" s="121">
        <v>26</v>
      </c>
      <c r="D5352" s="121">
        <v>3</v>
      </c>
      <c r="E5352" s="121">
        <v>58314</v>
      </c>
    </row>
    <row r="5353" spans="1:5" ht="15">
      <c r="A5353" s="120" t="s">
        <v>613</v>
      </c>
      <c r="B5353" s="121">
        <v>21</v>
      </c>
      <c r="C5353" s="121">
        <v>26</v>
      </c>
      <c r="D5353" s="121">
        <v>4</v>
      </c>
      <c r="E5353" s="121">
        <v>462146</v>
      </c>
    </row>
    <row r="5354" spans="1:5" ht="15">
      <c r="A5354" s="120" t="s">
        <v>613</v>
      </c>
      <c r="B5354" s="121">
        <v>21</v>
      </c>
      <c r="C5354" s="121">
        <v>26</v>
      </c>
      <c r="D5354" s="121">
        <v>5</v>
      </c>
      <c r="E5354" s="121">
        <v>5000</v>
      </c>
    </row>
    <row r="5355" spans="1:5" ht="15">
      <c r="A5355" s="120" t="s">
        <v>613</v>
      </c>
      <c r="B5355" s="121">
        <v>21</v>
      </c>
      <c r="C5355" s="121">
        <v>26</v>
      </c>
      <c r="D5355" s="121">
        <v>7</v>
      </c>
      <c r="E5355" s="121">
        <v>240000</v>
      </c>
    </row>
    <row r="5356" spans="1:5" ht="15">
      <c r="A5356" s="120" t="s">
        <v>613</v>
      </c>
      <c r="B5356" s="121">
        <v>21</v>
      </c>
      <c r="C5356" s="121">
        <v>27</v>
      </c>
      <c r="D5356" s="121">
        <v>2</v>
      </c>
      <c r="E5356" s="121">
        <v>1727238</v>
      </c>
    </row>
    <row r="5357" spans="1:5" ht="15">
      <c r="A5357" s="120" t="s">
        <v>613</v>
      </c>
      <c r="B5357" s="121">
        <v>21</v>
      </c>
      <c r="C5357" s="121">
        <v>27</v>
      </c>
      <c r="D5357" s="121">
        <v>3</v>
      </c>
      <c r="E5357" s="121">
        <v>1241198</v>
      </c>
    </row>
    <row r="5358" spans="1:5" ht="15">
      <c r="A5358" s="120" t="s">
        <v>613</v>
      </c>
      <c r="B5358" s="121">
        <v>21</v>
      </c>
      <c r="C5358" s="121">
        <v>27</v>
      </c>
      <c r="D5358" s="121">
        <v>4</v>
      </c>
      <c r="E5358" s="121">
        <v>1391197</v>
      </c>
    </row>
    <row r="5359" spans="1:5" ht="15">
      <c r="A5359" s="120" t="s">
        <v>613</v>
      </c>
      <c r="B5359" s="121">
        <v>21</v>
      </c>
      <c r="C5359" s="121">
        <v>27</v>
      </c>
      <c r="D5359" s="121">
        <v>5</v>
      </c>
      <c r="E5359" s="121">
        <v>145000</v>
      </c>
    </row>
    <row r="5360" spans="1:5" ht="15">
      <c r="A5360" s="120" t="s">
        <v>613</v>
      </c>
      <c r="B5360" s="121">
        <v>21</v>
      </c>
      <c r="C5360" s="121">
        <v>27</v>
      </c>
      <c r="D5360" s="121">
        <v>7</v>
      </c>
      <c r="E5360" s="121">
        <v>442000</v>
      </c>
    </row>
    <row r="5361" spans="1:5" ht="15">
      <c r="A5361" s="120" t="s">
        <v>613</v>
      </c>
      <c r="B5361" s="121">
        <v>21</v>
      </c>
      <c r="C5361" s="121">
        <v>27</v>
      </c>
      <c r="D5361" s="121">
        <v>8</v>
      </c>
      <c r="E5361" s="121">
        <v>3000</v>
      </c>
    </row>
    <row r="5362" spans="1:5" ht="15">
      <c r="A5362" s="120" t="s">
        <v>613</v>
      </c>
      <c r="B5362" s="121">
        <v>21</v>
      </c>
      <c r="C5362" s="121">
        <v>31</v>
      </c>
      <c r="D5362" s="121">
        <v>7</v>
      </c>
      <c r="E5362" s="121">
        <v>2000</v>
      </c>
    </row>
    <row r="5363" spans="1:5" ht="15">
      <c r="A5363" s="120" t="s">
        <v>613</v>
      </c>
      <c r="B5363" s="121">
        <v>21</v>
      </c>
      <c r="C5363" s="121">
        <v>32</v>
      </c>
      <c r="D5363" s="121">
        <v>5</v>
      </c>
      <c r="E5363" s="121">
        <v>25000</v>
      </c>
    </row>
    <row r="5364" spans="1:5" ht="15">
      <c r="A5364" s="120" t="s">
        <v>613</v>
      </c>
      <c r="B5364" s="121">
        <v>21</v>
      </c>
      <c r="C5364" s="121">
        <v>34</v>
      </c>
      <c r="D5364" s="121">
        <v>2</v>
      </c>
      <c r="E5364" s="121">
        <v>48986</v>
      </c>
    </row>
    <row r="5365" spans="1:5" ht="15">
      <c r="A5365" s="120" t="s">
        <v>613</v>
      </c>
      <c r="B5365" s="121">
        <v>21</v>
      </c>
      <c r="C5365" s="121">
        <v>34</v>
      </c>
      <c r="D5365" s="121">
        <v>4</v>
      </c>
      <c r="E5365" s="121">
        <v>16031</v>
      </c>
    </row>
    <row r="5366" spans="1:5" ht="15">
      <c r="A5366" s="120" t="s">
        <v>613</v>
      </c>
      <c r="B5366" s="121">
        <v>24</v>
      </c>
      <c r="C5366" s="121">
        <v>27</v>
      </c>
      <c r="D5366" s="121">
        <v>2</v>
      </c>
      <c r="E5366" s="121">
        <v>465355</v>
      </c>
    </row>
    <row r="5367" spans="1:5" ht="15">
      <c r="A5367" s="120" t="s">
        <v>613</v>
      </c>
      <c r="B5367" s="121">
        <v>24</v>
      </c>
      <c r="C5367" s="121">
        <v>27</v>
      </c>
      <c r="D5367" s="121">
        <v>3</v>
      </c>
      <c r="E5367" s="121">
        <v>111701</v>
      </c>
    </row>
    <row r="5368" spans="1:5" ht="15">
      <c r="A5368" s="120" t="s">
        <v>613</v>
      </c>
      <c r="B5368" s="121">
        <v>24</v>
      </c>
      <c r="C5368" s="121">
        <v>27</v>
      </c>
      <c r="D5368" s="121">
        <v>4</v>
      </c>
      <c r="E5368" s="121">
        <v>232318</v>
      </c>
    </row>
    <row r="5369" spans="1:5" ht="15">
      <c r="A5369" s="120" t="s">
        <v>613</v>
      </c>
      <c r="B5369" s="121">
        <v>24</v>
      </c>
      <c r="C5369" s="121">
        <v>31</v>
      </c>
      <c r="D5369" s="121">
        <v>2</v>
      </c>
      <c r="E5369" s="121">
        <v>7541</v>
      </c>
    </row>
    <row r="5370" spans="1:5" ht="15">
      <c r="A5370" s="120" t="s">
        <v>613</v>
      </c>
      <c r="B5370" s="121">
        <v>24</v>
      </c>
      <c r="C5370" s="121">
        <v>31</v>
      </c>
      <c r="D5370" s="121">
        <v>4</v>
      </c>
      <c r="E5370" s="121">
        <v>2489</v>
      </c>
    </row>
    <row r="5371" spans="1:5" ht="15">
      <c r="A5371" s="120" t="s">
        <v>555</v>
      </c>
      <c r="B5371" s="121">
        <v>21</v>
      </c>
      <c r="C5371" s="121">
        <v>26</v>
      </c>
      <c r="D5371" s="121">
        <v>7</v>
      </c>
      <c r="E5371" s="121">
        <v>33254</v>
      </c>
    </row>
    <row r="5372" spans="1:5" ht="15">
      <c r="A5372" s="120" t="s">
        <v>555</v>
      </c>
      <c r="B5372" s="121">
        <v>21</v>
      </c>
      <c r="C5372" s="121">
        <v>27</v>
      </c>
      <c r="D5372" s="121">
        <v>2</v>
      </c>
      <c r="E5372" s="121">
        <v>151245</v>
      </c>
    </row>
    <row r="5373" spans="1:5" ht="15">
      <c r="A5373" s="120" t="s">
        <v>555</v>
      </c>
      <c r="B5373" s="121">
        <v>21</v>
      </c>
      <c r="C5373" s="121">
        <v>27</v>
      </c>
      <c r="D5373" s="121">
        <v>3</v>
      </c>
      <c r="E5373" s="121">
        <v>168130</v>
      </c>
    </row>
    <row r="5374" spans="1:5" ht="15">
      <c r="A5374" s="120" t="s">
        <v>555</v>
      </c>
      <c r="B5374" s="121">
        <v>21</v>
      </c>
      <c r="C5374" s="121">
        <v>27</v>
      </c>
      <c r="D5374" s="121">
        <v>4</v>
      </c>
      <c r="E5374" s="121">
        <v>164457</v>
      </c>
    </row>
    <row r="5375" spans="1:5" ht="15">
      <c r="A5375" s="120" t="s">
        <v>555</v>
      </c>
      <c r="B5375" s="121">
        <v>21</v>
      </c>
      <c r="C5375" s="121">
        <v>27</v>
      </c>
      <c r="D5375" s="121">
        <v>5</v>
      </c>
      <c r="E5375" s="121">
        <v>8400</v>
      </c>
    </row>
    <row r="5376" spans="1:5" ht="15">
      <c r="A5376" s="120" t="s">
        <v>555</v>
      </c>
      <c r="B5376" s="121">
        <v>21</v>
      </c>
      <c r="C5376" s="121">
        <v>27</v>
      </c>
      <c r="D5376" s="121">
        <v>7</v>
      </c>
      <c r="E5376" s="121">
        <v>30000</v>
      </c>
    </row>
    <row r="5377" spans="1:5" ht="15">
      <c r="A5377" s="120" t="s">
        <v>555</v>
      </c>
      <c r="B5377" s="121">
        <v>21</v>
      </c>
      <c r="C5377" s="121">
        <v>34</v>
      </c>
      <c r="D5377" s="121">
        <v>2</v>
      </c>
      <c r="E5377" s="121">
        <v>3263</v>
      </c>
    </row>
    <row r="5378" spans="1:5" ht="15">
      <c r="A5378" s="120" t="s">
        <v>555</v>
      </c>
      <c r="B5378" s="121">
        <v>21</v>
      </c>
      <c r="C5378" s="121">
        <v>34</v>
      </c>
      <c r="D5378" s="121">
        <v>4</v>
      </c>
      <c r="E5378" s="121">
        <v>535</v>
      </c>
    </row>
    <row r="5379" spans="1:5" ht="15">
      <c r="A5379" s="120" t="s">
        <v>555</v>
      </c>
      <c r="B5379" s="121">
        <v>24</v>
      </c>
      <c r="C5379" s="121">
        <v>26</v>
      </c>
      <c r="D5379" s="121">
        <v>7</v>
      </c>
      <c r="E5379" s="121">
        <v>40473</v>
      </c>
    </row>
    <row r="5380" spans="1:5" ht="15">
      <c r="A5380" s="120" t="s">
        <v>575</v>
      </c>
      <c r="B5380" s="121">
        <v>21</v>
      </c>
      <c r="C5380" s="121">
        <v>21</v>
      </c>
      <c r="D5380" s="121">
        <v>2</v>
      </c>
      <c r="E5380" s="121">
        <v>186719</v>
      </c>
    </row>
    <row r="5381" spans="1:5" ht="15">
      <c r="A5381" s="120" t="s">
        <v>575</v>
      </c>
      <c r="B5381" s="121">
        <v>21</v>
      </c>
      <c r="C5381" s="121">
        <v>21</v>
      </c>
      <c r="D5381" s="121">
        <v>3</v>
      </c>
      <c r="E5381" s="121">
        <v>227302</v>
      </c>
    </row>
    <row r="5382" spans="1:5" ht="15">
      <c r="A5382" s="120" t="s">
        <v>575</v>
      </c>
      <c r="B5382" s="121">
        <v>21</v>
      </c>
      <c r="C5382" s="121">
        <v>21</v>
      </c>
      <c r="D5382" s="121">
        <v>4</v>
      </c>
      <c r="E5382" s="121">
        <v>127131</v>
      </c>
    </row>
    <row r="5383" spans="1:5" ht="15">
      <c r="A5383" s="120" t="s">
        <v>575</v>
      </c>
      <c r="B5383" s="121">
        <v>21</v>
      </c>
      <c r="C5383" s="121">
        <v>21</v>
      </c>
      <c r="D5383" s="121">
        <v>5</v>
      </c>
      <c r="E5383" s="121">
        <v>6500</v>
      </c>
    </row>
    <row r="5384" spans="1:5" ht="15">
      <c r="A5384" s="120" t="s">
        <v>575</v>
      </c>
      <c r="B5384" s="121">
        <v>21</v>
      </c>
      <c r="C5384" s="121">
        <v>21</v>
      </c>
      <c r="D5384" s="121">
        <v>7</v>
      </c>
      <c r="E5384" s="121">
        <v>4000</v>
      </c>
    </row>
    <row r="5385" spans="1:5" ht="15">
      <c r="A5385" s="120" t="s">
        <v>575</v>
      </c>
      <c r="B5385" s="121">
        <v>21</v>
      </c>
      <c r="C5385" s="121">
        <v>25</v>
      </c>
      <c r="D5385" s="121">
        <v>3</v>
      </c>
      <c r="E5385" s="121">
        <v>100828</v>
      </c>
    </row>
    <row r="5386" spans="1:5" ht="15">
      <c r="A5386" s="120" t="s">
        <v>575</v>
      </c>
      <c r="B5386" s="121">
        <v>21</v>
      </c>
      <c r="C5386" s="121">
        <v>25</v>
      </c>
      <c r="D5386" s="121">
        <v>4</v>
      </c>
      <c r="E5386" s="121">
        <v>56826</v>
      </c>
    </row>
    <row r="5387" spans="1:5" ht="15">
      <c r="A5387" s="120" t="s">
        <v>575</v>
      </c>
      <c r="B5387" s="121">
        <v>21</v>
      </c>
      <c r="C5387" s="121">
        <v>25</v>
      </c>
      <c r="D5387" s="121">
        <v>8</v>
      </c>
      <c r="E5387" s="121">
        <v>25000</v>
      </c>
    </row>
    <row r="5388" spans="1:5" ht="15">
      <c r="A5388" s="120" t="s">
        <v>575</v>
      </c>
      <c r="B5388" s="121">
        <v>21</v>
      </c>
      <c r="C5388" s="121">
        <v>26</v>
      </c>
      <c r="D5388" s="121">
        <v>2</v>
      </c>
      <c r="E5388" s="121">
        <v>2475915</v>
      </c>
    </row>
    <row r="5389" spans="1:5" ht="15">
      <c r="A5389" s="120" t="s">
        <v>575</v>
      </c>
      <c r="B5389" s="121">
        <v>21</v>
      </c>
      <c r="C5389" s="121">
        <v>26</v>
      </c>
      <c r="D5389" s="121">
        <v>3</v>
      </c>
      <c r="E5389" s="121">
        <v>732503</v>
      </c>
    </row>
    <row r="5390" spans="1:5" ht="15">
      <c r="A5390" s="120" t="s">
        <v>575</v>
      </c>
      <c r="B5390" s="121">
        <v>21</v>
      </c>
      <c r="C5390" s="121">
        <v>26</v>
      </c>
      <c r="D5390" s="121">
        <v>4</v>
      </c>
      <c r="E5390" s="121">
        <v>1083428</v>
      </c>
    </row>
    <row r="5391" spans="1:5" ht="15">
      <c r="A5391" s="120" t="s">
        <v>575</v>
      </c>
      <c r="B5391" s="121">
        <v>21</v>
      </c>
      <c r="C5391" s="121">
        <v>26</v>
      </c>
      <c r="D5391" s="121">
        <v>5</v>
      </c>
      <c r="E5391" s="121">
        <v>29200</v>
      </c>
    </row>
    <row r="5392" spans="1:5" ht="15">
      <c r="A5392" s="120" t="s">
        <v>575</v>
      </c>
      <c r="B5392" s="121">
        <v>21</v>
      </c>
      <c r="C5392" s="121">
        <v>26</v>
      </c>
      <c r="D5392" s="121">
        <v>7</v>
      </c>
      <c r="E5392" s="121">
        <v>92600</v>
      </c>
    </row>
    <row r="5393" spans="1:5" ht="15">
      <c r="A5393" s="120" t="s">
        <v>575</v>
      </c>
      <c r="B5393" s="121">
        <v>21</v>
      </c>
      <c r="C5393" s="121">
        <v>26</v>
      </c>
      <c r="D5393" s="121">
        <v>8</v>
      </c>
      <c r="E5393" s="121">
        <v>2750</v>
      </c>
    </row>
    <row r="5394" spans="1:5" ht="15">
      <c r="A5394" s="120" t="s">
        <v>575</v>
      </c>
      <c r="B5394" s="121">
        <v>21</v>
      </c>
      <c r="C5394" s="121">
        <v>27</v>
      </c>
      <c r="D5394" s="121">
        <v>2</v>
      </c>
      <c r="E5394" s="121">
        <v>4606750</v>
      </c>
    </row>
    <row r="5395" spans="1:5" ht="15">
      <c r="A5395" s="120" t="s">
        <v>575</v>
      </c>
      <c r="B5395" s="121">
        <v>21</v>
      </c>
      <c r="C5395" s="121">
        <v>27</v>
      </c>
      <c r="D5395" s="121">
        <v>3</v>
      </c>
      <c r="E5395" s="121">
        <v>3069561</v>
      </c>
    </row>
    <row r="5396" spans="1:5" ht="15">
      <c r="A5396" s="120" t="s">
        <v>575</v>
      </c>
      <c r="B5396" s="121">
        <v>21</v>
      </c>
      <c r="C5396" s="121">
        <v>27</v>
      </c>
      <c r="D5396" s="121">
        <v>4</v>
      </c>
      <c r="E5396" s="121">
        <v>3154715</v>
      </c>
    </row>
    <row r="5397" spans="1:5" ht="15">
      <c r="A5397" s="120" t="s">
        <v>575</v>
      </c>
      <c r="B5397" s="121">
        <v>21</v>
      </c>
      <c r="C5397" s="121">
        <v>27</v>
      </c>
      <c r="D5397" s="121">
        <v>5</v>
      </c>
      <c r="E5397" s="121">
        <v>118400</v>
      </c>
    </row>
    <row r="5398" spans="1:5" ht="15">
      <c r="A5398" s="120" t="s">
        <v>575</v>
      </c>
      <c r="B5398" s="121">
        <v>21</v>
      </c>
      <c r="C5398" s="121">
        <v>27</v>
      </c>
      <c r="D5398" s="121">
        <v>7</v>
      </c>
      <c r="E5398" s="121">
        <v>152000</v>
      </c>
    </row>
    <row r="5399" spans="1:5" ht="15">
      <c r="A5399" s="120" t="s">
        <v>575</v>
      </c>
      <c r="B5399" s="121">
        <v>21</v>
      </c>
      <c r="C5399" s="121">
        <v>27</v>
      </c>
      <c r="D5399" s="121">
        <v>8</v>
      </c>
      <c r="E5399" s="121">
        <v>1700</v>
      </c>
    </row>
    <row r="5400" spans="1:5" ht="15">
      <c r="A5400" s="120" t="s">
        <v>575</v>
      </c>
      <c r="B5400" s="121">
        <v>21</v>
      </c>
      <c r="C5400" s="121">
        <v>31</v>
      </c>
      <c r="D5400" s="121">
        <v>2</v>
      </c>
      <c r="E5400" s="121">
        <v>268368</v>
      </c>
    </row>
    <row r="5401" spans="1:5" ht="15">
      <c r="A5401" s="120" t="s">
        <v>575</v>
      </c>
      <c r="B5401" s="121">
        <v>21</v>
      </c>
      <c r="C5401" s="121">
        <v>31</v>
      </c>
      <c r="D5401" s="121">
        <v>4</v>
      </c>
      <c r="E5401" s="121">
        <v>74665</v>
      </c>
    </row>
    <row r="5402" spans="1:5" ht="15">
      <c r="A5402" s="120" t="s">
        <v>575</v>
      </c>
      <c r="B5402" s="121">
        <v>24</v>
      </c>
      <c r="C5402" s="121">
        <v>26</v>
      </c>
      <c r="D5402" s="121">
        <v>2</v>
      </c>
      <c r="E5402" s="121">
        <v>380984</v>
      </c>
    </row>
    <row r="5403" spans="1:5" ht="15">
      <c r="A5403" s="120" t="s">
        <v>575</v>
      </c>
      <c r="B5403" s="121">
        <v>24</v>
      </c>
      <c r="C5403" s="121">
        <v>26</v>
      </c>
      <c r="D5403" s="121">
        <v>4</v>
      </c>
      <c r="E5403" s="121">
        <v>124775</v>
      </c>
    </row>
    <row r="5404" spans="1:5" ht="15">
      <c r="A5404" s="120" t="s">
        <v>575</v>
      </c>
      <c r="B5404" s="121">
        <v>24</v>
      </c>
      <c r="C5404" s="121">
        <v>26</v>
      </c>
      <c r="D5404" s="121">
        <v>5</v>
      </c>
      <c r="E5404" s="121">
        <v>10000</v>
      </c>
    </row>
    <row r="5405" spans="1:5" ht="15">
      <c r="A5405" s="120" t="s">
        <v>575</v>
      </c>
      <c r="B5405" s="121">
        <v>24</v>
      </c>
      <c r="C5405" s="121">
        <v>26</v>
      </c>
      <c r="D5405" s="121">
        <v>7</v>
      </c>
      <c r="E5405" s="121">
        <v>580000</v>
      </c>
    </row>
    <row r="5406" spans="1:5" ht="15">
      <c r="A5406" s="120" t="s">
        <v>575</v>
      </c>
      <c r="B5406" s="121">
        <v>24</v>
      </c>
      <c r="C5406" s="121">
        <v>27</v>
      </c>
      <c r="D5406" s="121">
        <v>2</v>
      </c>
      <c r="E5406" s="121">
        <v>204750</v>
      </c>
    </row>
    <row r="5407" spans="1:5" ht="15">
      <c r="A5407" s="120" t="s">
        <v>575</v>
      </c>
      <c r="B5407" s="121">
        <v>24</v>
      </c>
      <c r="C5407" s="121">
        <v>27</v>
      </c>
      <c r="D5407" s="121">
        <v>3</v>
      </c>
      <c r="E5407" s="121">
        <v>34373</v>
      </c>
    </row>
    <row r="5408" spans="1:5" ht="15">
      <c r="A5408" s="120" t="s">
        <v>575</v>
      </c>
      <c r="B5408" s="121">
        <v>24</v>
      </c>
      <c r="C5408" s="121">
        <v>27</v>
      </c>
      <c r="D5408" s="121">
        <v>4</v>
      </c>
      <c r="E5408" s="121">
        <v>93131</v>
      </c>
    </row>
    <row r="5409" spans="1:5" ht="15">
      <c r="A5409" s="120" t="s">
        <v>575</v>
      </c>
      <c r="B5409" s="121">
        <v>24</v>
      </c>
      <c r="C5409" s="121">
        <v>27</v>
      </c>
      <c r="D5409" s="121">
        <v>5</v>
      </c>
      <c r="E5409" s="121">
        <v>22500</v>
      </c>
    </row>
    <row r="5410" spans="1:5" ht="15">
      <c r="A5410" s="120" t="s">
        <v>575</v>
      </c>
      <c r="B5410" s="121">
        <v>24</v>
      </c>
      <c r="C5410" s="121">
        <v>27</v>
      </c>
      <c r="D5410" s="121">
        <v>7</v>
      </c>
      <c r="E5410" s="121">
        <v>123487</v>
      </c>
    </row>
    <row r="5411" spans="1:5" ht="15">
      <c r="A5411" s="120" t="s">
        <v>575</v>
      </c>
      <c r="B5411" s="121">
        <v>24</v>
      </c>
      <c r="C5411" s="121">
        <v>31</v>
      </c>
      <c r="D5411" s="121">
        <v>7</v>
      </c>
      <c r="E5411" s="121">
        <v>30000</v>
      </c>
    </row>
    <row r="5412" spans="1:5" ht="15">
      <c r="A5412" s="120" t="s">
        <v>575</v>
      </c>
      <c r="B5412" s="121">
        <v>24</v>
      </c>
      <c r="C5412" s="121">
        <v>32</v>
      </c>
      <c r="D5412" s="121">
        <v>7</v>
      </c>
      <c r="E5412" s="121">
        <v>6500</v>
      </c>
    </row>
    <row r="5413" spans="1:5" ht="15">
      <c r="A5413" s="120" t="s">
        <v>575</v>
      </c>
      <c r="B5413" s="121">
        <v>24</v>
      </c>
      <c r="C5413" s="121">
        <v>33</v>
      </c>
      <c r="D5413" s="121">
        <v>5</v>
      </c>
      <c r="E5413" s="121">
        <v>15500</v>
      </c>
    </row>
    <row r="5414" spans="1:5" ht="15">
      <c r="A5414" s="120" t="s">
        <v>631</v>
      </c>
      <c r="B5414" s="121">
        <v>21</v>
      </c>
      <c r="C5414" s="121">
        <v>21</v>
      </c>
      <c r="D5414" s="121">
        <v>2</v>
      </c>
      <c r="E5414" s="121">
        <v>15000</v>
      </c>
    </row>
    <row r="5415" spans="1:5" ht="15">
      <c r="A5415" s="120" t="s">
        <v>631</v>
      </c>
      <c r="B5415" s="121">
        <v>21</v>
      </c>
      <c r="C5415" s="121">
        <v>21</v>
      </c>
      <c r="D5415" s="121">
        <v>4</v>
      </c>
      <c r="E5415" s="121">
        <v>6251</v>
      </c>
    </row>
    <row r="5416" spans="1:5" ht="15">
      <c r="A5416" s="120" t="s">
        <v>631</v>
      </c>
      <c r="B5416" s="121">
        <v>21</v>
      </c>
      <c r="C5416" s="121">
        <v>25</v>
      </c>
      <c r="D5416" s="121">
        <v>3</v>
      </c>
      <c r="E5416" s="121">
        <v>15831</v>
      </c>
    </row>
    <row r="5417" spans="1:5" ht="15">
      <c r="A5417" s="120" t="s">
        <v>631</v>
      </c>
      <c r="B5417" s="121">
        <v>21</v>
      </c>
      <c r="C5417" s="121">
        <v>25</v>
      </c>
      <c r="D5417" s="121">
        <v>4</v>
      </c>
      <c r="E5417" s="121">
        <v>19522</v>
      </c>
    </row>
    <row r="5418" spans="1:5" ht="15">
      <c r="A5418" s="120" t="s">
        <v>631</v>
      </c>
      <c r="B5418" s="121">
        <v>21</v>
      </c>
      <c r="C5418" s="121">
        <v>27</v>
      </c>
      <c r="D5418" s="121">
        <v>2</v>
      </c>
      <c r="E5418" s="121">
        <v>263149</v>
      </c>
    </row>
    <row r="5419" spans="1:5" ht="15">
      <c r="A5419" s="120" t="s">
        <v>631</v>
      </c>
      <c r="B5419" s="121">
        <v>21</v>
      </c>
      <c r="C5419" s="121">
        <v>27</v>
      </c>
      <c r="D5419" s="121">
        <v>3</v>
      </c>
      <c r="E5419" s="121">
        <v>425814</v>
      </c>
    </row>
    <row r="5420" spans="1:5" ht="15">
      <c r="A5420" s="120" t="s">
        <v>631</v>
      </c>
      <c r="B5420" s="121">
        <v>21</v>
      </c>
      <c r="C5420" s="121">
        <v>27</v>
      </c>
      <c r="D5420" s="121">
        <v>4</v>
      </c>
      <c r="E5420" s="121">
        <v>424158</v>
      </c>
    </row>
    <row r="5421" spans="1:5" ht="15">
      <c r="A5421" s="120" t="s">
        <v>631</v>
      </c>
      <c r="B5421" s="121">
        <v>21</v>
      </c>
      <c r="C5421" s="121">
        <v>27</v>
      </c>
      <c r="D5421" s="121">
        <v>5</v>
      </c>
      <c r="E5421" s="121">
        <v>50600</v>
      </c>
    </row>
    <row r="5422" spans="1:5" ht="15">
      <c r="A5422" s="120" t="s">
        <v>631</v>
      </c>
      <c r="B5422" s="121">
        <v>21</v>
      </c>
      <c r="C5422" s="121">
        <v>27</v>
      </c>
      <c r="D5422" s="121">
        <v>7</v>
      </c>
      <c r="E5422" s="121">
        <v>540000</v>
      </c>
    </row>
    <row r="5423" spans="1:5" ht="15">
      <c r="A5423" s="120" t="s">
        <v>631</v>
      </c>
      <c r="B5423" s="121">
        <v>21</v>
      </c>
      <c r="C5423" s="121">
        <v>29</v>
      </c>
      <c r="D5423" s="121">
        <v>7</v>
      </c>
      <c r="E5423" s="121">
        <v>330000</v>
      </c>
    </row>
    <row r="5424" spans="1:5" ht="15">
      <c r="A5424" s="120" t="s">
        <v>631</v>
      </c>
      <c r="B5424" s="121">
        <v>24</v>
      </c>
      <c r="C5424" s="121">
        <v>29</v>
      </c>
      <c r="D5424" s="121">
        <v>7</v>
      </c>
      <c r="E5424" s="121">
        <v>200721</v>
      </c>
    </row>
    <row r="5425" spans="1:5" ht="15">
      <c r="A5425" s="120" t="s">
        <v>627</v>
      </c>
      <c r="B5425" s="121">
        <v>21</v>
      </c>
      <c r="C5425" s="121">
        <v>21</v>
      </c>
      <c r="D5425" s="121">
        <v>3</v>
      </c>
      <c r="E5425" s="121">
        <v>13789</v>
      </c>
    </row>
    <row r="5426" spans="1:5" ht="15">
      <c r="A5426" s="120" t="s">
        <v>627</v>
      </c>
      <c r="B5426" s="121">
        <v>21</v>
      </c>
      <c r="C5426" s="121">
        <v>21</v>
      </c>
      <c r="D5426" s="121">
        <v>4</v>
      </c>
      <c r="E5426" s="121">
        <v>5741</v>
      </c>
    </row>
    <row r="5427" spans="1:5" ht="15">
      <c r="A5427" s="120" t="s">
        <v>627</v>
      </c>
      <c r="B5427" s="121">
        <v>21</v>
      </c>
      <c r="C5427" s="121">
        <v>26</v>
      </c>
      <c r="D5427" s="121">
        <v>7</v>
      </c>
      <c r="E5427" s="121">
        <v>110000</v>
      </c>
    </row>
    <row r="5428" spans="1:5" ht="15">
      <c r="A5428" s="120" t="s">
        <v>627</v>
      </c>
      <c r="B5428" s="121">
        <v>21</v>
      </c>
      <c r="C5428" s="121">
        <v>27</v>
      </c>
      <c r="D5428" s="121">
        <v>2</v>
      </c>
      <c r="E5428" s="121">
        <v>292123</v>
      </c>
    </row>
    <row r="5429" spans="1:5" ht="15">
      <c r="A5429" s="120" t="s">
        <v>627</v>
      </c>
      <c r="B5429" s="121">
        <v>21</v>
      </c>
      <c r="C5429" s="121">
        <v>27</v>
      </c>
      <c r="D5429" s="121">
        <v>3</v>
      </c>
      <c r="E5429" s="121">
        <v>139839</v>
      </c>
    </row>
    <row r="5430" spans="1:5" ht="15">
      <c r="A5430" s="120" t="s">
        <v>627</v>
      </c>
      <c r="B5430" s="121">
        <v>21</v>
      </c>
      <c r="C5430" s="121">
        <v>27</v>
      </c>
      <c r="D5430" s="121">
        <v>4</v>
      </c>
      <c r="E5430" s="121">
        <v>208108</v>
      </c>
    </row>
    <row r="5431" spans="1:5" ht="15">
      <c r="A5431" s="120" t="s">
        <v>627</v>
      </c>
      <c r="B5431" s="121">
        <v>21</v>
      </c>
      <c r="C5431" s="121">
        <v>27</v>
      </c>
      <c r="D5431" s="121">
        <v>5</v>
      </c>
      <c r="E5431" s="121">
        <v>3499</v>
      </c>
    </row>
    <row r="5432" spans="1:5" ht="15">
      <c r="A5432" s="120" t="s">
        <v>627</v>
      </c>
      <c r="B5432" s="121">
        <v>21</v>
      </c>
      <c r="C5432" s="121">
        <v>27</v>
      </c>
      <c r="D5432" s="121">
        <v>7</v>
      </c>
      <c r="E5432" s="121">
        <v>114000</v>
      </c>
    </row>
    <row r="5433" spans="1:5" ht="15">
      <c r="A5433" s="120" t="s">
        <v>627</v>
      </c>
      <c r="B5433" s="121">
        <v>21</v>
      </c>
      <c r="C5433" s="121">
        <v>34</v>
      </c>
      <c r="D5433" s="121">
        <v>2</v>
      </c>
      <c r="E5433" s="121">
        <v>8044</v>
      </c>
    </row>
    <row r="5434" spans="1:5" ht="15">
      <c r="A5434" s="120" t="s">
        <v>627</v>
      </c>
      <c r="B5434" s="121">
        <v>21</v>
      </c>
      <c r="C5434" s="121">
        <v>34</v>
      </c>
      <c r="D5434" s="121">
        <v>4</v>
      </c>
      <c r="E5434" s="121">
        <v>1417</v>
      </c>
    </row>
    <row r="5435" spans="1:5" ht="15">
      <c r="A5435" s="120" t="s">
        <v>627</v>
      </c>
      <c r="B5435" s="121">
        <v>24</v>
      </c>
      <c r="C5435" s="121">
        <v>26</v>
      </c>
      <c r="D5435" s="121">
        <v>7</v>
      </c>
      <c r="E5435" s="121">
        <v>83078</v>
      </c>
    </row>
    <row r="5436" spans="1:5" ht="15">
      <c r="A5436" s="120" t="s">
        <v>611</v>
      </c>
      <c r="B5436" s="121">
        <v>21</v>
      </c>
      <c r="C5436" s="121">
        <v>21</v>
      </c>
      <c r="D5436" s="121">
        <v>2</v>
      </c>
      <c r="E5436" s="121">
        <v>312783</v>
      </c>
    </row>
    <row r="5437" spans="1:5" ht="15">
      <c r="A5437" s="120" t="s">
        <v>611</v>
      </c>
      <c r="B5437" s="121">
        <v>21</v>
      </c>
      <c r="C5437" s="121">
        <v>21</v>
      </c>
      <c r="D5437" s="121">
        <v>3</v>
      </c>
      <c r="E5437" s="121">
        <v>120398</v>
      </c>
    </row>
    <row r="5438" spans="1:5" ht="15">
      <c r="A5438" s="120" t="s">
        <v>611</v>
      </c>
      <c r="B5438" s="121">
        <v>21</v>
      </c>
      <c r="C5438" s="121">
        <v>21</v>
      </c>
      <c r="D5438" s="121">
        <v>4</v>
      </c>
      <c r="E5438" s="121">
        <v>125349</v>
      </c>
    </row>
    <row r="5439" spans="1:5" ht="15">
      <c r="A5439" s="120" t="s">
        <v>611</v>
      </c>
      <c r="B5439" s="121">
        <v>21</v>
      </c>
      <c r="C5439" s="121">
        <v>24</v>
      </c>
      <c r="D5439" s="121">
        <v>2</v>
      </c>
      <c r="E5439" s="121">
        <v>151907</v>
      </c>
    </row>
    <row r="5440" spans="1:5" ht="15">
      <c r="A5440" s="120" t="s">
        <v>611</v>
      </c>
      <c r="B5440" s="121">
        <v>21</v>
      </c>
      <c r="C5440" s="121">
        <v>24</v>
      </c>
      <c r="D5440" s="121">
        <v>4</v>
      </c>
      <c r="E5440" s="121">
        <v>54769</v>
      </c>
    </row>
    <row r="5441" spans="1:5" ht="15">
      <c r="A5441" s="120" t="s">
        <v>611</v>
      </c>
      <c r="B5441" s="121">
        <v>21</v>
      </c>
      <c r="C5441" s="121">
        <v>26</v>
      </c>
      <c r="D5441" s="121">
        <v>2</v>
      </c>
      <c r="E5441" s="121">
        <v>1024837</v>
      </c>
    </row>
    <row r="5442" spans="1:5" ht="15">
      <c r="A5442" s="120" t="s">
        <v>611</v>
      </c>
      <c r="B5442" s="121">
        <v>21</v>
      </c>
      <c r="C5442" s="121">
        <v>26</v>
      </c>
      <c r="D5442" s="121">
        <v>3</v>
      </c>
      <c r="E5442" s="121">
        <v>772601</v>
      </c>
    </row>
    <row r="5443" spans="1:5" ht="15">
      <c r="A5443" s="120" t="s">
        <v>611</v>
      </c>
      <c r="B5443" s="121">
        <v>21</v>
      </c>
      <c r="C5443" s="121">
        <v>26</v>
      </c>
      <c r="D5443" s="121">
        <v>4</v>
      </c>
      <c r="E5443" s="121">
        <v>733162</v>
      </c>
    </row>
    <row r="5444" spans="1:5" ht="15">
      <c r="A5444" s="120" t="s">
        <v>611</v>
      </c>
      <c r="B5444" s="121">
        <v>21</v>
      </c>
      <c r="C5444" s="121">
        <v>27</v>
      </c>
      <c r="D5444" s="121">
        <v>2</v>
      </c>
      <c r="E5444" s="121">
        <v>1951020</v>
      </c>
    </row>
    <row r="5445" spans="1:5" ht="15">
      <c r="A5445" s="120" t="s">
        <v>611</v>
      </c>
      <c r="B5445" s="121">
        <v>21</v>
      </c>
      <c r="C5445" s="121">
        <v>27</v>
      </c>
      <c r="D5445" s="121">
        <v>3</v>
      </c>
      <c r="E5445" s="121">
        <v>1786029</v>
      </c>
    </row>
    <row r="5446" spans="1:5" ht="15">
      <c r="A5446" s="120" t="s">
        <v>611</v>
      </c>
      <c r="B5446" s="121">
        <v>21</v>
      </c>
      <c r="C5446" s="121">
        <v>27</v>
      </c>
      <c r="D5446" s="121">
        <v>4</v>
      </c>
      <c r="E5446" s="121">
        <v>1658602</v>
      </c>
    </row>
    <row r="5447" spans="1:5" ht="15">
      <c r="A5447" s="120" t="s">
        <v>611</v>
      </c>
      <c r="B5447" s="121">
        <v>21</v>
      </c>
      <c r="C5447" s="121">
        <v>27</v>
      </c>
      <c r="D5447" s="121">
        <v>5</v>
      </c>
      <c r="E5447" s="121">
        <v>53872</v>
      </c>
    </row>
    <row r="5448" spans="1:5" ht="15">
      <c r="A5448" s="120" t="s">
        <v>611</v>
      </c>
      <c r="B5448" s="121">
        <v>21</v>
      </c>
      <c r="C5448" s="121">
        <v>27</v>
      </c>
      <c r="D5448" s="121">
        <v>7</v>
      </c>
      <c r="E5448" s="121">
        <v>704000</v>
      </c>
    </row>
    <row r="5449" spans="1:5" ht="15">
      <c r="A5449" s="120" t="s">
        <v>611</v>
      </c>
      <c r="B5449" s="121">
        <v>21</v>
      </c>
      <c r="C5449" s="121">
        <v>31</v>
      </c>
      <c r="D5449" s="121">
        <v>2</v>
      </c>
      <c r="E5449" s="121">
        <v>73231</v>
      </c>
    </row>
    <row r="5450" spans="1:5" ht="15">
      <c r="A5450" s="120" t="s">
        <v>611</v>
      </c>
      <c r="B5450" s="121">
        <v>21</v>
      </c>
      <c r="C5450" s="121">
        <v>31</v>
      </c>
      <c r="D5450" s="121">
        <v>4</v>
      </c>
      <c r="E5450" s="121">
        <v>12525</v>
      </c>
    </row>
    <row r="5451" spans="1:5" ht="15">
      <c r="A5451" s="120" t="s">
        <v>611</v>
      </c>
      <c r="B5451" s="121">
        <v>21</v>
      </c>
      <c r="C5451" s="121">
        <v>31</v>
      </c>
      <c r="D5451" s="121">
        <v>8</v>
      </c>
      <c r="E5451" s="121">
        <v>5000</v>
      </c>
    </row>
    <row r="5452" spans="1:5" ht="15">
      <c r="A5452" s="120" t="s">
        <v>611</v>
      </c>
      <c r="B5452" s="121">
        <v>21</v>
      </c>
      <c r="C5452" s="121">
        <v>34</v>
      </c>
      <c r="D5452" s="121">
        <v>2</v>
      </c>
      <c r="E5452" s="121">
        <v>65681</v>
      </c>
    </row>
    <row r="5453" spans="1:5" ht="15">
      <c r="A5453" s="120" t="s">
        <v>611</v>
      </c>
      <c r="B5453" s="121">
        <v>21</v>
      </c>
      <c r="C5453" s="121">
        <v>34</v>
      </c>
      <c r="D5453" s="121">
        <v>4</v>
      </c>
      <c r="E5453" s="121">
        <v>11247</v>
      </c>
    </row>
    <row r="5454" spans="1:5" ht="15">
      <c r="A5454" s="120" t="s">
        <v>611</v>
      </c>
      <c r="B5454" s="121">
        <v>24</v>
      </c>
      <c r="C5454" s="121">
        <v>26</v>
      </c>
      <c r="D5454" s="121">
        <v>2</v>
      </c>
      <c r="E5454" s="121">
        <v>72115</v>
      </c>
    </row>
    <row r="5455" spans="1:5" ht="15">
      <c r="A5455" s="120" t="s">
        <v>611</v>
      </c>
      <c r="B5455" s="121">
        <v>24</v>
      </c>
      <c r="C5455" s="121">
        <v>26</v>
      </c>
      <c r="D5455" s="121">
        <v>4</v>
      </c>
      <c r="E5455" s="121">
        <v>26563</v>
      </c>
    </row>
    <row r="5456" spans="1:5" ht="15">
      <c r="A5456" s="120" t="s">
        <v>611</v>
      </c>
      <c r="B5456" s="121">
        <v>24</v>
      </c>
      <c r="C5456" s="121">
        <v>27</v>
      </c>
      <c r="D5456" s="121">
        <v>2</v>
      </c>
      <c r="E5456" s="121">
        <v>744378</v>
      </c>
    </row>
    <row r="5457" spans="1:5" ht="15">
      <c r="A5457" s="120" t="s">
        <v>611</v>
      </c>
      <c r="B5457" s="121">
        <v>24</v>
      </c>
      <c r="C5457" s="121">
        <v>27</v>
      </c>
      <c r="D5457" s="121">
        <v>3</v>
      </c>
      <c r="E5457" s="121">
        <v>20449</v>
      </c>
    </row>
    <row r="5458" spans="1:5" ht="15">
      <c r="A5458" s="120" t="s">
        <v>611</v>
      </c>
      <c r="B5458" s="121">
        <v>24</v>
      </c>
      <c r="C5458" s="121">
        <v>27</v>
      </c>
      <c r="D5458" s="121">
        <v>4</v>
      </c>
      <c r="E5458" s="121">
        <v>238339</v>
      </c>
    </row>
    <row r="5459" spans="1:5" ht="15">
      <c r="A5459" s="120" t="s">
        <v>611</v>
      </c>
      <c r="B5459" s="121">
        <v>24</v>
      </c>
      <c r="C5459" s="121">
        <v>31</v>
      </c>
      <c r="D5459" s="121">
        <v>2</v>
      </c>
      <c r="E5459" s="121">
        <v>37300</v>
      </c>
    </row>
    <row r="5460" spans="1:5" ht="15">
      <c r="A5460" s="120" t="s">
        <v>611</v>
      </c>
      <c r="B5460" s="121">
        <v>24</v>
      </c>
      <c r="C5460" s="121">
        <v>31</v>
      </c>
      <c r="D5460" s="121">
        <v>4</v>
      </c>
      <c r="E5460" s="121">
        <v>6552</v>
      </c>
    </row>
    <row r="5461" spans="1:5" ht="15">
      <c r="A5461" s="120" t="s">
        <v>557</v>
      </c>
      <c r="B5461" s="121">
        <v>21</v>
      </c>
      <c r="C5461" s="121">
        <v>21</v>
      </c>
      <c r="D5461" s="121">
        <v>2</v>
      </c>
      <c r="E5461" s="121">
        <v>72494</v>
      </c>
    </row>
    <row r="5462" spans="1:5" ht="15">
      <c r="A5462" s="120" t="s">
        <v>557</v>
      </c>
      <c r="B5462" s="121">
        <v>21</v>
      </c>
      <c r="C5462" s="121">
        <v>21</v>
      </c>
      <c r="D5462" s="121">
        <v>3</v>
      </c>
      <c r="E5462" s="121">
        <v>41236</v>
      </c>
    </row>
    <row r="5463" spans="1:5" ht="15">
      <c r="A5463" s="120" t="s">
        <v>557</v>
      </c>
      <c r="B5463" s="121">
        <v>21</v>
      </c>
      <c r="C5463" s="121">
        <v>21</v>
      </c>
      <c r="D5463" s="121">
        <v>4</v>
      </c>
      <c r="E5463" s="121">
        <v>32267</v>
      </c>
    </row>
    <row r="5464" spans="1:5" ht="15">
      <c r="A5464" s="120" t="s">
        <v>557</v>
      </c>
      <c r="B5464" s="121">
        <v>21</v>
      </c>
      <c r="C5464" s="121">
        <v>21</v>
      </c>
      <c r="D5464" s="121">
        <v>5</v>
      </c>
      <c r="E5464" s="121">
        <v>10000</v>
      </c>
    </row>
    <row r="5465" spans="1:5" ht="15">
      <c r="A5465" s="120" t="s">
        <v>557</v>
      </c>
      <c r="B5465" s="121">
        <v>21</v>
      </c>
      <c r="C5465" s="121">
        <v>21</v>
      </c>
      <c r="D5465" s="121">
        <v>8</v>
      </c>
      <c r="E5465" s="121">
        <v>500</v>
      </c>
    </row>
    <row r="5466" spans="1:5" ht="15">
      <c r="A5466" s="120" t="s">
        <v>557</v>
      </c>
      <c r="B5466" s="121">
        <v>21</v>
      </c>
      <c r="C5466" s="121">
        <v>26</v>
      </c>
      <c r="D5466" s="121">
        <v>2</v>
      </c>
      <c r="E5466" s="121">
        <v>77611</v>
      </c>
    </row>
    <row r="5467" spans="1:5" ht="15">
      <c r="A5467" s="120" t="s">
        <v>557</v>
      </c>
      <c r="B5467" s="121">
        <v>21</v>
      </c>
      <c r="C5467" s="121">
        <v>26</v>
      </c>
      <c r="D5467" s="121">
        <v>3</v>
      </c>
      <c r="E5467" s="121">
        <v>49263</v>
      </c>
    </row>
    <row r="5468" spans="1:5" ht="15">
      <c r="A5468" s="120" t="s">
        <v>557</v>
      </c>
      <c r="B5468" s="121">
        <v>21</v>
      </c>
      <c r="C5468" s="121">
        <v>26</v>
      </c>
      <c r="D5468" s="121">
        <v>4</v>
      </c>
      <c r="E5468" s="121">
        <v>46181</v>
      </c>
    </row>
    <row r="5469" spans="1:5" ht="15">
      <c r="A5469" s="120" t="s">
        <v>557</v>
      </c>
      <c r="B5469" s="121">
        <v>21</v>
      </c>
      <c r="C5469" s="121">
        <v>26</v>
      </c>
      <c r="D5469" s="121">
        <v>5</v>
      </c>
      <c r="E5469" s="121">
        <v>191</v>
      </c>
    </row>
    <row r="5470" spans="1:5" ht="15">
      <c r="A5470" s="120" t="s">
        <v>557</v>
      </c>
      <c r="B5470" s="121">
        <v>21</v>
      </c>
      <c r="C5470" s="121">
        <v>26</v>
      </c>
      <c r="D5470" s="121">
        <v>7</v>
      </c>
      <c r="E5470" s="121">
        <v>367500</v>
      </c>
    </row>
    <row r="5471" spans="1:5" ht="15">
      <c r="A5471" s="120" t="s">
        <v>557</v>
      </c>
      <c r="B5471" s="121">
        <v>21</v>
      </c>
      <c r="C5471" s="121">
        <v>27</v>
      </c>
      <c r="D5471" s="121">
        <v>2</v>
      </c>
      <c r="E5471" s="121">
        <v>650023</v>
      </c>
    </row>
    <row r="5472" spans="1:5" ht="15">
      <c r="A5472" s="120" t="s">
        <v>557</v>
      </c>
      <c r="B5472" s="121">
        <v>21</v>
      </c>
      <c r="C5472" s="121">
        <v>27</v>
      </c>
      <c r="D5472" s="121">
        <v>3</v>
      </c>
      <c r="E5472" s="121">
        <v>598782</v>
      </c>
    </row>
    <row r="5473" spans="1:5" ht="15">
      <c r="A5473" s="120" t="s">
        <v>557</v>
      </c>
      <c r="B5473" s="121">
        <v>21</v>
      </c>
      <c r="C5473" s="121">
        <v>27</v>
      </c>
      <c r="D5473" s="121">
        <v>4</v>
      </c>
      <c r="E5473" s="121">
        <v>596873</v>
      </c>
    </row>
    <row r="5474" spans="1:5" ht="15">
      <c r="A5474" s="120" t="s">
        <v>557</v>
      </c>
      <c r="B5474" s="121">
        <v>21</v>
      </c>
      <c r="C5474" s="121">
        <v>27</v>
      </c>
      <c r="D5474" s="121">
        <v>5</v>
      </c>
      <c r="E5474" s="121">
        <v>5000</v>
      </c>
    </row>
    <row r="5475" spans="1:5" ht="15">
      <c r="A5475" s="120" t="s">
        <v>557</v>
      </c>
      <c r="B5475" s="121">
        <v>21</v>
      </c>
      <c r="C5475" s="121">
        <v>27</v>
      </c>
      <c r="D5475" s="121">
        <v>7</v>
      </c>
      <c r="E5475" s="121">
        <v>338000</v>
      </c>
    </row>
    <row r="5476" spans="1:5" ht="15">
      <c r="A5476" s="120" t="s">
        <v>557</v>
      </c>
      <c r="B5476" s="121">
        <v>21</v>
      </c>
      <c r="C5476" s="121">
        <v>27</v>
      </c>
      <c r="D5476" s="121">
        <v>8</v>
      </c>
      <c r="E5476" s="121">
        <v>2000</v>
      </c>
    </row>
    <row r="5477" spans="1:5" ht="15">
      <c r="A5477" s="120" t="s">
        <v>557</v>
      </c>
      <c r="B5477" s="121">
        <v>21</v>
      </c>
      <c r="C5477" s="121">
        <v>31</v>
      </c>
      <c r="D5477" s="121">
        <v>7</v>
      </c>
      <c r="E5477" s="121">
        <v>1500</v>
      </c>
    </row>
    <row r="5478" spans="1:5" ht="15">
      <c r="A5478" s="120" t="s">
        <v>557</v>
      </c>
      <c r="B5478" s="121">
        <v>21</v>
      </c>
      <c r="C5478" s="121">
        <v>31</v>
      </c>
      <c r="D5478" s="121">
        <v>8</v>
      </c>
      <c r="E5478" s="121">
        <v>2000</v>
      </c>
    </row>
    <row r="5479" spans="1:5" ht="15">
      <c r="A5479" s="120" t="s">
        <v>557</v>
      </c>
      <c r="B5479" s="121">
        <v>21</v>
      </c>
      <c r="C5479" s="121">
        <v>33</v>
      </c>
      <c r="D5479" s="121">
        <v>5</v>
      </c>
      <c r="E5479" s="121">
        <v>8250</v>
      </c>
    </row>
    <row r="5480" spans="1:5" ht="15">
      <c r="A5480" s="120" t="s">
        <v>557</v>
      </c>
      <c r="B5480" s="121">
        <v>21</v>
      </c>
      <c r="C5480" s="121">
        <v>33</v>
      </c>
      <c r="D5480" s="121">
        <v>7</v>
      </c>
      <c r="E5480" s="121">
        <v>9000</v>
      </c>
    </row>
    <row r="5481" spans="1:5" ht="15">
      <c r="A5481" s="120" t="s">
        <v>557</v>
      </c>
      <c r="B5481" s="121">
        <v>21</v>
      </c>
      <c r="C5481" s="121">
        <v>34</v>
      </c>
      <c r="D5481" s="121">
        <v>2</v>
      </c>
      <c r="E5481" s="121">
        <v>16925</v>
      </c>
    </row>
    <row r="5482" spans="1:5" ht="15">
      <c r="A5482" s="120" t="s">
        <v>557</v>
      </c>
      <c r="B5482" s="121">
        <v>21</v>
      </c>
      <c r="C5482" s="121">
        <v>34</v>
      </c>
      <c r="D5482" s="121">
        <v>4</v>
      </c>
      <c r="E5482" s="121">
        <v>2736</v>
      </c>
    </row>
    <row r="5483" spans="1:5" ht="15">
      <c r="A5483" s="120" t="s">
        <v>557</v>
      </c>
      <c r="B5483" s="121">
        <v>24</v>
      </c>
      <c r="C5483" s="121">
        <v>27</v>
      </c>
      <c r="D5483" s="121">
        <v>2</v>
      </c>
      <c r="E5483" s="121">
        <v>33017</v>
      </c>
    </row>
    <row r="5484" spans="1:5" ht="15">
      <c r="A5484" s="120" t="s">
        <v>557</v>
      </c>
      <c r="B5484" s="121">
        <v>24</v>
      </c>
      <c r="C5484" s="121">
        <v>27</v>
      </c>
      <c r="D5484" s="121">
        <v>3</v>
      </c>
      <c r="E5484" s="121">
        <v>170906</v>
      </c>
    </row>
    <row r="5485" spans="1:5" ht="15">
      <c r="A5485" s="120" t="s">
        <v>557</v>
      </c>
      <c r="B5485" s="121">
        <v>24</v>
      </c>
      <c r="C5485" s="121">
        <v>27</v>
      </c>
      <c r="D5485" s="121">
        <v>4</v>
      </c>
      <c r="E5485" s="121">
        <v>111466</v>
      </c>
    </row>
    <row r="5486" spans="1:5" ht="15">
      <c r="A5486" s="120" t="s">
        <v>633</v>
      </c>
      <c r="B5486" s="121">
        <v>21</v>
      </c>
      <c r="C5486" s="121">
        <v>21</v>
      </c>
      <c r="D5486" s="121">
        <v>2</v>
      </c>
      <c r="E5486" s="121">
        <v>36401</v>
      </c>
    </row>
    <row r="5487" spans="1:5" ht="15">
      <c r="A5487" s="120" t="s">
        <v>633</v>
      </c>
      <c r="B5487" s="121">
        <v>21</v>
      </c>
      <c r="C5487" s="121">
        <v>21</v>
      </c>
      <c r="D5487" s="121">
        <v>4</v>
      </c>
      <c r="E5487" s="121">
        <v>11500</v>
      </c>
    </row>
    <row r="5488" spans="1:5" ht="15">
      <c r="A5488" s="120" t="s">
        <v>633</v>
      </c>
      <c r="B5488" s="121">
        <v>21</v>
      </c>
      <c r="C5488" s="121">
        <v>27</v>
      </c>
      <c r="D5488" s="121">
        <v>2</v>
      </c>
      <c r="E5488" s="121">
        <v>68269</v>
      </c>
    </row>
    <row r="5489" spans="1:5" ht="15">
      <c r="A5489" s="120" t="s">
        <v>633</v>
      </c>
      <c r="B5489" s="121">
        <v>21</v>
      </c>
      <c r="C5489" s="121">
        <v>27</v>
      </c>
      <c r="D5489" s="121">
        <v>3</v>
      </c>
      <c r="E5489" s="121">
        <v>76221</v>
      </c>
    </row>
    <row r="5490" spans="1:5" ht="15">
      <c r="A5490" s="120" t="s">
        <v>633</v>
      </c>
      <c r="B5490" s="121">
        <v>21</v>
      </c>
      <c r="C5490" s="121">
        <v>27</v>
      </c>
      <c r="D5490" s="121">
        <v>4</v>
      </c>
      <c r="E5490" s="121">
        <v>84505</v>
      </c>
    </row>
    <row r="5491" spans="1:5" ht="15">
      <c r="A5491" s="120" t="s">
        <v>633</v>
      </c>
      <c r="B5491" s="121">
        <v>21</v>
      </c>
      <c r="C5491" s="121">
        <v>27</v>
      </c>
      <c r="D5491" s="121">
        <v>5</v>
      </c>
      <c r="E5491" s="121">
        <v>3500</v>
      </c>
    </row>
    <row r="5492" spans="1:5" ht="15">
      <c r="A5492" s="120" t="s">
        <v>633</v>
      </c>
      <c r="B5492" s="121">
        <v>21</v>
      </c>
      <c r="C5492" s="121">
        <v>27</v>
      </c>
      <c r="D5492" s="121">
        <v>7</v>
      </c>
      <c r="E5492" s="121">
        <v>55000</v>
      </c>
    </row>
    <row r="5493" spans="1:5" ht="15">
      <c r="A5493" s="120" t="s">
        <v>633</v>
      </c>
      <c r="B5493" s="121">
        <v>21</v>
      </c>
      <c r="C5493" s="121">
        <v>31</v>
      </c>
      <c r="D5493" s="121">
        <v>8</v>
      </c>
      <c r="E5493" s="121">
        <v>1000</v>
      </c>
    </row>
    <row r="5494" spans="1:5" ht="15">
      <c r="A5494" s="120" t="s">
        <v>633</v>
      </c>
      <c r="B5494" s="121">
        <v>21</v>
      </c>
      <c r="C5494" s="121">
        <v>32</v>
      </c>
      <c r="D5494" s="121">
        <v>7</v>
      </c>
      <c r="E5494" s="121">
        <v>2500</v>
      </c>
    </row>
    <row r="5495" spans="1:5" ht="15">
      <c r="A5495" s="120" t="s">
        <v>633</v>
      </c>
      <c r="B5495" s="121">
        <v>21</v>
      </c>
      <c r="C5495" s="121">
        <v>34</v>
      </c>
      <c r="D5495" s="121">
        <v>2</v>
      </c>
      <c r="E5495" s="121">
        <v>1138</v>
      </c>
    </row>
    <row r="5496" spans="1:5" ht="15">
      <c r="A5496" s="120" t="s">
        <v>633</v>
      </c>
      <c r="B5496" s="121">
        <v>21</v>
      </c>
      <c r="C5496" s="121">
        <v>34</v>
      </c>
      <c r="D5496" s="121">
        <v>4</v>
      </c>
      <c r="E5496" s="121">
        <v>193</v>
      </c>
    </row>
    <row r="5497" spans="1:5" ht="15">
      <c r="A5497" s="120" t="s">
        <v>633</v>
      </c>
      <c r="B5497" s="121">
        <v>24</v>
      </c>
      <c r="C5497" s="121">
        <v>26</v>
      </c>
      <c r="D5497" s="121">
        <v>7</v>
      </c>
      <c r="E5497" s="121">
        <v>36421</v>
      </c>
    </row>
    <row r="5498" spans="1:5" ht="15">
      <c r="A5498" s="120" t="s">
        <v>633</v>
      </c>
      <c r="B5498" s="121">
        <v>24</v>
      </c>
      <c r="C5498" s="121">
        <v>27</v>
      </c>
      <c r="D5498" s="121">
        <v>5</v>
      </c>
      <c r="E5498" s="121">
        <v>3086</v>
      </c>
    </row>
    <row r="5499" spans="1:5" ht="15">
      <c r="A5499" s="120" t="s">
        <v>641</v>
      </c>
      <c r="B5499" s="121">
        <v>21</v>
      </c>
      <c r="C5499" s="121">
        <v>21</v>
      </c>
      <c r="D5499" s="121">
        <v>2</v>
      </c>
      <c r="E5499" s="121">
        <v>444855</v>
      </c>
    </row>
    <row r="5500" spans="1:5" ht="15">
      <c r="A5500" s="120" t="s">
        <v>641</v>
      </c>
      <c r="B5500" s="121">
        <v>21</v>
      </c>
      <c r="C5500" s="121">
        <v>21</v>
      </c>
      <c r="D5500" s="121">
        <v>3</v>
      </c>
      <c r="E5500" s="121">
        <v>112814</v>
      </c>
    </row>
    <row r="5501" spans="1:5" ht="15">
      <c r="A5501" s="120" t="s">
        <v>641</v>
      </c>
      <c r="B5501" s="121">
        <v>21</v>
      </c>
      <c r="C5501" s="121">
        <v>21</v>
      </c>
      <c r="D5501" s="121">
        <v>4</v>
      </c>
      <c r="E5501" s="121">
        <v>165939</v>
      </c>
    </row>
    <row r="5502" spans="1:5" ht="15">
      <c r="A5502" s="120" t="s">
        <v>641</v>
      </c>
      <c r="B5502" s="121">
        <v>21</v>
      </c>
      <c r="C5502" s="121">
        <v>21</v>
      </c>
      <c r="D5502" s="121">
        <v>5</v>
      </c>
      <c r="E5502" s="121">
        <v>15000</v>
      </c>
    </row>
    <row r="5503" spans="1:5" ht="15">
      <c r="A5503" s="120" t="s">
        <v>641</v>
      </c>
      <c r="B5503" s="121">
        <v>21</v>
      </c>
      <c r="C5503" s="121">
        <v>21</v>
      </c>
      <c r="D5503" s="121">
        <v>7</v>
      </c>
      <c r="E5503" s="121">
        <v>36650</v>
      </c>
    </row>
    <row r="5504" spans="1:5" ht="15">
      <c r="A5504" s="120" t="s">
        <v>577</v>
      </c>
      <c r="B5504" s="121">
        <v>21</v>
      </c>
      <c r="C5504" s="121">
        <v>21</v>
      </c>
      <c r="D5504" s="121">
        <v>2</v>
      </c>
      <c r="E5504" s="121">
        <v>1000</v>
      </c>
    </row>
    <row r="5505" spans="1:5" ht="15">
      <c r="A5505" s="120" t="s">
        <v>577</v>
      </c>
      <c r="B5505" s="121">
        <v>21</v>
      </c>
      <c r="C5505" s="121">
        <v>21</v>
      </c>
      <c r="D5505" s="121">
        <v>4</v>
      </c>
      <c r="E5505" s="121">
        <v>1325</v>
      </c>
    </row>
    <row r="5506" spans="1:5" ht="15">
      <c r="A5506" s="120" t="s">
        <v>577</v>
      </c>
      <c r="B5506" s="121">
        <v>21</v>
      </c>
      <c r="C5506" s="121">
        <v>25</v>
      </c>
      <c r="D5506" s="121">
        <v>5</v>
      </c>
      <c r="E5506" s="121">
        <v>300</v>
      </c>
    </row>
    <row r="5507" spans="1:5" ht="15">
      <c r="A5507" s="120" t="s">
        <v>577</v>
      </c>
      <c r="B5507" s="121">
        <v>21</v>
      </c>
      <c r="C5507" s="121">
        <v>26</v>
      </c>
      <c r="D5507" s="121">
        <v>2</v>
      </c>
      <c r="E5507" s="121">
        <v>58016</v>
      </c>
    </row>
    <row r="5508" spans="1:5" ht="15">
      <c r="A5508" s="120" t="s">
        <v>577</v>
      </c>
      <c r="B5508" s="121">
        <v>21</v>
      </c>
      <c r="C5508" s="121">
        <v>26</v>
      </c>
      <c r="D5508" s="121">
        <v>3</v>
      </c>
      <c r="E5508" s="121">
        <v>24568</v>
      </c>
    </row>
    <row r="5509" spans="1:5" ht="15">
      <c r="A5509" s="120" t="s">
        <v>577</v>
      </c>
      <c r="B5509" s="121">
        <v>21</v>
      </c>
      <c r="C5509" s="121">
        <v>26</v>
      </c>
      <c r="D5509" s="121">
        <v>4</v>
      </c>
      <c r="E5509" s="121">
        <v>72151</v>
      </c>
    </row>
    <row r="5510" spans="1:5" ht="15">
      <c r="A5510" s="120" t="s">
        <v>577</v>
      </c>
      <c r="B5510" s="121">
        <v>21</v>
      </c>
      <c r="C5510" s="121">
        <v>26</v>
      </c>
      <c r="D5510" s="121">
        <v>7</v>
      </c>
      <c r="E5510" s="121">
        <v>107000</v>
      </c>
    </row>
    <row r="5511" spans="1:5" ht="15">
      <c r="A5511" s="120" t="s">
        <v>577</v>
      </c>
      <c r="B5511" s="121">
        <v>21</v>
      </c>
      <c r="C5511" s="121">
        <v>27</v>
      </c>
      <c r="D5511" s="121">
        <v>2</v>
      </c>
      <c r="E5511" s="121">
        <v>239208</v>
      </c>
    </row>
    <row r="5512" spans="1:5" ht="15">
      <c r="A5512" s="120" t="s">
        <v>577</v>
      </c>
      <c r="B5512" s="121">
        <v>21</v>
      </c>
      <c r="C5512" s="121">
        <v>27</v>
      </c>
      <c r="D5512" s="121">
        <v>3</v>
      </c>
      <c r="E5512" s="121">
        <v>139262</v>
      </c>
    </row>
    <row r="5513" spans="1:5" ht="15">
      <c r="A5513" s="120" t="s">
        <v>577</v>
      </c>
      <c r="B5513" s="121">
        <v>21</v>
      </c>
      <c r="C5513" s="121">
        <v>27</v>
      </c>
      <c r="D5513" s="121">
        <v>4</v>
      </c>
      <c r="E5513" s="121">
        <v>204965</v>
      </c>
    </row>
    <row r="5514" spans="1:5" ht="15">
      <c r="A5514" s="120" t="s">
        <v>577</v>
      </c>
      <c r="B5514" s="121">
        <v>21</v>
      </c>
      <c r="C5514" s="121">
        <v>27</v>
      </c>
      <c r="D5514" s="121">
        <v>5</v>
      </c>
      <c r="E5514" s="121">
        <v>8500</v>
      </c>
    </row>
    <row r="5515" spans="1:5" ht="15">
      <c r="A5515" s="120" t="s">
        <v>577</v>
      </c>
      <c r="B5515" s="121">
        <v>21</v>
      </c>
      <c r="C5515" s="121">
        <v>27</v>
      </c>
      <c r="D5515" s="121">
        <v>7</v>
      </c>
      <c r="E5515" s="121">
        <v>7850</v>
      </c>
    </row>
    <row r="5516" spans="1:5" ht="15">
      <c r="A5516" s="120" t="s">
        <v>577</v>
      </c>
      <c r="B5516" s="121">
        <v>21</v>
      </c>
      <c r="C5516" s="121">
        <v>31</v>
      </c>
      <c r="D5516" s="121">
        <v>2</v>
      </c>
      <c r="E5516" s="121">
        <v>2854</v>
      </c>
    </row>
    <row r="5517" spans="1:5" ht="15">
      <c r="A5517" s="120" t="s">
        <v>577</v>
      </c>
      <c r="B5517" s="121">
        <v>21</v>
      </c>
      <c r="C5517" s="121">
        <v>31</v>
      </c>
      <c r="D5517" s="121">
        <v>4</v>
      </c>
      <c r="E5517" s="121">
        <v>822</v>
      </c>
    </row>
    <row r="5518" spans="1:5" ht="15">
      <c r="A5518" s="120" t="s">
        <v>577</v>
      </c>
      <c r="B5518" s="121">
        <v>21</v>
      </c>
      <c r="C5518" s="121">
        <v>31</v>
      </c>
      <c r="D5518" s="121">
        <v>7</v>
      </c>
      <c r="E5518" s="121">
        <v>20000</v>
      </c>
    </row>
    <row r="5519" spans="1:5" ht="15">
      <c r="A5519" s="120" t="s">
        <v>577</v>
      </c>
      <c r="B5519" s="121">
        <v>21</v>
      </c>
      <c r="C5519" s="121">
        <v>31</v>
      </c>
      <c r="D5519" s="121">
        <v>8</v>
      </c>
      <c r="E5519" s="121">
        <v>3000</v>
      </c>
    </row>
    <row r="5520" spans="1:5" ht="15">
      <c r="A5520" s="120" t="s">
        <v>577</v>
      </c>
      <c r="B5520" s="121">
        <v>21</v>
      </c>
      <c r="C5520" s="121">
        <v>32</v>
      </c>
      <c r="D5520" s="121">
        <v>5</v>
      </c>
      <c r="E5520" s="121">
        <v>1250</v>
      </c>
    </row>
    <row r="5521" spans="1:5" ht="15">
      <c r="A5521" s="120" t="s">
        <v>641</v>
      </c>
      <c r="B5521" s="121">
        <v>21</v>
      </c>
      <c r="C5521" s="121">
        <v>21</v>
      </c>
      <c r="D5521" s="121">
        <v>8</v>
      </c>
      <c r="E5521" s="121">
        <v>4000</v>
      </c>
    </row>
    <row r="5522" spans="1:5" ht="15">
      <c r="A5522" s="120" t="s">
        <v>641</v>
      </c>
      <c r="B5522" s="121">
        <v>21</v>
      </c>
      <c r="C5522" s="121">
        <v>25</v>
      </c>
      <c r="D5522" s="121">
        <v>3</v>
      </c>
      <c r="E5522" s="121">
        <v>235034</v>
      </c>
    </row>
    <row r="5523" spans="1:5" ht="15">
      <c r="A5523" s="120" t="s">
        <v>641</v>
      </c>
      <c r="B5523" s="121">
        <v>21</v>
      </c>
      <c r="C5523" s="121">
        <v>25</v>
      </c>
      <c r="D5523" s="121">
        <v>4</v>
      </c>
      <c r="E5523" s="121">
        <v>181049</v>
      </c>
    </row>
    <row r="5524" spans="1:5" ht="15">
      <c r="A5524" s="120" t="s">
        <v>641</v>
      </c>
      <c r="B5524" s="121">
        <v>21</v>
      </c>
      <c r="C5524" s="121">
        <v>26</v>
      </c>
      <c r="D5524" s="121">
        <v>2</v>
      </c>
      <c r="E5524" s="121">
        <v>2807655</v>
      </c>
    </row>
    <row r="5525" spans="1:5" ht="15">
      <c r="A5525" s="120" t="s">
        <v>641</v>
      </c>
      <c r="B5525" s="121">
        <v>21</v>
      </c>
      <c r="C5525" s="121">
        <v>26</v>
      </c>
      <c r="D5525" s="121">
        <v>3</v>
      </c>
      <c r="E5525" s="121">
        <v>117017</v>
      </c>
    </row>
    <row r="5526" spans="1:5" ht="15">
      <c r="A5526" s="120" t="s">
        <v>641</v>
      </c>
      <c r="B5526" s="121">
        <v>21</v>
      </c>
      <c r="C5526" s="121">
        <v>26</v>
      </c>
      <c r="D5526" s="121">
        <v>4</v>
      </c>
      <c r="E5526" s="121">
        <v>921777</v>
      </c>
    </row>
    <row r="5527" spans="1:5" ht="15">
      <c r="A5527" s="120" t="s">
        <v>641</v>
      </c>
      <c r="B5527" s="121">
        <v>21</v>
      </c>
      <c r="C5527" s="121">
        <v>26</v>
      </c>
      <c r="D5527" s="121">
        <v>5</v>
      </c>
      <c r="E5527" s="121">
        <v>43500</v>
      </c>
    </row>
    <row r="5528" spans="1:5" ht="15">
      <c r="A5528" s="120" t="s">
        <v>641</v>
      </c>
      <c r="B5528" s="121">
        <v>21</v>
      </c>
      <c r="C5528" s="121">
        <v>26</v>
      </c>
      <c r="D5528" s="121">
        <v>7</v>
      </c>
      <c r="E5528" s="121">
        <v>285000</v>
      </c>
    </row>
    <row r="5529" spans="1:5" ht="15">
      <c r="A5529" s="120" t="s">
        <v>641</v>
      </c>
      <c r="B5529" s="121">
        <v>21</v>
      </c>
      <c r="C5529" s="121">
        <v>26</v>
      </c>
      <c r="D5529" s="121">
        <v>8</v>
      </c>
      <c r="E5529" s="121">
        <v>3000</v>
      </c>
    </row>
    <row r="5530" spans="1:5" ht="15">
      <c r="A5530" s="120" t="s">
        <v>641</v>
      </c>
      <c r="B5530" s="121">
        <v>21</v>
      </c>
      <c r="C5530" s="121">
        <v>27</v>
      </c>
      <c r="D5530" s="121">
        <v>0</v>
      </c>
      <c r="E5530" s="121">
        <v>5000</v>
      </c>
    </row>
    <row r="5531" spans="1:5" ht="15">
      <c r="A5531" s="120" t="s">
        <v>641</v>
      </c>
      <c r="B5531" s="121">
        <v>21</v>
      </c>
      <c r="C5531" s="121">
        <v>27</v>
      </c>
      <c r="D5531" s="121">
        <v>2</v>
      </c>
      <c r="E5531" s="121">
        <v>3709073</v>
      </c>
    </row>
    <row r="5532" spans="1:5" ht="15">
      <c r="A5532" s="120" t="s">
        <v>641</v>
      </c>
      <c r="B5532" s="121">
        <v>21</v>
      </c>
      <c r="C5532" s="121">
        <v>27</v>
      </c>
      <c r="D5532" s="121">
        <v>3</v>
      </c>
      <c r="E5532" s="121">
        <v>3932070</v>
      </c>
    </row>
    <row r="5533" spans="1:5" ht="15">
      <c r="A5533" s="120" t="s">
        <v>641</v>
      </c>
      <c r="B5533" s="121">
        <v>21</v>
      </c>
      <c r="C5533" s="121">
        <v>27</v>
      </c>
      <c r="D5533" s="121">
        <v>4</v>
      </c>
      <c r="E5533" s="121">
        <v>3834188</v>
      </c>
    </row>
    <row r="5534" spans="1:5" ht="15">
      <c r="A5534" s="120" t="s">
        <v>641</v>
      </c>
      <c r="B5534" s="121">
        <v>21</v>
      </c>
      <c r="C5534" s="121">
        <v>27</v>
      </c>
      <c r="D5534" s="121">
        <v>5</v>
      </c>
      <c r="E5534" s="121">
        <v>33995</v>
      </c>
    </row>
    <row r="5535" spans="1:5" ht="15">
      <c r="A5535" s="120" t="s">
        <v>641</v>
      </c>
      <c r="B5535" s="121">
        <v>21</v>
      </c>
      <c r="C5535" s="121">
        <v>27</v>
      </c>
      <c r="D5535" s="121">
        <v>7</v>
      </c>
      <c r="E5535" s="121">
        <v>1715700</v>
      </c>
    </row>
    <row r="5536" spans="1:5" ht="15">
      <c r="A5536" s="120" t="s">
        <v>641</v>
      </c>
      <c r="B5536" s="121">
        <v>21</v>
      </c>
      <c r="C5536" s="121">
        <v>27</v>
      </c>
      <c r="D5536" s="121">
        <v>8</v>
      </c>
      <c r="E5536" s="121">
        <v>12000</v>
      </c>
    </row>
    <row r="5537" spans="1:5" ht="15">
      <c r="A5537" s="120" t="s">
        <v>641</v>
      </c>
      <c r="B5537" s="121">
        <v>21</v>
      </c>
      <c r="C5537" s="121">
        <v>31</v>
      </c>
      <c r="D5537" s="121">
        <v>7</v>
      </c>
      <c r="E5537" s="121">
        <v>17500</v>
      </c>
    </row>
    <row r="5538" spans="1:5" ht="15">
      <c r="A5538" s="120" t="s">
        <v>641</v>
      </c>
      <c r="B5538" s="121">
        <v>21</v>
      </c>
      <c r="C5538" s="121">
        <v>31</v>
      </c>
      <c r="D5538" s="121">
        <v>8</v>
      </c>
      <c r="E5538" s="121">
        <v>3000</v>
      </c>
    </row>
    <row r="5539" spans="1:5" ht="15">
      <c r="A5539" s="120" t="s">
        <v>641</v>
      </c>
      <c r="B5539" s="121">
        <v>21</v>
      </c>
      <c r="C5539" s="121">
        <v>32</v>
      </c>
      <c r="D5539" s="121">
        <v>5</v>
      </c>
      <c r="E5539" s="121">
        <v>23000</v>
      </c>
    </row>
    <row r="5540" spans="1:5" ht="15">
      <c r="A5540" s="120" t="s">
        <v>641</v>
      </c>
      <c r="B5540" s="121">
        <v>21</v>
      </c>
      <c r="C5540" s="121">
        <v>32</v>
      </c>
      <c r="D5540" s="121">
        <v>7</v>
      </c>
      <c r="E5540" s="121">
        <v>500</v>
      </c>
    </row>
    <row r="5541" spans="1:5" ht="15">
      <c r="A5541" s="120" t="s">
        <v>641</v>
      </c>
      <c r="B5541" s="121">
        <v>21</v>
      </c>
      <c r="C5541" s="121">
        <v>33</v>
      </c>
      <c r="D5541" s="121">
        <v>5</v>
      </c>
      <c r="E5541" s="121">
        <v>43000</v>
      </c>
    </row>
    <row r="5542" spans="1:5" ht="15">
      <c r="A5542" s="120" t="s">
        <v>641</v>
      </c>
      <c r="B5542" s="121">
        <v>21</v>
      </c>
      <c r="C5542" s="121">
        <v>33</v>
      </c>
      <c r="D5542" s="121">
        <v>7</v>
      </c>
      <c r="E5542" s="121">
        <v>5500</v>
      </c>
    </row>
    <row r="5543" spans="1:5" ht="15">
      <c r="A5543" s="120" t="s">
        <v>577</v>
      </c>
      <c r="B5543" s="121">
        <v>21</v>
      </c>
      <c r="C5543" s="121">
        <v>34</v>
      </c>
      <c r="D5543" s="121">
        <v>2</v>
      </c>
      <c r="E5543" s="121">
        <v>6909</v>
      </c>
    </row>
    <row r="5544" spans="1:5" ht="15">
      <c r="A5544" s="120" t="s">
        <v>577</v>
      </c>
      <c r="B5544" s="121">
        <v>21</v>
      </c>
      <c r="C5544" s="121">
        <v>34</v>
      </c>
      <c r="D5544" s="121">
        <v>4</v>
      </c>
      <c r="E5544" s="121">
        <v>1456</v>
      </c>
    </row>
    <row r="5545" spans="1:5" ht="15">
      <c r="A5545" s="120" t="s">
        <v>577</v>
      </c>
      <c r="B5545" s="121">
        <v>21</v>
      </c>
      <c r="C5545" s="121">
        <v>34</v>
      </c>
      <c r="D5545" s="121">
        <v>7</v>
      </c>
      <c r="E5545" s="121">
        <v>3000</v>
      </c>
    </row>
    <row r="5546" spans="1:5" ht="15">
      <c r="A5546" s="120" t="s">
        <v>641</v>
      </c>
      <c r="B5546" s="121">
        <v>24</v>
      </c>
      <c r="C5546" s="121">
        <v>27</v>
      </c>
      <c r="D5546" s="121">
        <v>2</v>
      </c>
      <c r="E5546" s="121">
        <v>833492</v>
      </c>
    </row>
    <row r="5547" spans="1:5" ht="15">
      <c r="A5547" s="120" t="s">
        <v>641</v>
      </c>
      <c r="B5547" s="121">
        <v>24</v>
      </c>
      <c r="C5547" s="121">
        <v>27</v>
      </c>
      <c r="D5547" s="121">
        <v>4</v>
      </c>
      <c r="E5547" s="121">
        <v>282650</v>
      </c>
    </row>
    <row r="5548" spans="1:5" ht="15">
      <c r="A5548" s="120" t="s">
        <v>577</v>
      </c>
      <c r="B5548" s="121">
        <v>24</v>
      </c>
      <c r="C5548" s="121">
        <v>21</v>
      </c>
      <c r="D5548" s="121">
        <v>5</v>
      </c>
      <c r="E5548" s="121">
        <v>5000</v>
      </c>
    </row>
    <row r="5549" spans="1:5" ht="15">
      <c r="A5549" s="120" t="s">
        <v>577</v>
      </c>
      <c r="B5549" s="121">
        <v>24</v>
      </c>
      <c r="C5549" s="121">
        <v>26</v>
      </c>
      <c r="D5549" s="121">
        <v>4</v>
      </c>
      <c r="E5549" s="121">
        <v>1500</v>
      </c>
    </row>
    <row r="5550" spans="1:5" ht="15">
      <c r="A5550" s="120" t="s">
        <v>577</v>
      </c>
      <c r="B5550" s="121">
        <v>24</v>
      </c>
      <c r="C5550" s="121">
        <v>27</v>
      </c>
      <c r="D5550" s="121">
        <v>2</v>
      </c>
      <c r="E5550" s="121">
        <v>500</v>
      </c>
    </row>
    <row r="5551" spans="1:5" ht="15">
      <c r="A5551" s="120" t="s">
        <v>577</v>
      </c>
      <c r="B5551" s="121">
        <v>24</v>
      </c>
      <c r="C5551" s="121">
        <v>27</v>
      </c>
      <c r="D5551" s="121">
        <v>3</v>
      </c>
      <c r="E5551" s="121">
        <v>23115</v>
      </c>
    </row>
    <row r="5552" spans="1:5" ht="15">
      <c r="A5552" s="120" t="s">
        <v>577</v>
      </c>
      <c r="B5552" s="121">
        <v>24</v>
      </c>
      <c r="C5552" s="121">
        <v>27</v>
      </c>
      <c r="D5552" s="121">
        <v>4</v>
      </c>
      <c r="E5552" s="121">
        <v>16463</v>
      </c>
    </row>
    <row r="5553" spans="1:5" ht="15">
      <c r="A5553" s="120" t="s">
        <v>577</v>
      </c>
      <c r="B5553" s="121">
        <v>24</v>
      </c>
      <c r="C5553" s="121">
        <v>27</v>
      </c>
      <c r="D5553" s="121">
        <v>5</v>
      </c>
      <c r="E5553" s="121">
        <v>75000</v>
      </c>
    </row>
    <row r="5554" spans="1:5" ht="15">
      <c r="A5554" s="120" t="s">
        <v>307</v>
      </c>
      <c r="B5554" s="121">
        <v>21</v>
      </c>
      <c r="C5554" s="121">
        <v>23</v>
      </c>
      <c r="D5554" s="121">
        <v>3</v>
      </c>
      <c r="E5554" s="121">
        <v>4054</v>
      </c>
    </row>
    <row r="5555" spans="1:5" ht="15">
      <c r="A5555" s="120" t="s">
        <v>307</v>
      </c>
      <c r="B5555" s="121">
        <v>21</v>
      </c>
      <c r="C5555" s="121">
        <v>23</v>
      </c>
      <c r="D5555" s="121">
        <v>4</v>
      </c>
      <c r="E5555" s="121">
        <v>2932</v>
      </c>
    </row>
    <row r="5556" spans="1:5" ht="15">
      <c r="A5556" s="120" t="s">
        <v>307</v>
      </c>
      <c r="B5556" s="121">
        <v>21</v>
      </c>
      <c r="C5556" s="121">
        <v>27</v>
      </c>
      <c r="D5556" s="121">
        <v>2</v>
      </c>
      <c r="E5556" s="121">
        <v>29559</v>
      </c>
    </row>
    <row r="5557" spans="1:5" ht="15">
      <c r="A5557" s="120" t="s">
        <v>307</v>
      </c>
      <c r="B5557" s="121">
        <v>21</v>
      </c>
      <c r="C5557" s="121">
        <v>27</v>
      </c>
      <c r="D5557" s="121">
        <v>3</v>
      </c>
      <c r="E5557" s="121">
        <v>246543</v>
      </c>
    </row>
    <row r="5558" spans="1:5" ht="15">
      <c r="A5558" s="120" t="s">
        <v>307</v>
      </c>
      <c r="B5558" s="121">
        <v>21</v>
      </c>
      <c r="C5558" s="121">
        <v>27</v>
      </c>
      <c r="D5558" s="121">
        <v>4</v>
      </c>
      <c r="E5558" s="121">
        <v>161595</v>
      </c>
    </row>
    <row r="5559" spans="1:5" ht="15">
      <c r="A5559" s="120" t="s">
        <v>307</v>
      </c>
      <c r="B5559" s="121">
        <v>21</v>
      </c>
      <c r="C5559" s="121">
        <v>27</v>
      </c>
      <c r="D5559" s="121">
        <v>7</v>
      </c>
      <c r="E5559" s="121">
        <v>1332373</v>
      </c>
    </row>
    <row r="5560" spans="1:5" ht="15">
      <c r="A5560" s="120" t="s">
        <v>559</v>
      </c>
      <c r="B5560" s="121">
        <v>21</v>
      </c>
      <c r="C5560" s="121">
        <v>23</v>
      </c>
      <c r="D5560" s="121">
        <v>2</v>
      </c>
      <c r="E5560" s="121">
        <v>53252</v>
      </c>
    </row>
    <row r="5561" spans="1:5" ht="15">
      <c r="A5561" s="120" t="s">
        <v>559</v>
      </c>
      <c r="B5561" s="121">
        <v>21</v>
      </c>
      <c r="C5561" s="121">
        <v>23</v>
      </c>
      <c r="D5561" s="121">
        <v>4</v>
      </c>
      <c r="E5561" s="121">
        <v>9691</v>
      </c>
    </row>
    <row r="5562" spans="1:5" ht="15">
      <c r="A5562" s="120" t="s">
        <v>635</v>
      </c>
      <c r="B5562" s="121">
        <v>21</v>
      </c>
      <c r="C5562" s="121">
        <v>29</v>
      </c>
      <c r="D5562" s="121">
        <v>7</v>
      </c>
      <c r="E5562" s="121">
        <v>261388</v>
      </c>
    </row>
    <row r="5563" spans="1:5" ht="15">
      <c r="A5563" s="120" t="s">
        <v>559</v>
      </c>
      <c r="B5563" s="121">
        <v>21</v>
      </c>
      <c r="C5563" s="121">
        <v>26</v>
      </c>
      <c r="D5563" s="121">
        <v>4</v>
      </c>
      <c r="E5563" s="121">
        <v>24290</v>
      </c>
    </row>
    <row r="5564" spans="1:5" ht="15">
      <c r="A5564" s="120" t="s">
        <v>559</v>
      </c>
      <c r="B5564" s="121">
        <v>21</v>
      </c>
      <c r="C5564" s="121">
        <v>26</v>
      </c>
      <c r="D5564" s="121">
        <v>5</v>
      </c>
      <c r="E5564" s="121">
        <v>500</v>
      </c>
    </row>
    <row r="5565" spans="1:5" ht="15">
      <c r="A5565" s="120" t="s">
        <v>559</v>
      </c>
      <c r="B5565" s="121">
        <v>21</v>
      </c>
      <c r="C5565" s="121">
        <v>26</v>
      </c>
      <c r="D5565" s="121">
        <v>7</v>
      </c>
      <c r="E5565" s="121">
        <v>80000</v>
      </c>
    </row>
    <row r="5566" spans="1:5" ht="15">
      <c r="A5566" s="120" t="s">
        <v>559</v>
      </c>
      <c r="B5566" s="121">
        <v>21</v>
      </c>
      <c r="C5566" s="121">
        <v>27</v>
      </c>
      <c r="D5566" s="121">
        <v>2</v>
      </c>
      <c r="E5566" s="121">
        <v>112456</v>
      </c>
    </row>
    <row r="5567" spans="1:5" ht="15">
      <c r="A5567" s="120" t="s">
        <v>559</v>
      </c>
      <c r="B5567" s="121">
        <v>21</v>
      </c>
      <c r="C5567" s="121">
        <v>27</v>
      </c>
      <c r="D5567" s="121">
        <v>3</v>
      </c>
      <c r="E5567" s="121">
        <v>39307</v>
      </c>
    </row>
    <row r="5568" spans="1:5" ht="15">
      <c r="A5568" s="120" t="s">
        <v>559</v>
      </c>
      <c r="B5568" s="121">
        <v>21</v>
      </c>
      <c r="C5568" s="121">
        <v>27</v>
      </c>
      <c r="D5568" s="121">
        <v>4</v>
      </c>
      <c r="E5568" s="121">
        <v>49442</v>
      </c>
    </row>
    <row r="5569" spans="1:5" ht="15">
      <c r="A5569" s="120" t="s">
        <v>559</v>
      </c>
      <c r="B5569" s="121">
        <v>21</v>
      </c>
      <c r="C5569" s="121">
        <v>27</v>
      </c>
      <c r="D5569" s="121">
        <v>5</v>
      </c>
      <c r="E5569" s="121">
        <v>3950</v>
      </c>
    </row>
    <row r="5570" spans="1:5" ht="15">
      <c r="A5570" s="120" t="s">
        <v>559</v>
      </c>
      <c r="B5570" s="121">
        <v>21</v>
      </c>
      <c r="C5570" s="121">
        <v>27</v>
      </c>
      <c r="D5570" s="121">
        <v>7</v>
      </c>
      <c r="E5570" s="121">
        <v>31300</v>
      </c>
    </row>
    <row r="5571" spans="1:5" ht="15">
      <c r="A5571" s="120" t="s">
        <v>559</v>
      </c>
      <c r="B5571" s="121">
        <v>21</v>
      </c>
      <c r="C5571" s="121">
        <v>27</v>
      </c>
      <c r="D5571" s="121">
        <v>8</v>
      </c>
      <c r="E5571" s="121">
        <v>4500</v>
      </c>
    </row>
    <row r="5572" spans="1:5" ht="15">
      <c r="A5572" s="120" t="s">
        <v>559</v>
      </c>
      <c r="B5572" s="121">
        <v>21</v>
      </c>
      <c r="C5572" s="121">
        <v>27</v>
      </c>
      <c r="D5572" s="121">
        <v>9</v>
      </c>
      <c r="E5572" s="121">
        <v>5000</v>
      </c>
    </row>
    <row r="5573" spans="1:5" ht="15">
      <c r="A5573" s="120" t="s">
        <v>643</v>
      </c>
      <c r="B5573" s="121">
        <v>21</v>
      </c>
      <c r="C5573" s="121">
        <v>21</v>
      </c>
      <c r="D5573" s="121">
        <v>2</v>
      </c>
      <c r="E5573" s="121">
        <v>65104</v>
      </c>
    </row>
    <row r="5574" spans="1:5" ht="15">
      <c r="A5574" s="120" t="s">
        <v>643</v>
      </c>
      <c r="B5574" s="121">
        <v>21</v>
      </c>
      <c r="C5574" s="121">
        <v>21</v>
      </c>
      <c r="D5574" s="121">
        <v>4</v>
      </c>
      <c r="E5574" s="121">
        <v>14125</v>
      </c>
    </row>
    <row r="5575" spans="1:5" ht="15">
      <c r="A5575" s="120" t="s">
        <v>643</v>
      </c>
      <c r="B5575" s="121">
        <v>21</v>
      </c>
      <c r="C5575" s="121">
        <v>21</v>
      </c>
      <c r="D5575" s="121">
        <v>7</v>
      </c>
      <c r="E5575" s="121">
        <v>5000</v>
      </c>
    </row>
    <row r="5576" spans="1:5" ht="15">
      <c r="A5576" s="120" t="s">
        <v>643</v>
      </c>
      <c r="B5576" s="121">
        <v>21</v>
      </c>
      <c r="C5576" s="121">
        <v>26</v>
      </c>
      <c r="D5576" s="121">
        <v>5</v>
      </c>
      <c r="E5576" s="121">
        <v>20000</v>
      </c>
    </row>
    <row r="5577" spans="1:5" ht="15">
      <c r="A5577" s="120" t="s">
        <v>643</v>
      </c>
      <c r="B5577" s="121">
        <v>21</v>
      </c>
      <c r="C5577" s="121">
        <v>27</v>
      </c>
      <c r="D5577" s="121">
        <v>2</v>
      </c>
      <c r="E5577" s="121">
        <v>552684</v>
      </c>
    </row>
    <row r="5578" spans="1:5" ht="15">
      <c r="A5578" s="120" t="s">
        <v>643</v>
      </c>
      <c r="B5578" s="121">
        <v>21</v>
      </c>
      <c r="C5578" s="121">
        <v>27</v>
      </c>
      <c r="D5578" s="121">
        <v>3</v>
      </c>
      <c r="E5578" s="121">
        <v>318482</v>
      </c>
    </row>
    <row r="5579" spans="1:5" ht="15">
      <c r="A5579" s="120" t="s">
        <v>643</v>
      </c>
      <c r="B5579" s="121">
        <v>21</v>
      </c>
      <c r="C5579" s="121">
        <v>27</v>
      </c>
      <c r="D5579" s="121">
        <v>4</v>
      </c>
      <c r="E5579" s="121">
        <v>338537</v>
      </c>
    </row>
    <row r="5580" spans="1:5" ht="15">
      <c r="A5580" s="120" t="s">
        <v>643</v>
      </c>
      <c r="B5580" s="121">
        <v>21</v>
      </c>
      <c r="C5580" s="121">
        <v>27</v>
      </c>
      <c r="D5580" s="121">
        <v>5</v>
      </c>
      <c r="E5580" s="121">
        <v>490000</v>
      </c>
    </row>
    <row r="5581" spans="1:5" ht="15">
      <c r="A5581" s="120" t="s">
        <v>643</v>
      </c>
      <c r="B5581" s="121">
        <v>21</v>
      </c>
      <c r="C5581" s="121">
        <v>27</v>
      </c>
      <c r="D5581" s="121">
        <v>7</v>
      </c>
      <c r="E5581" s="121">
        <v>115000</v>
      </c>
    </row>
    <row r="5582" spans="1:5" ht="15">
      <c r="A5582" s="120" t="s">
        <v>643</v>
      </c>
      <c r="B5582" s="121">
        <v>21</v>
      </c>
      <c r="C5582" s="121">
        <v>27</v>
      </c>
      <c r="D5582" s="121">
        <v>8</v>
      </c>
      <c r="E5582" s="121">
        <v>2000</v>
      </c>
    </row>
    <row r="5583" spans="1:5" ht="15">
      <c r="A5583" s="120" t="s">
        <v>643</v>
      </c>
      <c r="B5583" s="121">
        <v>21</v>
      </c>
      <c r="C5583" s="121">
        <v>31</v>
      </c>
      <c r="D5583" s="121">
        <v>7</v>
      </c>
      <c r="E5583" s="121">
        <v>5000</v>
      </c>
    </row>
    <row r="5584" spans="1:5" ht="15">
      <c r="A5584" s="120" t="s">
        <v>559</v>
      </c>
      <c r="B5584" s="121">
        <v>24</v>
      </c>
      <c r="C5584" s="121">
        <v>27</v>
      </c>
      <c r="D5584" s="121">
        <v>3</v>
      </c>
      <c r="E5584" s="121">
        <v>4597</v>
      </c>
    </row>
    <row r="5585" spans="1:5" ht="15">
      <c r="A5585" s="120" t="s">
        <v>559</v>
      </c>
      <c r="B5585" s="121">
        <v>24</v>
      </c>
      <c r="C5585" s="121">
        <v>27</v>
      </c>
      <c r="D5585" s="121">
        <v>4</v>
      </c>
      <c r="E5585" s="121">
        <v>4076</v>
      </c>
    </row>
    <row r="5586" spans="1:5" ht="15">
      <c r="A5586" s="120" t="s">
        <v>643</v>
      </c>
      <c r="B5586" s="121">
        <v>24</v>
      </c>
      <c r="C5586" s="121">
        <v>27</v>
      </c>
      <c r="D5586" s="121">
        <v>2</v>
      </c>
      <c r="E5586" s="121">
        <v>57177</v>
      </c>
    </row>
    <row r="5587" spans="1:5" ht="15">
      <c r="A5587" s="120" t="s">
        <v>643</v>
      </c>
      <c r="B5587" s="121">
        <v>24</v>
      </c>
      <c r="C5587" s="121">
        <v>27</v>
      </c>
      <c r="D5587" s="121">
        <v>3</v>
      </c>
      <c r="E5587" s="121">
        <v>90914</v>
      </c>
    </row>
    <row r="5588" spans="1:5" ht="15">
      <c r="A5588" s="120" t="s">
        <v>643</v>
      </c>
      <c r="B5588" s="121">
        <v>24</v>
      </c>
      <c r="C5588" s="121">
        <v>27</v>
      </c>
      <c r="D5588" s="121">
        <v>4</v>
      </c>
      <c r="E5588" s="121">
        <v>91290</v>
      </c>
    </row>
    <row r="5589" spans="1:5" ht="15">
      <c r="A5589" s="120" t="s">
        <v>579</v>
      </c>
      <c r="B5589" s="121">
        <v>21</v>
      </c>
      <c r="C5589" s="121">
        <v>21</v>
      </c>
      <c r="D5589" s="121">
        <v>0</v>
      </c>
      <c r="E5589" s="121">
        <v>200</v>
      </c>
    </row>
    <row r="5590" spans="1:5" ht="15">
      <c r="A5590" s="120" t="s">
        <v>579</v>
      </c>
      <c r="B5590" s="121">
        <v>21</v>
      </c>
      <c r="C5590" s="121">
        <v>21</v>
      </c>
      <c r="D5590" s="121">
        <v>2</v>
      </c>
      <c r="E5590" s="121">
        <v>491408</v>
      </c>
    </row>
    <row r="5591" spans="1:5" ht="15">
      <c r="A5591" s="120" t="s">
        <v>579</v>
      </c>
      <c r="B5591" s="121">
        <v>21</v>
      </c>
      <c r="C5591" s="121">
        <v>21</v>
      </c>
      <c r="D5591" s="121">
        <v>3</v>
      </c>
      <c r="E5591" s="121">
        <v>185566</v>
      </c>
    </row>
    <row r="5592" spans="1:5" ht="15">
      <c r="A5592" s="120" t="s">
        <v>579</v>
      </c>
      <c r="B5592" s="121">
        <v>21</v>
      </c>
      <c r="C5592" s="121">
        <v>21</v>
      </c>
      <c r="D5592" s="121">
        <v>4</v>
      </c>
      <c r="E5592" s="121">
        <v>193553</v>
      </c>
    </row>
    <row r="5593" spans="1:5" ht="15">
      <c r="A5593" s="120" t="s">
        <v>579</v>
      </c>
      <c r="B5593" s="121">
        <v>21</v>
      </c>
      <c r="C5593" s="121">
        <v>21</v>
      </c>
      <c r="D5593" s="121">
        <v>5</v>
      </c>
      <c r="E5593" s="121">
        <v>6300</v>
      </c>
    </row>
    <row r="5594" spans="1:5" ht="15">
      <c r="A5594" s="120" t="s">
        <v>579</v>
      </c>
      <c r="B5594" s="121">
        <v>21</v>
      </c>
      <c r="C5594" s="121">
        <v>21</v>
      </c>
      <c r="D5594" s="121">
        <v>7</v>
      </c>
      <c r="E5594" s="121">
        <v>39200</v>
      </c>
    </row>
    <row r="5595" spans="1:5" ht="15">
      <c r="A5595" s="120" t="s">
        <v>579</v>
      </c>
      <c r="B5595" s="121">
        <v>21</v>
      </c>
      <c r="C5595" s="121">
        <v>21</v>
      </c>
      <c r="D5595" s="121">
        <v>8</v>
      </c>
      <c r="E5595" s="121">
        <v>2200</v>
      </c>
    </row>
    <row r="5596" spans="1:5" ht="15">
      <c r="A5596" s="120" t="s">
        <v>579</v>
      </c>
      <c r="B5596" s="121">
        <v>21</v>
      </c>
      <c r="C5596" s="121">
        <v>24</v>
      </c>
      <c r="D5596" s="121">
        <v>5</v>
      </c>
      <c r="E5596" s="121">
        <v>9100</v>
      </c>
    </row>
    <row r="5597" spans="1:5" ht="15">
      <c r="A5597" s="120" t="s">
        <v>579</v>
      </c>
      <c r="B5597" s="121">
        <v>21</v>
      </c>
      <c r="C5597" s="121">
        <v>24</v>
      </c>
      <c r="D5597" s="121">
        <v>7</v>
      </c>
      <c r="E5597" s="121">
        <v>3300</v>
      </c>
    </row>
    <row r="5598" spans="1:5" ht="15">
      <c r="A5598" s="120" t="s">
        <v>579</v>
      </c>
      <c r="B5598" s="121">
        <v>21</v>
      </c>
      <c r="C5598" s="121">
        <v>25</v>
      </c>
      <c r="D5598" s="121">
        <v>0</v>
      </c>
      <c r="E5598" s="121">
        <v>4200</v>
      </c>
    </row>
    <row r="5599" spans="1:5" ht="15">
      <c r="A5599" s="120" t="s">
        <v>579</v>
      </c>
      <c r="B5599" s="121">
        <v>21</v>
      </c>
      <c r="C5599" s="121">
        <v>26</v>
      </c>
      <c r="D5599" s="121">
        <v>2</v>
      </c>
      <c r="E5599" s="121">
        <v>1629935</v>
      </c>
    </row>
    <row r="5600" spans="1:5" ht="15">
      <c r="A5600" s="120" t="s">
        <v>579</v>
      </c>
      <c r="B5600" s="121">
        <v>21</v>
      </c>
      <c r="C5600" s="121">
        <v>26</v>
      </c>
      <c r="D5600" s="121">
        <v>3</v>
      </c>
      <c r="E5600" s="121">
        <v>312413</v>
      </c>
    </row>
    <row r="5601" spans="1:5" ht="15">
      <c r="A5601" s="120" t="s">
        <v>579</v>
      </c>
      <c r="B5601" s="121">
        <v>21</v>
      </c>
      <c r="C5601" s="121">
        <v>26</v>
      </c>
      <c r="D5601" s="121">
        <v>4</v>
      </c>
      <c r="E5601" s="121">
        <v>626991</v>
      </c>
    </row>
    <row r="5602" spans="1:5" ht="15">
      <c r="A5602" s="120" t="s">
        <v>579</v>
      </c>
      <c r="B5602" s="121">
        <v>21</v>
      </c>
      <c r="C5602" s="121">
        <v>26</v>
      </c>
      <c r="D5602" s="121">
        <v>5</v>
      </c>
      <c r="E5602" s="121">
        <v>12600</v>
      </c>
    </row>
    <row r="5603" spans="1:5" ht="15">
      <c r="A5603" s="120" t="s">
        <v>579</v>
      </c>
      <c r="B5603" s="121">
        <v>21</v>
      </c>
      <c r="C5603" s="121">
        <v>26</v>
      </c>
      <c r="D5603" s="121">
        <v>7</v>
      </c>
      <c r="E5603" s="121">
        <v>36800</v>
      </c>
    </row>
    <row r="5604" spans="1:5" ht="15">
      <c r="A5604" s="120" t="s">
        <v>579</v>
      </c>
      <c r="B5604" s="121">
        <v>21</v>
      </c>
      <c r="C5604" s="121">
        <v>26</v>
      </c>
      <c r="D5604" s="121">
        <v>8</v>
      </c>
      <c r="E5604" s="121">
        <v>600</v>
      </c>
    </row>
    <row r="5605" spans="1:5" ht="15">
      <c r="A5605" s="120" t="s">
        <v>579</v>
      </c>
      <c r="B5605" s="121">
        <v>21</v>
      </c>
      <c r="C5605" s="121">
        <v>27</v>
      </c>
      <c r="D5605" s="121">
        <v>0</v>
      </c>
      <c r="E5605" s="121">
        <v>19200</v>
      </c>
    </row>
    <row r="5606" spans="1:5" ht="15">
      <c r="A5606" s="120" t="s">
        <v>579</v>
      </c>
      <c r="B5606" s="121">
        <v>21</v>
      </c>
      <c r="C5606" s="121">
        <v>27</v>
      </c>
      <c r="D5606" s="121">
        <v>2</v>
      </c>
      <c r="E5606" s="121">
        <v>3499711</v>
      </c>
    </row>
    <row r="5607" spans="1:5" ht="15">
      <c r="A5607" s="120" t="s">
        <v>579</v>
      </c>
      <c r="B5607" s="121">
        <v>21</v>
      </c>
      <c r="C5607" s="121">
        <v>27</v>
      </c>
      <c r="D5607" s="121">
        <v>3</v>
      </c>
      <c r="E5607" s="121">
        <v>2794538</v>
      </c>
    </row>
    <row r="5608" spans="1:5" ht="15">
      <c r="A5608" s="120" t="s">
        <v>579</v>
      </c>
      <c r="B5608" s="121">
        <v>21</v>
      </c>
      <c r="C5608" s="121">
        <v>27</v>
      </c>
      <c r="D5608" s="121">
        <v>4</v>
      </c>
      <c r="E5608" s="121">
        <v>2557249</v>
      </c>
    </row>
    <row r="5609" spans="1:5" ht="15">
      <c r="A5609" s="120" t="s">
        <v>579</v>
      </c>
      <c r="B5609" s="121">
        <v>21</v>
      </c>
      <c r="C5609" s="121">
        <v>27</v>
      </c>
      <c r="D5609" s="121">
        <v>5</v>
      </c>
      <c r="E5609" s="121">
        <v>17600</v>
      </c>
    </row>
    <row r="5610" spans="1:5" ht="15">
      <c r="A5610" s="120" t="s">
        <v>579</v>
      </c>
      <c r="B5610" s="121">
        <v>21</v>
      </c>
      <c r="C5610" s="121">
        <v>27</v>
      </c>
      <c r="D5610" s="121">
        <v>7</v>
      </c>
      <c r="E5610" s="121">
        <v>1006200</v>
      </c>
    </row>
    <row r="5611" spans="1:5" ht="15">
      <c r="A5611" s="120" t="s">
        <v>579</v>
      </c>
      <c r="B5611" s="121">
        <v>21</v>
      </c>
      <c r="C5611" s="121">
        <v>27</v>
      </c>
      <c r="D5611" s="121">
        <v>8</v>
      </c>
      <c r="E5611" s="121">
        <v>1700</v>
      </c>
    </row>
    <row r="5612" spans="1:5" ht="15">
      <c r="A5612" s="120" t="s">
        <v>579</v>
      </c>
      <c r="B5612" s="121">
        <v>21</v>
      </c>
      <c r="C5612" s="121">
        <v>29</v>
      </c>
      <c r="D5612" s="121">
        <v>7</v>
      </c>
      <c r="E5612" s="121">
        <v>80000</v>
      </c>
    </row>
    <row r="5613" spans="1:5" ht="15">
      <c r="A5613" s="120" t="s">
        <v>579</v>
      </c>
      <c r="B5613" s="121">
        <v>21</v>
      </c>
      <c r="C5613" s="121">
        <v>31</v>
      </c>
      <c r="D5613" s="121">
        <v>0</v>
      </c>
      <c r="E5613" s="121">
        <v>200</v>
      </c>
    </row>
    <row r="5614" spans="1:5" ht="15">
      <c r="A5614" s="120" t="s">
        <v>579</v>
      </c>
      <c r="B5614" s="121">
        <v>21</v>
      </c>
      <c r="C5614" s="121">
        <v>31</v>
      </c>
      <c r="D5614" s="121">
        <v>2</v>
      </c>
      <c r="E5614" s="121">
        <v>15525</v>
      </c>
    </row>
    <row r="5615" spans="1:5" ht="15">
      <c r="A5615" s="120" t="s">
        <v>579</v>
      </c>
      <c r="B5615" s="121">
        <v>21</v>
      </c>
      <c r="C5615" s="121">
        <v>31</v>
      </c>
      <c r="D5615" s="121">
        <v>3</v>
      </c>
      <c r="E5615" s="121">
        <v>9400</v>
      </c>
    </row>
    <row r="5616" spans="1:5" ht="15">
      <c r="A5616" s="120" t="s">
        <v>579</v>
      </c>
      <c r="B5616" s="121">
        <v>21</v>
      </c>
      <c r="C5616" s="121">
        <v>31</v>
      </c>
      <c r="D5616" s="121">
        <v>4</v>
      </c>
      <c r="E5616" s="121">
        <v>4726</v>
      </c>
    </row>
    <row r="5617" spans="1:5" ht="15">
      <c r="A5617" s="120" t="s">
        <v>579</v>
      </c>
      <c r="B5617" s="121">
        <v>21</v>
      </c>
      <c r="C5617" s="121">
        <v>31</v>
      </c>
      <c r="D5617" s="121">
        <v>5</v>
      </c>
      <c r="E5617" s="121">
        <v>100</v>
      </c>
    </row>
    <row r="5618" spans="1:5" ht="15">
      <c r="A5618" s="120" t="s">
        <v>579</v>
      </c>
      <c r="B5618" s="121">
        <v>21</v>
      </c>
      <c r="C5618" s="121">
        <v>31</v>
      </c>
      <c r="D5618" s="121">
        <v>7</v>
      </c>
      <c r="E5618" s="121">
        <v>9100</v>
      </c>
    </row>
    <row r="5619" spans="1:5" ht="15">
      <c r="A5619" s="120" t="s">
        <v>579</v>
      </c>
      <c r="B5619" s="121">
        <v>21</v>
      </c>
      <c r="C5619" s="121">
        <v>31</v>
      </c>
      <c r="D5619" s="121">
        <v>8</v>
      </c>
      <c r="E5619" s="121">
        <v>500</v>
      </c>
    </row>
    <row r="5620" spans="1:5" ht="15">
      <c r="A5620" s="120" t="s">
        <v>579</v>
      </c>
      <c r="B5620" s="121">
        <v>21</v>
      </c>
      <c r="C5620" s="121">
        <v>32</v>
      </c>
      <c r="D5620" s="121">
        <v>5</v>
      </c>
      <c r="E5620" s="121">
        <v>3200</v>
      </c>
    </row>
    <row r="5621" spans="1:5" ht="15">
      <c r="A5621" s="120" t="s">
        <v>579</v>
      </c>
      <c r="B5621" s="121">
        <v>21</v>
      </c>
      <c r="C5621" s="121">
        <v>32</v>
      </c>
      <c r="D5621" s="121">
        <v>7</v>
      </c>
      <c r="E5621" s="121">
        <v>2200</v>
      </c>
    </row>
    <row r="5622" spans="1:5" ht="15">
      <c r="A5622" s="120" t="s">
        <v>579</v>
      </c>
      <c r="B5622" s="121">
        <v>21</v>
      </c>
      <c r="C5622" s="121">
        <v>33</v>
      </c>
      <c r="D5622" s="121">
        <v>5</v>
      </c>
      <c r="E5622" s="121">
        <v>21200</v>
      </c>
    </row>
    <row r="5623" spans="1:5" ht="15">
      <c r="A5623" s="120" t="s">
        <v>579</v>
      </c>
      <c r="B5623" s="121">
        <v>21</v>
      </c>
      <c r="C5623" s="121">
        <v>34</v>
      </c>
      <c r="D5623" s="121">
        <v>2</v>
      </c>
      <c r="E5623" s="121">
        <v>34080</v>
      </c>
    </row>
    <row r="5624" spans="1:5" ht="15">
      <c r="A5624" s="120" t="s">
        <v>579</v>
      </c>
      <c r="B5624" s="121">
        <v>21</v>
      </c>
      <c r="C5624" s="121">
        <v>34</v>
      </c>
      <c r="D5624" s="121">
        <v>4</v>
      </c>
      <c r="E5624" s="121">
        <v>10333</v>
      </c>
    </row>
    <row r="5625" spans="1:5" ht="15">
      <c r="A5625" s="120" t="s">
        <v>579</v>
      </c>
      <c r="B5625" s="121">
        <v>24</v>
      </c>
      <c r="C5625" s="121">
        <v>21</v>
      </c>
      <c r="D5625" s="121">
        <v>7</v>
      </c>
      <c r="E5625" s="121">
        <v>16300</v>
      </c>
    </row>
    <row r="5626" spans="1:5" ht="15">
      <c r="A5626" s="120" t="s">
        <v>579</v>
      </c>
      <c r="B5626" s="121">
        <v>24</v>
      </c>
      <c r="C5626" s="121">
        <v>26</v>
      </c>
      <c r="D5626" s="121">
        <v>2</v>
      </c>
      <c r="E5626" s="121">
        <v>601158</v>
      </c>
    </row>
    <row r="5627" spans="1:5" ht="15">
      <c r="A5627" s="120" t="s">
        <v>579</v>
      </c>
      <c r="B5627" s="121">
        <v>24</v>
      </c>
      <c r="C5627" s="121">
        <v>26</v>
      </c>
      <c r="D5627" s="121">
        <v>4</v>
      </c>
      <c r="E5627" s="121">
        <v>165346</v>
      </c>
    </row>
    <row r="5628" spans="1:5" ht="15">
      <c r="A5628" s="120" t="s">
        <v>579</v>
      </c>
      <c r="B5628" s="121">
        <v>24</v>
      </c>
      <c r="C5628" s="121">
        <v>26</v>
      </c>
      <c r="D5628" s="121">
        <v>7</v>
      </c>
      <c r="E5628" s="121">
        <v>100000</v>
      </c>
    </row>
    <row r="5629" spans="1:5" ht="15">
      <c r="A5629" s="120" t="s">
        <v>579</v>
      </c>
      <c r="B5629" s="121">
        <v>24</v>
      </c>
      <c r="C5629" s="121">
        <v>27</v>
      </c>
      <c r="D5629" s="121">
        <v>3</v>
      </c>
      <c r="E5629" s="121">
        <v>101215</v>
      </c>
    </row>
    <row r="5630" spans="1:5" ht="15">
      <c r="A5630" s="120" t="s">
        <v>579</v>
      </c>
      <c r="B5630" s="121">
        <v>24</v>
      </c>
      <c r="C5630" s="121">
        <v>27</v>
      </c>
      <c r="D5630" s="121">
        <v>4</v>
      </c>
      <c r="E5630" s="121">
        <v>55258</v>
      </c>
    </row>
    <row r="5631" spans="1:5" ht="15">
      <c r="A5631" s="120" t="s">
        <v>579</v>
      </c>
      <c r="B5631" s="121">
        <v>24</v>
      </c>
      <c r="C5631" s="121">
        <v>27</v>
      </c>
      <c r="D5631" s="121">
        <v>7</v>
      </c>
      <c r="E5631" s="121">
        <v>297312</v>
      </c>
    </row>
    <row r="5632" spans="1:5" ht="15">
      <c r="A5632" s="120" t="s">
        <v>579</v>
      </c>
      <c r="B5632" s="121">
        <v>24</v>
      </c>
      <c r="C5632" s="121">
        <v>29</v>
      </c>
      <c r="D5632" s="121">
        <v>7</v>
      </c>
      <c r="E5632" s="121">
        <v>12300</v>
      </c>
    </row>
    <row r="5633" spans="1:5" ht="15">
      <c r="A5633" s="120" t="s">
        <v>579</v>
      </c>
      <c r="B5633" s="121">
        <v>24</v>
      </c>
      <c r="C5633" s="121">
        <v>31</v>
      </c>
      <c r="D5633" s="121">
        <v>2</v>
      </c>
      <c r="E5633" s="121">
        <v>788</v>
      </c>
    </row>
    <row r="5634" spans="1:5" ht="15">
      <c r="A5634" s="120" t="s">
        <v>579</v>
      </c>
      <c r="B5634" s="121">
        <v>24</v>
      </c>
      <c r="C5634" s="121">
        <v>31</v>
      </c>
      <c r="D5634" s="121">
        <v>4</v>
      </c>
      <c r="E5634" s="121">
        <v>1274</v>
      </c>
    </row>
    <row r="5635" spans="1:5" ht="15">
      <c r="A5635" s="120" t="s">
        <v>579</v>
      </c>
      <c r="B5635" s="121">
        <v>29</v>
      </c>
      <c r="C5635" s="121">
        <v>26</v>
      </c>
      <c r="D5635" s="121">
        <v>7</v>
      </c>
      <c r="E5635" s="121">
        <v>13160</v>
      </c>
    </row>
    <row r="5636" spans="1:5" ht="15">
      <c r="A5636" s="120" t="s">
        <v>579</v>
      </c>
      <c r="B5636" s="121">
        <v>29</v>
      </c>
      <c r="C5636" s="121">
        <v>27</v>
      </c>
      <c r="D5636" s="121">
        <v>7</v>
      </c>
      <c r="E5636" s="121">
        <v>1500</v>
      </c>
    </row>
    <row r="5637" spans="1:5" ht="15">
      <c r="A5637" s="120" t="s">
        <v>561</v>
      </c>
      <c r="B5637" s="121">
        <v>21</v>
      </c>
      <c r="C5637" s="121">
        <v>21</v>
      </c>
      <c r="D5637" s="121">
        <v>2</v>
      </c>
      <c r="E5637" s="121">
        <v>14248</v>
      </c>
    </row>
    <row r="5638" spans="1:5" ht="15">
      <c r="A5638" s="120" t="s">
        <v>561</v>
      </c>
      <c r="B5638" s="121">
        <v>21</v>
      </c>
      <c r="C5638" s="121">
        <v>21</v>
      </c>
      <c r="D5638" s="121">
        <v>4</v>
      </c>
      <c r="E5638" s="121">
        <v>3869</v>
      </c>
    </row>
    <row r="5639" spans="1:5" ht="15">
      <c r="A5639" s="120" t="s">
        <v>561</v>
      </c>
      <c r="B5639" s="121">
        <v>21</v>
      </c>
      <c r="C5639" s="121">
        <v>23</v>
      </c>
      <c r="D5639" s="121">
        <v>2</v>
      </c>
      <c r="E5639" s="121">
        <v>11964</v>
      </c>
    </row>
    <row r="5640" spans="1:5" ht="15">
      <c r="A5640" s="120" t="s">
        <v>561</v>
      </c>
      <c r="B5640" s="121">
        <v>21</v>
      </c>
      <c r="C5640" s="121">
        <v>23</v>
      </c>
      <c r="D5640" s="121">
        <v>4</v>
      </c>
      <c r="E5640" s="121">
        <v>3579</v>
      </c>
    </row>
    <row r="5641" spans="1:5" ht="15">
      <c r="A5641" s="120" t="s">
        <v>561</v>
      </c>
      <c r="B5641" s="121">
        <v>21</v>
      </c>
      <c r="C5641" s="121">
        <v>25</v>
      </c>
      <c r="D5641" s="121">
        <v>3</v>
      </c>
      <c r="E5641" s="121">
        <v>39752</v>
      </c>
    </row>
    <row r="5642" spans="1:5" ht="15">
      <c r="A5642" s="120" t="s">
        <v>561</v>
      </c>
      <c r="B5642" s="121">
        <v>21</v>
      </c>
      <c r="C5642" s="121">
        <v>25</v>
      </c>
      <c r="D5642" s="121">
        <v>4</v>
      </c>
      <c r="E5642" s="121">
        <v>18939</v>
      </c>
    </row>
    <row r="5643" spans="1:5" ht="15">
      <c r="A5643" s="120" t="s">
        <v>561</v>
      </c>
      <c r="B5643" s="121">
        <v>21</v>
      </c>
      <c r="C5643" s="121">
        <v>26</v>
      </c>
      <c r="D5643" s="121">
        <v>7</v>
      </c>
      <c r="E5643" s="121">
        <v>600000</v>
      </c>
    </row>
    <row r="5644" spans="1:5" ht="15">
      <c r="A5644" s="120" t="s">
        <v>561</v>
      </c>
      <c r="B5644" s="121">
        <v>21</v>
      </c>
      <c r="C5644" s="121">
        <v>27</v>
      </c>
      <c r="D5644" s="121">
        <v>2</v>
      </c>
      <c r="E5644" s="121">
        <v>565659</v>
      </c>
    </row>
    <row r="5645" spans="1:5" ht="15">
      <c r="A5645" s="120" t="s">
        <v>561</v>
      </c>
      <c r="B5645" s="121">
        <v>21</v>
      </c>
      <c r="C5645" s="121">
        <v>27</v>
      </c>
      <c r="D5645" s="121">
        <v>3</v>
      </c>
      <c r="E5645" s="121">
        <v>502088</v>
      </c>
    </row>
    <row r="5646" spans="1:5" ht="15">
      <c r="A5646" s="120" t="s">
        <v>561</v>
      </c>
      <c r="B5646" s="121">
        <v>21</v>
      </c>
      <c r="C5646" s="121">
        <v>27</v>
      </c>
      <c r="D5646" s="121">
        <v>4</v>
      </c>
      <c r="E5646" s="121">
        <v>496445</v>
      </c>
    </row>
    <row r="5647" spans="1:5" ht="15">
      <c r="A5647" s="120" t="s">
        <v>561</v>
      </c>
      <c r="B5647" s="121">
        <v>21</v>
      </c>
      <c r="C5647" s="121">
        <v>27</v>
      </c>
      <c r="D5647" s="121">
        <v>5</v>
      </c>
      <c r="E5647" s="121">
        <v>7750</v>
      </c>
    </row>
    <row r="5648" spans="1:5" ht="15">
      <c r="A5648" s="120" t="s">
        <v>561</v>
      </c>
      <c r="B5648" s="121">
        <v>21</v>
      </c>
      <c r="C5648" s="121">
        <v>27</v>
      </c>
      <c r="D5648" s="121">
        <v>7</v>
      </c>
      <c r="E5648" s="121">
        <v>213700</v>
      </c>
    </row>
    <row r="5649" spans="1:5" ht="15">
      <c r="A5649" s="120" t="s">
        <v>561</v>
      </c>
      <c r="B5649" s="121">
        <v>21</v>
      </c>
      <c r="C5649" s="121">
        <v>33</v>
      </c>
      <c r="D5649" s="121">
        <v>5</v>
      </c>
      <c r="E5649" s="121">
        <v>1500</v>
      </c>
    </row>
    <row r="5650" spans="1:5" ht="15">
      <c r="A5650" s="120" t="s">
        <v>309</v>
      </c>
      <c r="B5650" s="121">
        <v>21</v>
      </c>
      <c r="C5650" s="121">
        <v>27</v>
      </c>
      <c r="D5650" s="121">
        <v>7</v>
      </c>
      <c r="E5650" s="121">
        <v>81851</v>
      </c>
    </row>
    <row r="5651" spans="1:5" ht="15">
      <c r="A5651" s="120" t="s">
        <v>561</v>
      </c>
      <c r="B5651" s="121">
        <v>24</v>
      </c>
      <c r="C5651" s="121">
        <v>26</v>
      </c>
      <c r="D5651" s="121">
        <v>7</v>
      </c>
      <c r="E5651" s="121">
        <v>192600</v>
      </c>
    </row>
    <row r="5652" spans="1:5" ht="15">
      <c r="A5652" s="120" t="s">
        <v>581</v>
      </c>
      <c r="B5652" s="121">
        <v>21</v>
      </c>
      <c r="C5652" s="121">
        <v>21</v>
      </c>
      <c r="D5652" s="121">
        <v>2</v>
      </c>
      <c r="E5652" s="121">
        <v>120012</v>
      </c>
    </row>
    <row r="5653" spans="1:5" ht="15">
      <c r="A5653" s="120" t="s">
        <v>581</v>
      </c>
      <c r="B5653" s="121">
        <v>21</v>
      </c>
      <c r="C5653" s="121">
        <v>21</v>
      </c>
      <c r="D5653" s="121">
        <v>3</v>
      </c>
      <c r="E5653" s="121">
        <v>11670</v>
      </c>
    </row>
    <row r="5654" spans="1:5" ht="15">
      <c r="A5654" s="120" t="s">
        <v>581</v>
      </c>
      <c r="B5654" s="121">
        <v>21</v>
      </c>
      <c r="C5654" s="121">
        <v>21</v>
      </c>
      <c r="D5654" s="121">
        <v>4</v>
      </c>
      <c r="E5654" s="121">
        <v>38358</v>
      </c>
    </row>
    <row r="5655" spans="1:5" ht="15">
      <c r="A5655" s="120" t="s">
        <v>581</v>
      </c>
      <c r="B5655" s="121">
        <v>21</v>
      </c>
      <c r="C5655" s="121">
        <v>21</v>
      </c>
      <c r="D5655" s="121">
        <v>5</v>
      </c>
      <c r="E5655" s="121">
        <v>50</v>
      </c>
    </row>
    <row r="5656" spans="1:5" ht="15">
      <c r="A5656" s="120" t="s">
        <v>581</v>
      </c>
      <c r="B5656" s="121">
        <v>21</v>
      </c>
      <c r="C5656" s="121">
        <v>21</v>
      </c>
      <c r="D5656" s="121">
        <v>7</v>
      </c>
      <c r="E5656" s="121">
        <v>1516</v>
      </c>
    </row>
    <row r="5657" spans="1:5" ht="15">
      <c r="A5657" s="120" t="s">
        <v>581</v>
      </c>
      <c r="B5657" s="121">
        <v>21</v>
      </c>
      <c r="C5657" s="121">
        <v>23</v>
      </c>
      <c r="D5657" s="121">
        <v>3</v>
      </c>
      <c r="E5657" s="121">
        <v>50064</v>
      </c>
    </row>
    <row r="5658" spans="1:5" ht="15">
      <c r="A5658" s="120" t="s">
        <v>581</v>
      </c>
      <c r="B5658" s="121">
        <v>21</v>
      </c>
      <c r="C5658" s="121">
        <v>23</v>
      </c>
      <c r="D5658" s="121">
        <v>4</v>
      </c>
      <c r="E5658" s="121">
        <v>23829</v>
      </c>
    </row>
    <row r="5659" spans="1:5" ht="15">
      <c r="A5659" s="120" t="s">
        <v>581</v>
      </c>
      <c r="B5659" s="121">
        <v>21</v>
      </c>
      <c r="C5659" s="121">
        <v>23</v>
      </c>
      <c r="D5659" s="121">
        <v>5</v>
      </c>
      <c r="E5659" s="121">
        <v>1430</v>
      </c>
    </row>
    <row r="5660" spans="1:5" ht="15">
      <c r="A5660" s="120" t="s">
        <v>581</v>
      </c>
      <c r="B5660" s="121">
        <v>21</v>
      </c>
      <c r="C5660" s="121">
        <v>23</v>
      </c>
      <c r="D5660" s="121">
        <v>7</v>
      </c>
      <c r="E5660" s="121">
        <v>500</v>
      </c>
    </row>
    <row r="5661" spans="1:5" ht="15">
      <c r="A5661" s="120" t="s">
        <v>581</v>
      </c>
      <c r="B5661" s="121">
        <v>21</v>
      </c>
      <c r="C5661" s="121">
        <v>23</v>
      </c>
      <c r="D5661" s="121">
        <v>8</v>
      </c>
      <c r="E5661" s="121">
        <v>1616</v>
      </c>
    </row>
    <row r="5662" spans="1:5" ht="15">
      <c r="A5662" s="120" t="s">
        <v>581</v>
      </c>
      <c r="B5662" s="121">
        <v>21</v>
      </c>
      <c r="C5662" s="121">
        <v>26</v>
      </c>
      <c r="D5662" s="121">
        <v>2</v>
      </c>
      <c r="E5662" s="121">
        <v>174482</v>
      </c>
    </row>
    <row r="5663" spans="1:5" ht="15">
      <c r="A5663" s="120" t="s">
        <v>581</v>
      </c>
      <c r="B5663" s="121">
        <v>21</v>
      </c>
      <c r="C5663" s="121">
        <v>26</v>
      </c>
      <c r="D5663" s="121">
        <v>4</v>
      </c>
      <c r="E5663" s="121">
        <v>59952</v>
      </c>
    </row>
    <row r="5664" spans="1:5" ht="15">
      <c r="A5664" s="120" t="s">
        <v>581</v>
      </c>
      <c r="B5664" s="121">
        <v>21</v>
      </c>
      <c r="C5664" s="121">
        <v>26</v>
      </c>
      <c r="D5664" s="121">
        <v>5</v>
      </c>
      <c r="E5664" s="121">
        <v>6293</v>
      </c>
    </row>
    <row r="5665" spans="1:5" ht="15">
      <c r="A5665" s="120" t="s">
        <v>581</v>
      </c>
      <c r="B5665" s="121">
        <v>21</v>
      </c>
      <c r="C5665" s="121">
        <v>26</v>
      </c>
      <c r="D5665" s="121">
        <v>7</v>
      </c>
      <c r="E5665" s="121">
        <v>297600</v>
      </c>
    </row>
    <row r="5666" spans="1:5" ht="15">
      <c r="A5666" s="120" t="s">
        <v>581</v>
      </c>
      <c r="B5666" s="121">
        <v>21</v>
      </c>
      <c r="C5666" s="121">
        <v>26</v>
      </c>
      <c r="D5666" s="121">
        <v>8</v>
      </c>
      <c r="E5666" s="121">
        <v>1200</v>
      </c>
    </row>
    <row r="5667" spans="1:5" ht="15">
      <c r="A5667" s="120" t="s">
        <v>581</v>
      </c>
      <c r="B5667" s="121">
        <v>21</v>
      </c>
      <c r="C5667" s="121">
        <v>27</v>
      </c>
      <c r="D5667" s="121">
        <v>2</v>
      </c>
      <c r="E5667" s="121">
        <v>374984</v>
      </c>
    </row>
    <row r="5668" spans="1:5" ht="15">
      <c r="A5668" s="120" t="s">
        <v>581</v>
      </c>
      <c r="B5668" s="121">
        <v>21</v>
      </c>
      <c r="C5668" s="121">
        <v>27</v>
      </c>
      <c r="D5668" s="121">
        <v>3</v>
      </c>
      <c r="E5668" s="121">
        <v>232133</v>
      </c>
    </row>
    <row r="5669" spans="1:5" ht="15">
      <c r="A5669" s="120" t="s">
        <v>581</v>
      </c>
      <c r="B5669" s="121">
        <v>21</v>
      </c>
      <c r="C5669" s="121">
        <v>27</v>
      </c>
      <c r="D5669" s="121">
        <v>4</v>
      </c>
      <c r="E5669" s="121">
        <v>259057</v>
      </c>
    </row>
    <row r="5670" spans="1:5" ht="15">
      <c r="A5670" s="120" t="s">
        <v>581</v>
      </c>
      <c r="B5670" s="121">
        <v>21</v>
      </c>
      <c r="C5670" s="121">
        <v>27</v>
      </c>
      <c r="D5670" s="121">
        <v>5</v>
      </c>
      <c r="E5670" s="121">
        <v>6150</v>
      </c>
    </row>
    <row r="5671" spans="1:5" ht="15">
      <c r="A5671" s="120" t="s">
        <v>581</v>
      </c>
      <c r="B5671" s="121">
        <v>21</v>
      </c>
      <c r="C5671" s="121">
        <v>31</v>
      </c>
      <c r="D5671" s="121">
        <v>3</v>
      </c>
      <c r="E5671" s="121">
        <v>2309</v>
      </c>
    </row>
    <row r="5672" spans="1:5" ht="15">
      <c r="A5672" s="120" t="s">
        <v>581</v>
      </c>
      <c r="B5672" s="121">
        <v>21</v>
      </c>
      <c r="C5672" s="121">
        <v>31</v>
      </c>
      <c r="D5672" s="121">
        <v>4</v>
      </c>
      <c r="E5672" s="121">
        <v>1047</v>
      </c>
    </row>
    <row r="5673" spans="1:5" ht="15">
      <c r="A5673" s="120" t="s">
        <v>581</v>
      </c>
      <c r="B5673" s="121">
        <v>21</v>
      </c>
      <c r="C5673" s="121">
        <v>31</v>
      </c>
      <c r="D5673" s="121">
        <v>5</v>
      </c>
      <c r="E5673" s="121">
        <v>300</v>
      </c>
    </row>
    <row r="5674" spans="1:5" ht="15">
      <c r="A5674" s="120" t="s">
        <v>581</v>
      </c>
      <c r="B5674" s="121">
        <v>21</v>
      </c>
      <c r="C5674" s="121">
        <v>31</v>
      </c>
      <c r="D5674" s="121">
        <v>7</v>
      </c>
      <c r="E5674" s="121">
        <v>3750</v>
      </c>
    </row>
    <row r="5675" spans="1:5" ht="15">
      <c r="A5675" s="120" t="s">
        <v>581</v>
      </c>
      <c r="B5675" s="121">
        <v>21</v>
      </c>
      <c r="C5675" s="121">
        <v>31</v>
      </c>
      <c r="D5675" s="121">
        <v>8</v>
      </c>
      <c r="E5675" s="121">
        <v>2500</v>
      </c>
    </row>
    <row r="5676" spans="1:5" ht="15">
      <c r="A5676" s="120" t="s">
        <v>581</v>
      </c>
      <c r="B5676" s="121">
        <v>21</v>
      </c>
      <c r="C5676" s="121">
        <v>32</v>
      </c>
      <c r="D5676" s="121">
        <v>5</v>
      </c>
      <c r="E5676" s="121">
        <v>4900</v>
      </c>
    </row>
    <row r="5677" spans="1:5" ht="15">
      <c r="A5677" s="120" t="s">
        <v>581</v>
      </c>
      <c r="B5677" s="121">
        <v>21</v>
      </c>
      <c r="C5677" s="121">
        <v>33</v>
      </c>
      <c r="D5677" s="121">
        <v>5</v>
      </c>
      <c r="E5677" s="121">
        <v>21740</v>
      </c>
    </row>
    <row r="5678" spans="1:5" ht="15">
      <c r="A5678" s="120" t="s">
        <v>581</v>
      </c>
      <c r="B5678" s="121">
        <v>21</v>
      </c>
      <c r="C5678" s="121">
        <v>34</v>
      </c>
      <c r="D5678" s="121">
        <v>2</v>
      </c>
      <c r="E5678" s="121">
        <v>6879</v>
      </c>
    </row>
    <row r="5679" spans="1:5" ht="15">
      <c r="A5679" s="120" t="s">
        <v>581</v>
      </c>
      <c r="B5679" s="121">
        <v>21</v>
      </c>
      <c r="C5679" s="121">
        <v>34</v>
      </c>
      <c r="D5679" s="121">
        <v>4</v>
      </c>
      <c r="E5679" s="121">
        <v>1170</v>
      </c>
    </row>
    <row r="5680" spans="1:5" ht="15">
      <c r="A5680" s="120" t="s">
        <v>581</v>
      </c>
      <c r="B5680" s="121">
        <v>21</v>
      </c>
      <c r="C5680" s="121">
        <v>34</v>
      </c>
      <c r="D5680" s="121">
        <v>5</v>
      </c>
      <c r="E5680" s="121">
        <v>263</v>
      </c>
    </row>
    <row r="5681" spans="1:5" ht="15">
      <c r="A5681" s="120" t="s">
        <v>581</v>
      </c>
      <c r="B5681" s="121">
        <v>21</v>
      </c>
      <c r="C5681" s="121">
        <v>34</v>
      </c>
      <c r="D5681" s="121">
        <v>7</v>
      </c>
      <c r="E5681" s="121">
        <v>1750</v>
      </c>
    </row>
    <row r="5682" spans="1:5" ht="15">
      <c r="A5682" s="120" t="s">
        <v>581</v>
      </c>
      <c r="B5682" s="121">
        <v>21</v>
      </c>
      <c r="C5682" s="121">
        <v>34</v>
      </c>
      <c r="D5682" s="121">
        <v>8</v>
      </c>
      <c r="E5682" s="121">
        <v>1773</v>
      </c>
    </row>
    <row r="5683" spans="1:5" ht="15">
      <c r="A5683" s="120" t="s">
        <v>563</v>
      </c>
      <c r="B5683" s="121">
        <v>21</v>
      </c>
      <c r="C5683" s="121">
        <v>21</v>
      </c>
      <c r="D5683" s="121">
        <v>2</v>
      </c>
      <c r="E5683" s="121">
        <v>87564</v>
      </c>
    </row>
    <row r="5684" spans="1:5" ht="15">
      <c r="A5684" s="120" t="s">
        <v>563</v>
      </c>
      <c r="B5684" s="121">
        <v>21</v>
      </c>
      <c r="C5684" s="121">
        <v>21</v>
      </c>
      <c r="D5684" s="121">
        <v>3</v>
      </c>
      <c r="E5684" s="121">
        <v>44167</v>
      </c>
    </row>
    <row r="5685" spans="1:5" ht="15">
      <c r="A5685" s="120" t="s">
        <v>563</v>
      </c>
      <c r="B5685" s="121">
        <v>21</v>
      </c>
      <c r="C5685" s="121">
        <v>21</v>
      </c>
      <c r="D5685" s="121">
        <v>4</v>
      </c>
      <c r="E5685" s="121">
        <v>39885</v>
      </c>
    </row>
    <row r="5686" spans="1:5" ht="15">
      <c r="A5686" s="120" t="s">
        <v>563</v>
      </c>
      <c r="B5686" s="121">
        <v>21</v>
      </c>
      <c r="C5686" s="121">
        <v>21</v>
      </c>
      <c r="D5686" s="121">
        <v>5</v>
      </c>
      <c r="E5686" s="121">
        <v>1000</v>
      </c>
    </row>
    <row r="5687" spans="1:5" ht="15">
      <c r="A5687" s="120" t="s">
        <v>563</v>
      </c>
      <c r="B5687" s="121">
        <v>21</v>
      </c>
      <c r="C5687" s="121">
        <v>21</v>
      </c>
      <c r="D5687" s="121">
        <v>7</v>
      </c>
      <c r="E5687" s="121">
        <v>12400</v>
      </c>
    </row>
    <row r="5688" spans="1:5" ht="15">
      <c r="A5688" s="120" t="s">
        <v>563</v>
      </c>
      <c r="B5688" s="121">
        <v>21</v>
      </c>
      <c r="C5688" s="121">
        <v>21</v>
      </c>
      <c r="D5688" s="121">
        <v>8</v>
      </c>
      <c r="E5688" s="121">
        <v>1000</v>
      </c>
    </row>
    <row r="5689" spans="1:5" ht="15">
      <c r="A5689" s="120" t="s">
        <v>563</v>
      </c>
      <c r="B5689" s="121">
        <v>21</v>
      </c>
      <c r="C5689" s="121">
        <v>26</v>
      </c>
      <c r="D5689" s="121">
        <v>3</v>
      </c>
      <c r="E5689" s="121">
        <v>87061</v>
      </c>
    </row>
    <row r="5690" spans="1:5" ht="15">
      <c r="A5690" s="120" t="s">
        <v>563</v>
      </c>
      <c r="B5690" s="121">
        <v>21</v>
      </c>
      <c r="C5690" s="121">
        <v>26</v>
      </c>
      <c r="D5690" s="121">
        <v>4</v>
      </c>
      <c r="E5690" s="121">
        <v>47249</v>
      </c>
    </row>
    <row r="5691" spans="1:5" ht="15">
      <c r="A5691" s="120" t="s">
        <v>563</v>
      </c>
      <c r="B5691" s="121">
        <v>21</v>
      </c>
      <c r="C5691" s="121">
        <v>26</v>
      </c>
      <c r="D5691" s="121">
        <v>5</v>
      </c>
      <c r="E5691" s="121">
        <v>400</v>
      </c>
    </row>
    <row r="5692" spans="1:5" ht="15">
      <c r="A5692" s="120" t="s">
        <v>563</v>
      </c>
      <c r="B5692" s="121">
        <v>21</v>
      </c>
      <c r="C5692" s="121">
        <v>26</v>
      </c>
      <c r="D5692" s="121">
        <v>7</v>
      </c>
      <c r="E5692" s="121">
        <v>200</v>
      </c>
    </row>
    <row r="5693" spans="1:5" ht="15">
      <c r="A5693" s="120" t="s">
        <v>563</v>
      </c>
      <c r="B5693" s="121">
        <v>21</v>
      </c>
      <c r="C5693" s="121">
        <v>27</v>
      </c>
      <c r="D5693" s="121">
        <v>2</v>
      </c>
      <c r="E5693" s="121">
        <v>305951</v>
      </c>
    </row>
    <row r="5694" spans="1:5" ht="15">
      <c r="A5694" s="120" t="s">
        <v>563</v>
      </c>
      <c r="B5694" s="121">
        <v>21</v>
      </c>
      <c r="C5694" s="121">
        <v>27</v>
      </c>
      <c r="D5694" s="121">
        <v>3</v>
      </c>
      <c r="E5694" s="121">
        <v>349373</v>
      </c>
    </row>
    <row r="5695" spans="1:5" ht="15">
      <c r="A5695" s="120" t="s">
        <v>563</v>
      </c>
      <c r="B5695" s="121">
        <v>21</v>
      </c>
      <c r="C5695" s="121">
        <v>27</v>
      </c>
      <c r="D5695" s="121">
        <v>4</v>
      </c>
      <c r="E5695" s="121">
        <v>333417</v>
      </c>
    </row>
    <row r="5696" spans="1:5" ht="15">
      <c r="A5696" s="120" t="s">
        <v>563</v>
      </c>
      <c r="B5696" s="121">
        <v>21</v>
      </c>
      <c r="C5696" s="121">
        <v>27</v>
      </c>
      <c r="D5696" s="121">
        <v>5</v>
      </c>
      <c r="E5696" s="121">
        <v>240547</v>
      </c>
    </row>
    <row r="5697" spans="1:5" ht="15">
      <c r="A5697" s="120" t="s">
        <v>563</v>
      </c>
      <c r="B5697" s="121">
        <v>21</v>
      </c>
      <c r="C5697" s="121">
        <v>27</v>
      </c>
      <c r="D5697" s="121">
        <v>7</v>
      </c>
      <c r="E5697" s="121">
        <v>268700</v>
      </c>
    </row>
    <row r="5698" spans="1:5" ht="15">
      <c r="A5698" s="120" t="s">
        <v>563</v>
      </c>
      <c r="B5698" s="121">
        <v>21</v>
      </c>
      <c r="C5698" s="121">
        <v>27</v>
      </c>
      <c r="D5698" s="121">
        <v>8</v>
      </c>
      <c r="E5698" s="121">
        <v>2000</v>
      </c>
    </row>
    <row r="5699" spans="1:5" ht="15">
      <c r="A5699" s="120" t="s">
        <v>581</v>
      </c>
      <c r="B5699" s="121">
        <v>24</v>
      </c>
      <c r="C5699" s="121">
        <v>26</v>
      </c>
      <c r="D5699" s="121">
        <v>7</v>
      </c>
      <c r="E5699" s="121">
        <v>1657</v>
      </c>
    </row>
    <row r="5700" spans="1:5" ht="15">
      <c r="A5700" s="120" t="s">
        <v>581</v>
      </c>
      <c r="B5700" s="121">
        <v>24</v>
      </c>
      <c r="C5700" s="121">
        <v>27</v>
      </c>
      <c r="D5700" s="121">
        <v>2</v>
      </c>
      <c r="E5700" s="121">
        <v>86025</v>
      </c>
    </row>
    <row r="5701" spans="1:5" ht="15">
      <c r="A5701" s="120" t="s">
        <v>581</v>
      </c>
      <c r="B5701" s="121">
        <v>24</v>
      </c>
      <c r="C5701" s="121">
        <v>27</v>
      </c>
      <c r="D5701" s="121">
        <v>3</v>
      </c>
      <c r="E5701" s="121">
        <v>15146</v>
      </c>
    </row>
    <row r="5702" spans="1:5" ht="15">
      <c r="A5702" s="120" t="s">
        <v>581</v>
      </c>
      <c r="B5702" s="121">
        <v>24</v>
      </c>
      <c r="C5702" s="121">
        <v>27</v>
      </c>
      <c r="D5702" s="121">
        <v>4</v>
      </c>
      <c r="E5702" s="121">
        <v>38844</v>
      </c>
    </row>
    <row r="5703" spans="1:5" ht="15">
      <c r="A5703" s="120" t="s">
        <v>581</v>
      </c>
      <c r="B5703" s="121">
        <v>24</v>
      </c>
      <c r="C5703" s="121">
        <v>31</v>
      </c>
      <c r="D5703" s="121">
        <v>2</v>
      </c>
      <c r="E5703" s="121">
        <v>1492</v>
      </c>
    </row>
    <row r="5704" spans="1:5" ht="15">
      <c r="A5704" s="120" t="s">
        <v>581</v>
      </c>
      <c r="B5704" s="121">
        <v>24</v>
      </c>
      <c r="C5704" s="121">
        <v>31</v>
      </c>
      <c r="D5704" s="121">
        <v>3</v>
      </c>
      <c r="E5704" s="121">
        <v>1303</v>
      </c>
    </row>
    <row r="5705" spans="1:5" ht="15">
      <c r="A5705" s="120" t="s">
        <v>581</v>
      </c>
      <c r="B5705" s="121">
        <v>24</v>
      </c>
      <c r="C5705" s="121">
        <v>31</v>
      </c>
      <c r="D5705" s="121">
        <v>4</v>
      </c>
      <c r="E5705" s="121">
        <v>775</v>
      </c>
    </row>
    <row r="5706" spans="1:5" ht="15">
      <c r="A5706" s="120" t="s">
        <v>581</v>
      </c>
      <c r="B5706" s="121">
        <v>24</v>
      </c>
      <c r="C5706" s="121">
        <v>31</v>
      </c>
      <c r="D5706" s="121">
        <v>7</v>
      </c>
      <c r="E5706" s="121">
        <v>71000</v>
      </c>
    </row>
    <row r="5707" spans="1:5" ht="15">
      <c r="A5707" s="120" t="s">
        <v>581</v>
      </c>
      <c r="B5707" s="121">
        <v>24</v>
      </c>
      <c r="C5707" s="121">
        <v>31</v>
      </c>
      <c r="D5707" s="121">
        <v>8</v>
      </c>
      <c r="E5707" s="121">
        <v>3000</v>
      </c>
    </row>
    <row r="5708" spans="1:5" ht="15">
      <c r="A5708" s="120" t="s">
        <v>563</v>
      </c>
      <c r="B5708" s="121">
        <v>21</v>
      </c>
      <c r="C5708" s="121">
        <v>31</v>
      </c>
      <c r="D5708" s="121">
        <v>7</v>
      </c>
      <c r="E5708" s="121">
        <v>19500</v>
      </c>
    </row>
    <row r="5709" spans="1:5" ht="15">
      <c r="A5709" s="120" t="s">
        <v>563</v>
      </c>
      <c r="B5709" s="121">
        <v>21</v>
      </c>
      <c r="C5709" s="121">
        <v>31</v>
      </c>
      <c r="D5709" s="121">
        <v>8</v>
      </c>
      <c r="E5709" s="121">
        <v>4000</v>
      </c>
    </row>
    <row r="5710" spans="1:5" ht="15">
      <c r="A5710" s="120" t="s">
        <v>563</v>
      </c>
      <c r="B5710" s="121">
        <v>21</v>
      </c>
      <c r="C5710" s="121">
        <v>32</v>
      </c>
      <c r="D5710" s="121">
        <v>5</v>
      </c>
      <c r="E5710" s="121">
        <v>12000</v>
      </c>
    </row>
    <row r="5711" spans="1:5" ht="15">
      <c r="A5711" s="120" t="s">
        <v>563</v>
      </c>
      <c r="B5711" s="121">
        <v>21</v>
      </c>
      <c r="C5711" s="121">
        <v>32</v>
      </c>
      <c r="D5711" s="121">
        <v>7</v>
      </c>
      <c r="E5711" s="121">
        <v>3000</v>
      </c>
    </row>
    <row r="5712" spans="1:5" ht="15">
      <c r="A5712" s="120" t="s">
        <v>563</v>
      </c>
      <c r="B5712" s="121">
        <v>21</v>
      </c>
      <c r="C5712" s="121">
        <v>33</v>
      </c>
      <c r="D5712" s="121">
        <v>5</v>
      </c>
      <c r="E5712" s="121">
        <v>200</v>
      </c>
    </row>
    <row r="5713" spans="1:5" ht="15">
      <c r="A5713" s="120" t="s">
        <v>563</v>
      </c>
      <c r="B5713" s="121">
        <v>21</v>
      </c>
      <c r="C5713" s="121">
        <v>34</v>
      </c>
      <c r="D5713" s="121">
        <v>2</v>
      </c>
      <c r="E5713" s="121">
        <v>4825</v>
      </c>
    </row>
    <row r="5714" spans="1:5" ht="15">
      <c r="A5714" s="120" t="s">
        <v>563</v>
      </c>
      <c r="B5714" s="121">
        <v>21</v>
      </c>
      <c r="C5714" s="121">
        <v>34</v>
      </c>
      <c r="D5714" s="121">
        <v>4</v>
      </c>
      <c r="E5714" s="121">
        <v>790</v>
      </c>
    </row>
    <row r="5715" spans="1:5" ht="15">
      <c r="A5715" s="120" t="s">
        <v>581</v>
      </c>
      <c r="B5715" s="121">
        <v>24</v>
      </c>
      <c r="C5715" s="121">
        <v>33</v>
      </c>
      <c r="D5715" s="121">
        <v>5</v>
      </c>
      <c r="E5715" s="121">
        <v>2500</v>
      </c>
    </row>
    <row r="5716" spans="1:5" ht="15">
      <c r="A5716" s="120" t="s">
        <v>563</v>
      </c>
      <c r="B5716" s="121">
        <v>24</v>
      </c>
      <c r="C5716" s="121">
        <v>27</v>
      </c>
      <c r="D5716" s="121">
        <v>2</v>
      </c>
      <c r="E5716" s="121">
        <v>173739</v>
      </c>
    </row>
    <row r="5717" spans="1:5" ht="15">
      <c r="A5717" s="120" t="s">
        <v>563</v>
      </c>
      <c r="B5717" s="121">
        <v>24</v>
      </c>
      <c r="C5717" s="121">
        <v>27</v>
      </c>
      <c r="D5717" s="121">
        <v>3</v>
      </c>
      <c r="E5717" s="121">
        <v>6373</v>
      </c>
    </row>
    <row r="5718" spans="1:5" ht="15">
      <c r="A5718" s="120" t="s">
        <v>563</v>
      </c>
      <c r="B5718" s="121">
        <v>24</v>
      </c>
      <c r="C5718" s="121">
        <v>27</v>
      </c>
      <c r="D5718" s="121">
        <v>4</v>
      </c>
      <c r="E5718" s="121">
        <v>72127</v>
      </c>
    </row>
    <row r="5719" spans="1:5" ht="15">
      <c r="A5719" s="120" t="s">
        <v>563</v>
      </c>
      <c r="B5719" s="121">
        <v>24</v>
      </c>
      <c r="C5719" s="121">
        <v>27</v>
      </c>
      <c r="D5719" s="121">
        <v>5</v>
      </c>
      <c r="E5719" s="121">
        <v>869</v>
      </c>
    </row>
    <row r="5720" spans="1:5" ht="15">
      <c r="A5720" s="120" t="s">
        <v>563</v>
      </c>
      <c r="B5720" s="121">
        <v>24</v>
      </c>
      <c r="C5720" s="121">
        <v>31</v>
      </c>
      <c r="D5720" s="121">
        <v>2</v>
      </c>
      <c r="E5720" s="121">
        <v>2750</v>
      </c>
    </row>
    <row r="5721" spans="1:5" ht="15">
      <c r="A5721" s="120" t="s">
        <v>563</v>
      </c>
      <c r="B5721" s="121">
        <v>24</v>
      </c>
      <c r="C5721" s="121">
        <v>31</v>
      </c>
      <c r="D5721" s="121">
        <v>4</v>
      </c>
      <c r="E5721" s="121">
        <v>450</v>
      </c>
    </row>
    <row r="5722" spans="1:5" ht="15">
      <c r="A5722" s="120" t="s">
        <v>583</v>
      </c>
      <c r="B5722" s="121">
        <v>21</v>
      </c>
      <c r="C5722" s="121">
        <v>21</v>
      </c>
      <c r="D5722" s="121">
        <v>2</v>
      </c>
      <c r="E5722" s="121">
        <v>1053245</v>
      </c>
    </row>
    <row r="5723" spans="1:5" ht="15">
      <c r="A5723" s="120" t="s">
        <v>583</v>
      </c>
      <c r="B5723" s="121">
        <v>21</v>
      </c>
      <c r="C5723" s="121">
        <v>21</v>
      </c>
      <c r="D5723" s="121">
        <v>3</v>
      </c>
      <c r="E5723" s="121">
        <v>571940</v>
      </c>
    </row>
    <row r="5724" spans="1:5" ht="15">
      <c r="A5724" s="120" t="s">
        <v>583</v>
      </c>
      <c r="B5724" s="121">
        <v>21</v>
      </c>
      <c r="C5724" s="121">
        <v>21</v>
      </c>
      <c r="D5724" s="121">
        <v>4</v>
      </c>
      <c r="E5724" s="121">
        <v>504461</v>
      </c>
    </row>
    <row r="5725" spans="1:5" ht="15">
      <c r="A5725" s="120" t="s">
        <v>583</v>
      </c>
      <c r="B5725" s="121">
        <v>21</v>
      </c>
      <c r="C5725" s="121">
        <v>21</v>
      </c>
      <c r="D5725" s="121">
        <v>5</v>
      </c>
      <c r="E5725" s="121">
        <v>1500</v>
      </c>
    </row>
    <row r="5726" spans="1:5" ht="15">
      <c r="A5726" s="120" t="s">
        <v>583</v>
      </c>
      <c r="B5726" s="121">
        <v>21</v>
      </c>
      <c r="C5726" s="121">
        <v>21</v>
      </c>
      <c r="D5726" s="121">
        <v>7</v>
      </c>
      <c r="E5726" s="121">
        <v>6500</v>
      </c>
    </row>
    <row r="5727" spans="1:5" ht="15">
      <c r="A5727" s="120" t="s">
        <v>583</v>
      </c>
      <c r="B5727" s="121">
        <v>21</v>
      </c>
      <c r="C5727" s="121">
        <v>21</v>
      </c>
      <c r="D5727" s="121">
        <v>8</v>
      </c>
      <c r="E5727" s="121">
        <v>22500</v>
      </c>
    </row>
    <row r="5728" spans="1:5" ht="15">
      <c r="A5728" s="120" t="s">
        <v>583</v>
      </c>
      <c r="B5728" s="121">
        <v>21</v>
      </c>
      <c r="C5728" s="121">
        <v>23</v>
      </c>
      <c r="D5728" s="121">
        <v>2</v>
      </c>
      <c r="E5728" s="121">
        <v>183050</v>
      </c>
    </row>
    <row r="5729" spans="1:5" ht="15">
      <c r="A5729" s="120" t="s">
        <v>583</v>
      </c>
      <c r="B5729" s="121">
        <v>21</v>
      </c>
      <c r="C5729" s="121">
        <v>23</v>
      </c>
      <c r="D5729" s="121">
        <v>3</v>
      </c>
      <c r="E5729" s="121">
        <v>100086</v>
      </c>
    </row>
    <row r="5730" spans="1:5" ht="15">
      <c r="A5730" s="120" t="s">
        <v>583</v>
      </c>
      <c r="B5730" s="121">
        <v>21</v>
      </c>
      <c r="C5730" s="121">
        <v>23</v>
      </c>
      <c r="D5730" s="121">
        <v>4</v>
      </c>
      <c r="E5730" s="121">
        <v>92686</v>
      </c>
    </row>
    <row r="5731" spans="1:5" ht="15">
      <c r="A5731" s="120" t="s">
        <v>583</v>
      </c>
      <c r="B5731" s="121">
        <v>21</v>
      </c>
      <c r="C5731" s="121">
        <v>26</v>
      </c>
      <c r="D5731" s="121">
        <v>2</v>
      </c>
      <c r="E5731" s="121">
        <v>12361951</v>
      </c>
    </row>
    <row r="5732" spans="1:5" ht="15">
      <c r="A5732" s="120" t="s">
        <v>583</v>
      </c>
      <c r="B5732" s="121">
        <v>21</v>
      </c>
      <c r="C5732" s="121">
        <v>26</v>
      </c>
      <c r="D5732" s="121">
        <v>3</v>
      </c>
      <c r="E5732" s="121">
        <v>288358</v>
      </c>
    </row>
    <row r="5733" spans="1:5" ht="15">
      <c r="A5733" s="120" t="s">
        <v>583</v>
      </c>
      <c r="B5733" s="121">
        <v>21</v>
      </c>
      <c r="C5733" s="121">
        <v>26</v>
      </c>
      <c r="D5733" s="121">
        <v>4</v>
      </c>
      <c r="E5733" s="121">
        <v>4165528</v>
      </c>
    </row>
    <row r="5734" spans="1:5" ht="15">
      <c r="A5734" s="120" t="s">
        <v>583</v>
      </c>
      <c r="B5734" s="121">
        <v>21</v>
      </c>
      <c r="C5734" s="121">
        <v>26</v>
      </c>
      <c r="D5734" s="121">
        <v>5</v>
      </c>
      <c r="E5734" s="121">
        <v>55500</v>
      </c>
    </row>
    <row r="5735" spans="1:5" ht="15">
      <c r="A5735" s="120" t="s">
        <v>583</v>
      </c>
      <c r="B5735" s="121">
        <v>21</v>
      </c>
      <c r="C5735" s="121">
        <v>26</v>
      </c>
      <c r="D5735" s="121">
        <v>7</v>
      </c>
      <c r="E5735" s="121">
        <v>809222</v>
      </c>
    </row>
    <row r="5736" spans="1:5" ht="15">
      <c r="A5736" s="120" t="s">
        <v>583</v>
      </c>
      <c r="B5736" s="121">
        <v>21</v>
      </c>
      <c r="C5736" s="121">
        <v>26</v>
      </c>
      <c r="D5736" s="121">
        <v>8</v>
      </c>
      <c r="E5736" s="121">
        <v>5000</v>
      </c>
    </row>
    <row r="5737" spans="1:5" ht="15">
      <c r="A5737" s="120" t="s">
        <v>583</v>
      </c>
      <c r="B5737" s="121">
        <v>21</v>
      </c>
      <c r="C5737" s="121">
        <v>27</v>
      </c>
      <c r="D5737" s="121">
        <v>0</v>
      </c>
      <c r="E5737" s="121">
        <v>5000</v>
      </c>
    </row>
    <row r="5738" spans="1:5" ht="15">
      <c r="A5738" s="120" t="s">
        <v>583</v>
      </c>
      <c r="B5738" s="121">
        <v>21</v>
      </c>
      <c r="C5738" s="121">
        <v>27</v>
      </c>
      <c r="D5738" s="121">
        <v>2</v>
      </c>
      <c r="E5738" s="121">
        <v>15785601</v>
      </c>
    </row>
    <row r="5739" spans="1:5" ht="15">
      <c r="A5739" s="120" t="s">
        <v>583</v>
      </c>
      <c r="B5739" s="121">
        <v>21</v>
      </c>
      <c r="C5739" s="121">
        <v>27</v>
      </c>
      <c r="D5739" s="121">
        <v>3</v>
      </c>
      <c r="E5739" s="121">
        <v>27268909</v>
      </c>
    </row>
    <row r="5740" spans="1:5" ht="15">
      <c r="A5740" s="120" t="s">
        <v>583</v>
      </c>
      <c r="B5740" s="121">
        <v>21</v>
      </c>
      <c r="C5740" s="121">
        <v>27</v>
      </c>
      <c r="D5740" s="121">
        <v>4</v>
      </c>
      <c r="E5740" s="121">
        <v>21980988</v>
      </c>
    </row>
    <row r="5741" spans="1:5" ht="15">
      <c r="A5741" s="120" t="s">
        <v>583</v>
      </c>
      <c r="B5741" s="121">
        <v>21</v>
      </c>
      <c r="C5741" s="121">
        <v>27</v>
      </c>
      <c r="D5741" s="121">
        <v>5</v>
      </c>
      <c r="E5741" s="121">
        <v>61300</v>
      </c>
    </row>
    <row r="5742" spans="1:5" ht="15">
      <c r="A5742" s="120" t="s">
        <v>583</v>
      </c>
      <c r="B5742" s="121">
        <v>21</v>
      </c>
      <c r="C5742" s="121">
        <v>27</v>
      </c>
      <c r="D5742" s="121">
        <v>7</v>
      </c>
      <c r="E5742" s="121">
        <v>4777120</v>
      </c>
    </row>
    <row r="5743" spans="1:5" ht="15">
      <c r="A5743" s="120" t="s">
        <v>583</v>
      </c>
      <c r="B5743" s="121">
        <v>21</v>
      </c>
      <c r="C5743" s="121">
        <v>27</v>
      </c>
      <c r="D5743" s="121">
        <v>8</v>
      </c>
      <c r="E5743" s="121">
        <v>8000</v>
      </c>
    </row>
    <row r="5744" spans="1:5" ht="15">
      <c r="A5744" s="120" t="s">
        <v>583</v>
      </c>
      <c r="B5744" s="121">
        <v>21</v>
      </c>
      <c r="C5744" s="121">
        <v>31</v>
      </c>
      <c r="D5744" s="121">
        <v>2</v>
      </c>
      <c r="E5744" s="121">
        <v>1164601</v>
      </c>
    </row>
    <row r="5745" spans="1:5" ht="15">
      <c r="A5745" s="120" t="s">
        <v>583</v>
      </c>
      <c r="B5745" s="121">
        <v>21</v>
      </c>
      <c r="C5745" s="121">
        <v>31</v>
      </c>
      <c r="D5745" s="121">
        <v>3</v>
      </c>
      <c r="E5745" s="121">
        <v>36000</v>
      </c>
    </row>
    <row r="5746" spans="1:5" ht="15">
      <c r="A5746" s="120" t="s">
        <v>583</v>
      </c>
      <c r="B5746" s="121">
        <v>21</v>
      </c>
      <c r="C5746" s="121">
        <v>31</v>
      </c>
      <c r="D5746" s="121">
        <v>4</v>
      </c>
      <c r="E5746" s="121">
        <v>337006</v>
      </c>
    </row>
    <row r="5747" spans="1:5" ht="15">
      <c r="A5747" s="120" t="s">
        <v>583</v>
      </c>
      <c r="B5747" s="121">
        <v>21</v>
      </c>
      <c r="C5747" s="121">
        <v>31</v>
      </c>
      <c r="D5747" s="121">
        <v>5</v>
      </c>
      <c r="E5747" s="121">
        <v>5000</v>
      </c>
    </row>
    <row r="5748" spans="1:5" ht="15">
      <c r="A5748" s="120" t="s">
        <v>583</v>
      </c>
      <c r="B5748" s="121">
        <v>21</v>
      </c>
      <c r="C5748" s="121">
        <v>31</v>
      </c>
      <c r="D5748" s="121">
        <v>7</v>
      </c>
      <c r="E5748" s="121">
        <v>40000</v>
      </c>
    </row>
    <row r="5749" spans="1:5" ht="15">
      <c r="A5749" s="120" t="s">
        <v>583</v>
      </c>
      <c r="B5749" s="121">
        <v>21</v>
      </c>
      <c r="C5749" s="121">
        <v>31</v>
      </c>
      <c r="D5749" s="121">
        <v>8</v>
      </c>
      <c r="E5749" s="121">
        <v>12500</v>
      </c>
    </row>
    <row r="5750" spans="1:5" ht="15">
      <c r="A5750" s="120" t="s">
        <v>583</v>
      </c>
      <c r="B5750" s="121">
        <v>21</v>
      </c>
      <c r="C5750" s="121">
        <v>33</v>
      </c>
      <c r="D5750" s="121">
        <v>5</v>
      </c>
      <c r="E5750" s="121">
        <v>100000</v>
      </c>
    </row>
    <row r="5751" spans="1:5" ht="15">
      <c r="A5751" s="120" t="s">
        <v>583</v>
      </c>
      <c r="B5751" s="121">
        <v>21</v>
      </c>
      <c r="C5751" s="121">
        <v>33</v>
      </c>
      <c r="D5751" s="121">
        <v>7</v>
      </c>
      <c r="E5751" s="121">
        <v>35000</v>
      </c>
    </row>
    <row r="5752" spans="1:5" ht="15">
      <c r="A5752" s="120" t="s">
        <v>583</v>
      </c>
      <c r="B5752" s="121">
        <v>21</v>
      </c>
      <c r="C5752" s="121">
        <v>34</v>
      </c>
      <c r="D5752" s="121">
        <v>2</v>
      </c>
      <c r="E5752" s="121">
        <v>375000</v>
      </c>
    </row>
    <row r="5753" spans="1:5" ht="15">
      <c r="A5753" s="120" t="s">
        <v>583</v>
      </c>
      <c r="B5753" s="121">
        <v>21</v>
      </c>
      <c r="C5753" s="121">
        <v>34</v>
      </c>
      <c r="D5753" s="121">
        <v>4</v>
      </c>
      <c r="E5753" s="121">
        <v>46217</v>
      </c>
    </row>
    <row r="5754" spans="1:5" ht="15">
      <c r="A5754" s="120" t="s">
        <v>583</v>
      </c>
      <c r="B5754" s="121">
        <v>24</v>
      </c>
      <c r="C5754" s="121">
        <v>27</v>
      </c>
      <c r="D5754" s="121">
        <v>2</v>
      </c>
      <c r="E5754" s="121">
        <v>3650447</v>
      </c>
    </row>
    <row r="5755" spans="1:5" ht="15">
      <c r="A5755" s="120" t="s">
        <v>583</v>
      </c>
      <c r="B5755" s="121">
        <v>24</v>
      </c>
      <c r="C5755" s="121">
        <v>27</v>
      </c>
      <c r="D5755" s="121">
        <v>3</v>
      </c>
      <c r="E5755" s="121">
        <v>40299</v>
      </c>
    </row>
    <row r="5756" spans="1:5" ht="15">
      <c r="A5756" s="120" t="s">
        <v>583</v>
      </c>
      <c r="B5756" s="121">
        <v>24</v>
      </c>
      <c r="C5756" s="121">
        <v>27</v>
      </c>
      <c r="D5756" s="121">
        <v>4</v>
      </c>
      <c r="E5756" s="121">
        <v>1190011</v>
      </c>
    </row>
    <row r="5757" spans="1:5" ht="15">
      <c r="A5757" s="120" t="s">
        <v>311</v>
      </c>
      <c r="B5757" s="121">
        <v>21</v>
      </c>
      <c r="C5757" s="121">
        <v>21</v>
      </c>
      <c r="D5757" s="121">
        <v>2</v>
      </c>
      <c r="E5757" s="121">
        <v>560558</v>
      </c>
    </row>
    <row r="5758" spans="1:5" ht="15">
      <c r="A5758" s="120" t="s">
        <v>311</v>
      </c>
      <c r="B5758" s="121">
        <v>21</v>
      </c>
      <c r="C5758" s="121">
        <v>21</v>
      </c>
      <c r="D5758" s="121">
        <v>3</v>
      </c>
      <c r="E5758" s="121">
        <v>120160</v>
      </c>
    </row>
    <row r="5759" spans="1:5" ht="15">
      <c r="A5759" s="120" t="s">
        <v>311</v>
      </c>
      <c r="B5759" s="121">
        <v>21</v>
      </c>
      <c r="C5759" s="121">
        <v>21</v>
      </c>
      <c r="D5759" s="121">
        <v>4</v>
      </c>
      <c r="E5759" s="121">
        <v>174365</v>
      </c>
    </row>
    <row r="5760" spans="1:5" ht="15">
      <c r="A5760" s="120" t="s">
        <v>311</v>
      </c>
      <c r="B5760" s="121">
        <v>21</v>
      </c>
      <c r="C5760" s="121">
        <v>21</v>
      </c>
      <c r="D5760" s="121">
        <v>5</v>
      </c>
      <c r="E5760" s="121">
        <v>8000</v>
      </c>
    </row>
    <row r="5761" spans="1:5" ht="15">
      <c r="A5761" s="120" t="s">
        <v>311</v>
      </c>
      <c r="B5761" s="121">
        <v>21</v>
      </c>
      <c r="C5761" s="121">
        <v>21</v>
      </c>
      <c r="D5761" s="121">
        <v>7</v>
      </c>
      <c r="E5761" s="121">
        <v>5800</v>
      </c>
    </row>
    <row r="5762" spans="1:5" ht="15">
      <c r="A5762" s="120" t="s">
        <v>311</v>
      </c>
      <c r="B5762" s="121">
        <v>21</v>
      </c>
      <c r="C5762" s="121">
        <v>25</v>
      </c>
      <c r="D5762" s="121">
        <v>7</v>
      </c>
      <c r="E5762" s="121">
        <v>28000</v>
      </c>
    </row>
    <row r="5763" spans="1:5" ht="15">
      <c r="A5763" s="120" t="s">
        <v>311</v>
      </c>
      <c r="B5763" s="121">
        <v>21</v>
      </c>
      <c r="C5763" s="121">
        <v>26</v>
      </c>
      <c r="D5763" s="121">
        <v>2</v>
      </c>
      <c r="E5763" s="121">
        <v>2509667</v>
      </c>
    </row>
    <row r="5764" spans="1:5" ht="15">
      <c r="A5764" s="120" t="s">
        <v>311</v>
      </c>
      <c r="B5764" s="121">
        <v>21</v>
      </c>
      <c r="C5764" s="121">
        <v>26</v>
      </c>
      <c r="D5764" s="121">
        <v>3</v>
      </c>
      <c r="E5764" s="121">
        <v>112879</v>
      </c>
    </row>
    <row r="5765" spans="1:5" ht="15">
      <c r="A5765" s="120" t="s">
        <v>311</v>
      </c>
      <c r="B5765" s="121">
        <v>21</v>
      </c>
      <c r="C5765" s="121">
        <v>26</v>
      </c>
      <c r="D5765" s="121">
        <v>4</v>
      </c>
      <c r="E5765" s="121">
        <v>841436</v>
      </c>
    </row>
    <row r="5766" spans="1:5" ht="15">
      <c r="A5766" s="120" t="s">
        <v>311</v>
      </c>
      <c r="B5766" s="121">
        <v>21</v>
      </c>
      <c r="C5766" s="121">
        <v>26</v>
      </c>
      <c r="D5766" s="121">
        <v>7</v>
      </c>
      <c r="E5766" s="121">
        <v>1067000</v>
      </c>
    </row>
    <row r="5767" spans="1:5" ht="15">
      <c r="A5767" s="120" t="s">
        <v>311</v>
      </c>
      <c r="B5767" s="121">
        <v>21</v>
      </c>
      <c r="C5767" s="121">
        <v>27</v>
      </c>
      <c r="D5767" s="121">
        <v>2</v>
      </c>
      <c r="E5767" s="121">
        <v>3262607</v>
      </c>
    </row>
    <row r="5768" spans="1:5" ht="15">
      <c r="A5768" s="120" t="s">
        <v>311</v>
      </c>
      <c r="B5768" s="121">
        <v>21</v>
      </c>
      <c r="C5768" s="121">
        <v>27</v>
      </c>
      <c r="D5768" s="121">
        <v>3</v>
      </c>
      <c r="E5768" s="121">
        <v>4204883</v>
      </c>
    </row>
    <row r="5769" spans="1:5" ht="15">
      <c r="A5769" s="120" t="s">
        <v>311</v>
      </c>
      <c r="B5769" s="121">
        <v>21</v>
      </c>
      <c r="C5769" s="121">
        <v>27</v>
      </c>
      <c r="D5769" s="121">
        <v>4</v>
      </c>
      <c r="E5769" s="121">
        <v>3283054</v>
      </c>
    </row>
    <row r="5770" spans="1:5" ht="15">
      <c r="A5770" s="120" t="s">
        <v>311</v>
      </c>
      <c r="B5770" s="121">
        <v>21</v>
      </c>
      <c r="C5770" s="121">
        <v>27</v>
      </c>
      <c r="D5770" s="121">
        <v>7</v>
      </c>
      <c r="E5770" s="121">
        <v>1835700</v>
      </c>
    </row>
    <row r="5771" spans="1:5" ht="15">
      <c r="A5771" s="120" t="s">
        <v>311</v>
      </c>
      <c r="B5771" s="121">
        <v>21</v>
      </c>
      <c r="C5771" s="121">
        <v>31</v>
      </c>
      <c r="D5771" s="121">
        <v>2</v>
      </c>
      <c r="E5771" s="121">
        <v>54977</v>
      </c>
    </row>
    <row r="5772" spans="1:5" ht="15">
      <c r="A5772" s="120" t="s">
        <v>311</v>
      </c>
      <c r="B5772" s="121">
        <v>21</v>
      </c>
      <c r="C5772" s="121">
        <v>31</v>
      </c>
      <c r="D5772" s="121">
        <v>4</v>
      </c>
      <c r="E5772" s="121">
        <v>17770</v>
      </c>
    </row>
    <row r="5773" spans="1:5" ht="15">
      <c r="A5773" s="120" t="s">
        <v>311</v>
      </c>
      <c r="B5773" s="121">
        <v>21</v>
      </c>
      <c r="C5773" s="121">
        <v>31</v>
      </c>
      <c r="D5773" s="121">
        <v>7</v>
      </c>
      <c r="E5773" s="121">
        <v>2000</v>
      </c>
    </row>
    <row r="5774" spans="1:5" ht="15">
      <c r="A5774" s="120" t="s">
        <v>311</v>
      </c>
      <c r="B5774" s="121">
        <v>21</v>
      </c>
      <c r="C5774" s="121">
        <v>33</v>
      </c>
      <c r="D5774" s="121">
        <v>7</v>
      </c>
      <c r="E5774" s="121">
        <v>210</v>
      </c>
    </row>
    <row r="5775" spans="1:5" ht="15">
      <c r="A5775" s="120" t="s">
        <v>311</v>
      </c>
      <c r="B5775" s="121">
        <v>21</v>
      </c>
      <c r="C5775" s="121">
        <v>34</v>
      </c>
      <c r="D5775" s="121">
        <v>2</v>
      </c>
      <c r="E5775" s="121">
        <v>84683</v>
      </c>
    </row>
    <row r="5776" spans="1:5" ht="15">
      <c r="A5776" s="120" t="s">
        <v>311</v>
      </c>
      <c r="B5776" s="121">
        <v>21</v>
      </c>
      <c r="C5776" s="121">
        <v>34</v>
      </c>
      <c r="D5776" s="121">
        <v>4</v>
      </c>
      <c r="E5776" s="121">
        <v>27610</v>
      </c>
    </row>
    <row r="5777" spans="1:5" ht="15">
      <c r="A5777" s="120" t="s">
        <v>637</v>
      </c>
      <c r="B5777" s="121">
        <v>21</v>
      </c>
      <c r="C5777" s="121">
        <v>21</v>
      </c>
      <c r="D5777" s="121">
        <v>2</v>
      </c>
      <c r="E5777" s="121">
        <v>113022</v>
      </c>
    </row>
    <row r="5778" spans="1:5" ht="15">
      <c r="A5778" s="120" t="s">
        <v>637</v>
      </c>
      <c r="B5778" s="121">
        <v>21</v>
      </c>
      <c r="C5778" s="121">
        <v>21</v>
      </c>
      <c r="D5778" s="121">
        <v>3</v>
      </c>
      <c r="E5778" s="121">
        <v>94444</v>
      </c>
    </row>
    <row r="5779" spans="1:5" ht="15">
      <c r="A5779" s="120" t="s">
        <v>637</v>
      </c>
      <c r="B5779" s="121">
        <v>21</v>
      </c>
      <c r="C5779" s="121">
        <v>21</v>
      </c>
      <c r="D5779" s="121">
        <v>4</v>
      </c>
      <c r="E5779" s="121">
        <v>66205</v>
      </c>
    </row>
    <row r="5780" spans="1:5" ht="15">
      <c r="A5780" s="120" t="s">
        <v>637</v>
      </c>
      <c r="B5780" s="121">
        <v>21</v>
      </c>
      <c r="C5780" s="121">
        <v>21</v>
      </c>
      <c r="D5780" s="121">
        <v>5</v>
      </c>
      <c r="E5780" s="121">
        <v>4000</v>
      </c>
    </row>
    <row r="5781" spans="1:5" ht="15">
      <c r="A5781" s="120" t="s">
        <v>637</v>
      </c>
      <c r="B5781" s="121">
        <v>21</v>
      </c>
      <c r="C5781" s="121">
        <v>21</v>
      </c>
      <c r="D5781" s="121">
        <v>7</v>
      </c>
      <c r="E5781" s="121">
        <v>7500</v>
      </c>
    </row>
    <row r="5782" spans="1:5" ht="15">
      <c r="A5782" s="120" t="s">
        <v>637</v>
      </c>
      <c r="B5782" s="121">
        <v>21</v>
      </c>
      <c r="C5782" s="121">
        <v>21</v>
      </c>
      <c r="D5782" s="121">
        <v>8</v>
      </c>
      <c r="E5782" s="121">
        <v>6000</v>
      </c>
    </row>
    <row r="5783" spans="1:5" ht="15">
      <c r="A5783" s="120" t="s">
        <v>637</v>
      </c>
      <c r="B5783" s="121">
        <v>21</v>
      </c>
      <c r="C5783" s="121">
        <v>26</v>
      </c>
      <c r="D5783" s="121">
        <v>2</v>
      </c>
      <c r="E5783" s="121">
        <v>795463</v>
      </c>
    </row>
    <row r="5784" spans="1:5" ht="15">
      <c r="A5784" s="120" t="s">
        <v>637</v>
      </c>
      <c r="B5784" s="121">
        <v>21</v>
      </c>
      <c r="C5784" s="121">
        <v>26</v>
      </c>
      <c r="D5784" s="121">
        <v>3</v>
      </c>
      <c r="E5784" s="121">
        <v>19622</v>
      </c>
    </row>
    <row r="5785" spans="1:5" ht="15">
      <c r="A5785" s="120" t="s">
        <v>637</v>
      </c>
      <c r="B5785" s="121">
        <v>21</v>
      </c>
      <c r="C5785" s="121">
        <v>26</v>
      </c>
      <c r="D5785" s="121">
        <v>4</v>
      </c>
      <c r="E5785" s="121">
        <v>262377</v>
      </c>
    </row>
    <row r="5786" spans="1:5" ht="15">
      <c r="A5786" s="120" t="s">
        <v>637</v>
      </c>
      <c r="B5786" s="121">
        <v>21</v>
      </c>
      <c r="C5786" s="121">
        <v>26</v>
      </c>
      <c r="D5786" s="121">
        <v>5</v>
      </c>
      <c r="E5786" s="121">
        <v>9100</v>
      </c>
    </row>
    <row r="5787" spans="1:5" ht="15">
      <c r="A5787" s="120" t="s">
        <v>637</v>
      </c>
      <c r="B5787" s="121">
        <v>21</v>
      </c>
      <c r="C5787" s="121">
        <v>26</v>
      </c>
      <c r="D5787" s="121">
        <v>7</v>
      </c>
      <c r="E5787" s="121">
        <v>175100</v>
      </c>
    </row>
    <row r="5788" spans="1:5" ht="15">
      <c r="A5788" s="120" t="s">
        <v>637</v>
      </c>
      <c r="B5788" s="121">
        <v>21</v>
      </c>
      <c r="C5788" s="121">
        <v>26</v>
      </c>
      <c r="D5788" s="121">
        <v>8</v>
      </c>
      <c r="E5788" s="121">
        <v>3300</v>
      </c>
    </row>
    <row r="5789" spans="1:5" ht="15">
      <c r="A5789" s="120" t="s">
        <v>637</v>
      </c>
      <c r="B5789" s="121">
        <v>21</v>
      </c>
      <c r="C5789" s="121">
        <v>27</v>
      </c>
      <c r="D5789" s="121">
        <v>0</v>
      </c>
      <c r="E5789" s="121">
        <v>2000</v>
      </c>
    </row>
    <row r="5790" spans="1:5" ht="15">
      <c r="A5790" s="120" t="s">
        <v>637</v>
      </c>
      <c r="B5790" s="121">
        <v>21</v>
      </c>
      <c r="C5790" s="121">
        <v>27</v>
      </c>
      <c r="D5790" s="121">
        <v>2</v>
      </c>
      <c r="E5790" s="121">
        <v>1346168</v>
      </c>
    </row>
    <row r="5791" spans="1:5" ht="15">
      <c r="A5791" s="120" t="s">
        <v>637</v>
      </c>
      <c r="B5791" s="121">
        <v>21</v>
      </c>
      <c r="C5791" s="121">
        <v>27</v>
      </c>
      <c r="D5791" s="121">
        <v>3</v>
      </c>
      <c r="E5791" s="121">
        <v>2127392</v>
      </c>
    </row>
    <row r="5792" spans="1:5" ht="15">
      <c r="A5792" s="120" t="s">
        <v>637</v>
      </c>
      <c r="B5792" s="121">
        <v>21</v>
      </c>
      <c r="C5792" s="121">
        <v>27</v>
      </c>
      <c r="D5792" s="121">
        <v>4</v>
      </c>
      <c r="E5792" s="121">
        <v>1792550</v>
      </c>
    </row>
    <row r="5793" spans="1:5" ht="15">
      <c r="A5793" s="120" t="s">
        <v>637</v>
      </c>
      <c r="B5793" s="121">
        <v>21</v>
      </c>
      <c r="C5793" s="121">
        <v>27</v>
      </c>
      <c r="D5793" s="121">
        <v>5</v>
      </c>
      <c r="E5793" s="121">
        <v>35200</v>
      </c>
    </row>
    <row r="5794" spans="1:5" ht="15">
      <c r="A5794" s="120" t="s">
        <v>637</v>
      </c>
      <c r="B5794" s="121">
        <v>21</v>
      </c>
      <c r="C5794" s="121">
        <v>27</v>
      </c>
      <c r="D5794" s="121">
        <v>7</v>
      </c>
      <c r="E5794" s="121">
        <v>964100</v>
      </c>
    </row>
    <row r="5795" spans="1:5" ht="15">
      <c r="A5795" s="120" t="s">
        <v>637</v>
      </c>
      <c r="B5795" s="121">
        <v>21</v>
      </c>
      <c r="C5795" s="121">
        <v>27</v>
      </c>
      <c r="D5795" s="121">
        <v>8</v>
      </c>
      <c r="E5795" s="121">
        <v>500</v>
      </c>
    </row>
    <row r="5796" spans="1:5" ht="15">
      <c r="A5796" s="120" t="s">
        <v>637</v>
      </c>
      <c r="B5796" s="121">
        <v>21</v>
      </c>
      <c r="C5796" s="121">
        <v>29</v>
      </c>
      <c r="D5796" s="121">
        <v>7</v>
      </c>
      <c r="E5796" s="121">
        <v>15000</v>
      </c>
    </row>
    <row r="5797" spans="1:5" ht="15">
      <c r="A5797" s="120" t="s">
        <v>637</v>
      </c>
      <c r="B5797" s="121">
        <v>21</v>
      </c>
      <c r="C5797" s="121">
        <v>31</v>
      </c>
      <c r="D5797" s="121">
        <v>2</v>
      </c>
      <c r="E5797" s="121">
        <v>85850</v>
      </c>
    </row>
    <row r="5798" spans="1:5" ht="15">
      <c r="A5798" s="120" t="s">
        <v>637</v>
      </c>
      <c r="B5798" s="121">
        <v>21</v>
      </c>
      <c r="C5798" s="121">
        <v>31</v>
      </c>
      <c r="D5798" s="121">
        <v>4</v>
      </c>
      <c r="E5798" s="121">
        <v>13481</v>
      </c>
    </row>
    <row r="5799" spans="1:5" ht="15">
      <c r="A5799" s="120" t="s">
        <v>637</v>
      </c>
      <c r="B5799" s="121">
        <v>21</v>
      </c>
      <c r="C5799" s="121">
        <v>31</v>
      </c>
      <c r="D5799" s="121">
        <v>7</v>
      </c>
      <c r="E5799" s="121">
        <v>3000</v>
      </c>
    </row>
    <row r="5800" spans="1:5" ht="15">
      <c r="A5800" s="120" t="s">
        <v>637</v>
      </c>
      <c r="B5800" s="121">
        <v>21</v>
      </c>
      <c r="C5800" s="121">
        <v>32</v>
      </c>
      <c r="D5800" s="121">
        <v>5</v>
      </c>
      <c r="E5800" s="121">
        <v>5000</v>
      </c>
    </row>
    <row r="5801" spans="1:5" ht="15">
      <c r="A5801" s="120" t="s">
        <v>637</v>
      </c>
      <c r="B5801" s="121">
        <v>21</v>
      </c>
      <c r="C5801" s="121">
        <v>33</v>
      </c>
      <c r="D5801" s="121">
        <v>5</v>
      </c>
      <c r="E5801" s="121">
        <v>5000</v>
      </c>
    </row>
    <row r="5802" spans="1:5" ht="15">
      <c r="A5802" s="120" t="s">
        <v>637</v>
      </c>
      <c r="B5802" s="121">
        <v>21</v>
      </c>
      <c r="C5802" s="121">
        <v>33</v>
      </c>
      <c r="D5802" s="121">
        <v>7</v>
      </c>
      <c r="E5802" s="121">
        <v>14000</v>
      </c>
    </row>
    <row r="5803" spans="1:5" ht="15">
      <c r="A5803" s="120" t="s">
        <v>637</v>
      </c>
      <c r="B5803" s="121">
        <v>21</v>
      </c>
      <c r="C5803" s="121">
        <v>34</v>
      </c>
      <c r="D5803" s="121">
        <v>2</v>
      </c>
      <c r="E5803" s="121">
        <v>16707</v>
      </c>
    </row>
    <row r="5804" spans="1:5" ht="15">
      <c r="A5804" s="120" t="s">
        <v>637</v>
      </c>
      <c r="B5804" s="121">
        <v>21</v>
      </c>
      <c r="C5804" s="121">
        <v>34</v>
      </c>
      <c r="D5804" s="121">
        <v>4</v>
      </c>
      <c r="E5804" s="121">
        <v>5794</v>
      </c>
    </row>
    <row r="5805" spans="1:5" ht="15">
      <c r="A5805" s="120" t="s">
        <v>637</v>
      </c>
      <c r="B5805" s="121">
        <v>24</v>
      </c>
      <c r="C5805" s="121">
        <v>27</v>
      </c>
      <c r="D5805" s="121">
        <v>2</v>
      </c>
      <c r="E5805" s="121">
        <v>236676</v>
      </c>
    </row>
    <row r="5806" spans="1:5" ht="15">
      <c r="A5806" s="120" t="s">
        <v>637</v>
      </c>
      <c r="B5806" s="121">
        <v>24</v>
      </c>
      <c r="C5806" s="121">
        <v>27</v>
      </c>
      <c r="D5806" s="121">
        <v>3</v>
      </c>
      <c r="E5806" s="121">
        <v>97846</v>
      </c>
    </row>
    <row r="5807" spans="1:5" ht="15">
      <c r="A5807" s="120" t="s">
        <v>637</v>
      </c>
      <c r="B5807" s="121">
        <v>24</v>
      </c>
      <c r="C5807" s="121">
        <v>27</v>
      </c>
      <c r="D5807" s="121">
        <v>4</v>
      </c>
      <c r="E5807" s="121">
        <v>137257</v>
      </c>
    </row>
    <row r="5808" spans="1:5" ht="15">
      <c r="A5808" s="120" t="s">
        <v>585</v>
      </c>
      <c r="B5808" s="121">
        <v>21</v>
      </c>
      <c r="C5808" s="121">
        <v>21</v>
      </c>
      <c r="D5808" s="121">
        <v>2</v>
      </c>
      <c r="E5808" s="121">
        <v>130835</v>
      </c>
    </row>
    <row r="5809" spans="1:5" ht="15">
      <c r="A5809" s="120" t="s">
        <v>585</v>
      </c>
      <c r="B5809" s="121">
        <v>21</v>
      </c>
      <c r="C5809" s="121">
        <v>21</v>
      </c>
      <c r="D5809" s="121">
        <v>3</v>
      </c>
      <c r="E5809" s="121">
        <v>52348</v>
      </c>
    </row>
    <row r="5810" spans="1:5" ht="15">
      <c r="A5810" s="120" t="s">
        <v>585</v>
      </c>
      <c r="B5810" s="121">
        <v>21</v>
      </c>
      <c r="C5810" s="121">
        <v>21</v>
      </c>
      <c r="D5810" s="121">
        <v>4</v>
      </c>
      <c r="E5810" s="121">
        <v>54664</v>
      </c>
    </row>
    <row r="5811" spans="1:5" ht="15">
      <c r="A5811" s="120" t="s">
        <v>585</v>
      </c>
      <c r="B5811" s="121">
        <v>21</v>
      </c>
      <c r="C5811" s="121">
        <v>21</v>
      </c>
      <c r="D5811" s="121">
        <v>5</v>
      </c>
      <c r="E5811" s="121">
        <v>1000</v>
      </c>
    </row>
    <row r="5812" spans="1:5" ht="15">
      <c r="A5812" s="120" t="s">
        <v>585</v>
      </c>
      <c r="B5812" s="121">
        <v>21</v>
      </c>
      <c r="C5812" s="121">
        <v>21</v>
      </c>
      <c r="D5812" s="121">
        <v>7</v>
      </c>
      <c r="E5812" s="121">
        <v>9250</v>
      </c>
    </row>
    <row r="5813" spans="1:5" ht="15">
      <c r="A5813" s="120" t="s">
        <v>585</v>
      </c>
      <c r="B5813" s="121">
        <v>21</v>
      </c>
      <c r="C5813" s="121">
        <v>26</v>
      </c>
      <c r="D5813" s="121">
        <v>2</v>
      </c>
      <c r="E5813" s="121">
        <v>97622</v>
      </c>
    </row>
    <row r="5814" spans="1:5" ht="15">
      <c r="A5814" s="120" t="s">
        <v>585</v>
      </c>
      <c r="B5814" s="121">
        <v>21</v>
      </c>
      <c r="C5814" s="121">
        <v>26</v>
      </c>
      <c r="D5814" s="121">
        <v>4</v>
      </c>
      <c r="E5814" s="121">
        <v>32601</v>
      </c>
    </row>
    <row r="5815" spans="1:5" ht="15">
      <c r="A5815" s="120" t="s">
        <v>585</v>
      </c>
      <c r="B5815" s="121">
        <v>21</v>
      </c>
      <c r="C5815" s="121">
        <v>26</v>
      </c>
      <c r="D5815" s="121">
        <v>5</v>
      </c>
      <c r="E5815" s="121">
        <v>9000</v>
      </c>
    </row>
    <row r="5816" spans="1:5" ht="15">
      <c r="A5816" s="120" t="s">
        <v>585</v>
      </c>
      <c r="B5816" s="121">
        <v>21</v>
      </c>
      <c r="C5816" s="121">
        <v>26</v>
      </c>
      <c r="D5816" s="121">
        <v>7</v>
      </c>
      <c r="E5816" s="121">
        <v>182000</v>
      </c>
    </row>
    <row r="5817" spans="1:5" ht="15">
      <c r="A5817" s="120" t="s">
        <v>585</v>
      </c>
      <c r="B5817" s="121">
        <v>21</v>
      </c>
      <c r="C5817" s="121">
        <v>27</v>
      </c>
      <c r="D5817" s="121">
        <v>2</v>
      </c>
      <c r="E5817" s="121">
        <v>789757</v>
      </c>
    </row>
    <row r="5818" spans="1:5" ht="15">
      <c r="A5818" s="120" t="s">
        <v>585</v>
      </c>
      <c r="B5818" s="121">
        <v>21</v>
      </c>
      <c r="C5818" s="121">
        <v>27</v>
      </c>
      <c r="D5818" s="121">
        <v>3</v>
      </c>
      <c r="E5818" s="121">
        <v>816491</v>
      </c>
    </row>
    <row r="5819" spans="1:5" ht="15">
      <c r="A5819" s="120" t="s">
        <v>585</v>
      </c>
      <c r="B5819" s="121">
        <v>21</v>
      </c>
      <c r="C5819" s="121">
        <v>27</v>
      </c>
      <c r="D5819" s="121">
        <v>4</v>
      </c>
      <c r="E5819" s="121">
        <v>728375</v>
      </c>
    </row>
    <row r="5820" spans="1:5" ht="15">
      <c r="A5820" s="120" t="s">
        <v>585</v>
      </c>
      <c r="B5820" s="121">
        <v>21</v>
      </c>
      <c r="C5820" s="121">
        <v>27</v>
      </c>
      <c r="D5820" s="121">
        <v>7</v>
      </c>
      <c r="E5820" s="121">
        <v>500000</v>
      </c>
    </row>
    <row r="5821" spans="1:5" ht="15">
      <c r="A5821" s="120" t="s">
        <v>585</v>
      </c>
      <c r="B5821" s="121">
        <v>21</v>
      </c>
      <c r="C5821" s="121">
        <v>31</v>
      </c>
      <c r="D5821" s="121">
        <v>7</v>
      </c>
      <c r="E5821" s="121">
        <v>2100</v>
      </c>
    </row>
    <row r="5822" spans="1:5" ht="15">
      <c r="A5822" s="120" t="s">
        <v>585</v>
      </c>
      <c r="B5822" s="121">
        <v>24</v>
      </c>
      <c r="C5822" s="121">
        <v>21</v>
      </c>
      <c r="D5822" s="121">
        <v>2</v>
      </c>
      <c r="E5822" s="121">
        <v>17445</v>
      </c>
    </row>
    <row r="5823" spans="1:5" ht="15">
      <c r="A5823" s="120" t="s">
        <v>585</v>
      </c>
      <c r="B5823" s="121">
        <v>24</v>
      </c>
      <c r="C5823" s="121">
        <v>21</v>
      </c>
      <c r="D5823" s="121">
        <v>4</v>
      </c>
      <c r="E5823" s="121">
        <v>4339</v>
      </c>
    </row>
    <row r="5824" spans="1:5" ht="15">
      <c r="A5824" s="120" t="s">
        <v>585</v>
      </c>
      <c r="B5824" s="121">
        <v>24</v>
      </c>
      <c r="C5824" s="121">
        <v>26</v>
      </c>
      <c r="D5824" s="121">
        <v>7</v>
      </c>
      <c r="E5824" s="121">
        <v>220000</v>
      </c>
    </row>
    <row r="5825" spans="1:5" ht="15">
      <c r="A5825" s="120" t="s">
        <v>585</v>
      </c>
      <c r="B5825" s="121">
        <v>24</v>
      </c>
      <c r="C5825" s="121">
        <v>27</v>
      </c>
      <c r="D5825" s="121">
        <v>2</v>
      </c>
      <c r="E5825" s="121">
        <v>88701</v>
      </c>
    </row>
    <row r="5826" spans="1:5" ht="15">
      <c r="A5826" s="120" t="s">
        <v>585</v>
      </c>
      <c r="B5826" s="121">
        <v>24</v>
      </c>
      <c r="C5826" s="121">
        <v>27</v>
      </c>
      <c r="D5826" s="121">
        <v>4</v>
      </c>
      <c r="E5826" s="121">
        <v>31694</v>
      </c>
    </row>
    <row r="5827" spans="1:5" ht="15">
      <c r="A5827" s="120" t="s">
        <v>585</v>
      </c>
      <c r="B5827" s="121">
        <v>24</v>
      </c>
      <c r="C5827" s="121">
        <v>31</v>
      </c>
      <c r="D5827" s="121">
        <v>7</v>
      </c>
      <c r="E5827" s="121">
        <v>1000</v>
      </c>
    </row>
    <row r="5828" spans="1:5" ht="15">
      <c r="A5828" s="120" t="s">
        <v>639</v>
      </c>
      <c r="B5828" s="121">
        <v>21</v>
      </c>
      <c r="C5828" s="121">
        <v>21</v>
      </c>
      <c r="D5828" s="121">
        <v>2</v>
      </c>
      <c r="E5828" s="121">
        <v>828967</v>
      </c>
    </row>
    <row r="5829" spans="1:5" ht="15">
      <c r="A5829" s="120" t="s">
        <v>639</v>
      </c>
      <c r="B5829" s="121">
        <v>21</v>
      </c>
      <c r="C5829" s="121">
        <v>21</v>
      </c>
      <c r="D5829" s="121">
        <v>3</v>
      </c>
      <c r="E5829" s="121">
        <v>343665</v>
      </c>
    </row>
    <row r="5830" spans="1:5" ht="15">
      <c r="A5830" s="120" t="s">
        <v>639</v>
      </c>
      <c r="B5830" s="121">
        <v>21</v>
      </c>
      <c r="C5830" s="121">
        <v>21</v>
      </c>
      <c r="D5830" s="121">
        <v>4</v>
      </c>
      <c r="E5830" s="121">
        <v>363506</v>
      </c>
    </row>
    <row r="5831" spans="1:5" ht="15">
      <c r="A5831" s="120" t="s">
        <v>639</v>
      </c>
      <c r="B5831" s="121">
        <v>21</v>
      </c>
      <c r="C5831" s="121">
        <v>21</v>
      </c>
      <c r="D5831" s="121">
        <v>5</v>
      </c>
      <c r="E5831" s="121">
        <v>17501</v>
      </c>
    </row>
    <row r="5832" spans="1:5" ht="15">
      <c r="A5832" s="120" t="s">
        <v>639</v>
      </c>
      <c r="B5832" s="121">
        <v>21</v>
      </c>
      <c r="C5832" s="121">
        <v>21</v>
      </c>
      <c r="D5832" s="121">
        <v>7</v>
      </c>
      <c r="E5832" s="121">
        <v>32500</v>
      </c>
    </row>
    <row r="5833" spans="1:5" ht="15">
      <c r="A5833" s="120" t="s">
        <v>639</v>
      </c>
      <c r="B5833" s="121">
        <v>21</v>
      </c>
      <c r="C5833" s="121">
        <v>21</v>
      </c>
      <c r="D5833" s="121">
        <v>8</v>
      </c>
      <c r="E5833" s="121">
        <v>4400</v>
      </c>
    </row>
    <row r="5834" spans="1:5" ht="15">
      <c r="A5834" s="120" t="s">
        <v>639</v>
      </c>
      <c r="B5834" s="121">
        <v>21</v>
      </c>
      <c r="C5834" s="121">
        <v>23</v>
      </c>
      <c r="D5834" s="121">
        <v>2</v>
      </c>
      <c r="E5834" s="121">
        <v>193382</v>
      </c>
    </row>
    <row r="5835" spans="1:5" ht="15">
      <c r="A5835" s="120" t="s">
        <v>639</v>
      </c>
      <c r="B5835" s="121">
        <v>21</v>
      </c>
      <c r="C5835" s="121">
        <v>23</v>
      </c>
      <c r="D5835" s="121">
        <v>3</v>
      </c>
      <c r="E5835" s="121">
        <v>70195</v>
      </c>
    </row>
    <row r="5836" spans="1:5" ht="15">
      <c r="A5836" s="120" t="s">
        <v>639</v>
      </c>
      <c r="B5836" s="121">
        <v>21</v>
      </c>
      <c r="C5836" s="121">
        <v>23</v>
      </c>
      <c r="D5836" s="121">
        <v>4</v>
      </c>
      <c r="E5836" s="121">
        <v>82946</v>
      </c>
    </row>
    <row r="5837" spans="1:5" ht="15">
      <c r="A5837" s="120" t="s">
        <v>639</v>
      </c>
      <c r="B5837" s="121">
        <v>21</v>
      </c>
      <c r="C5837" s="121">
        <v>23</v>
      </c>
      <c r="D5837" s="121">
        <v>5</v>
      </c>
      <c r="E5837" s="121">
        <v>3500</v>
      </c>
    </row>
    <row r="5838" spans="1:5" ht="15">
      <c r="A5838" s="120" t="s">
        <v>639</v>
      </c>
      <c r="B5838" s="121">
        <v>21</v>
      </c>
      <c r="C5838" s="121">
        <v>23</v>
      </c>
      <c r="D5838" s="121">
        <v>7</v>
      </c>
      <c r="E5838" s="121">
        <v>1000</v>
      </c>
    </row>
    <row r="5839" spans="1:5" ht="15">
      <c r="A5839" s="120" t="s">
        <v>639</v>
      </c>
      <c r="B5839" s="121">
        <v>21</v>
      </c>
      <c r="C5839" s="121">
        <v>23</v>
      </c>
      <c r="D5839" s="121">
        <v>8</v>
      </c>
      <c r="E5839" s="121">
        <v>3300</v>
      </c>
    </row>
    <row r="5840" spans="1:5" ht="15">
      <c r="A5840" s="120" t="s">
        <v>639</v>
      </c>
      <c r="B5840" s="121">
        <v>21</v>
      </c>
      <c r="C5840" s="121">
        <v>25</v>
      </c>
      <c r="D5840" s="121">
        <v>3</v>
      </c>
      <c r="E5840" s="121">
        <v>62650</v>
      </c>
    </row>
    <row r="5841" spans="1:5" ht="15">
      <c r="A5841" s="120" t="s">
        <v>639</v>
      </c>
      <c r="B5841" s="121">
        <v>21</v>
      </c>
      <c r="C5841" s="121">
        <v>25</v>
      </c>
      <c r="D5841" s="121">
        <v>4</v>
      </c>
      <c r="E5841" s="121">
        <v>27681</v>
      </c>
    </row>
    <row r="5842" spans="1:5" ht="15">
      <c r="A5842" s="120" t="s">
        <v>639</v>
      </c>
      <c r="B5842" s="121">
        <v>21</v>
      </c>
      <c r="C5842" s="121">
        <v>26</v>
      </c>
      <c r="D5842" s="121">
        <v>2</v>
      </c>
      <c r="E5842" s="121">
        <v>5246976</v>
      </c>
    </row>
    <row r="5843" spans="1:5" ht="15">
      <c r="A5843" s="120" t="s">
        <v>639</v>
      </c>
      <c r="B5843" s="121">
        <v>21</v>
      </c>
      <c r="C5843" s="121">
        <v>26</v>
      </c>
      <c r="D5843" s="121">
        <v>3</v>
      </c>
      <c r="E5843" s="121">
        <v>1792598</v>
      </c>
    </row>
    <row r="5844" spans="1:5" ht="15">
      <c r="A5844" s="120" t="s">
        <v>639</v>
      </c>
      <c r="B5844" s="121">
        <v>21</v>
      </c>
      <c r="C5844" s="121">
        <v>26</v>
      </c>
      <c r="D5844" s="121">
        <v>4</v>
      </c>
      <c r="E5844" s="121">
        <v>2388160</v>
      </c>
    </row>
    <row r="5845" spans="1:5" ht="15">
      <c r="A5845" s="120" t="s">
        <v>639</v>
      </c>
      <c r="B5845" s="121">
        <v>21</v>
      </c>
      <c r="C5845" s="121">
        <v>26</v>
      </c>
      <c r="D5845" s="121">
        <v>5</v>
      </c>
      <c r="E5845" s="121">
        <v>68000</v>
      </c>
    </row>
    <row r="5846" spans="1:5" ht="15">
      <c r="A5846" s="120" t="s">
        <v>639</v>
      </c>
      <c r="B5846" s="121">
        <v>21</v>
      </c>
      <c r="C5846" s="121">
        <v>26</v>
      </c>
      <c r="D5846" s="121">
        <v>7</v>
      </c>
      <c r="E5846" s="121">
        <v>1915000</v>
      </c>
    </row>
    <row r="5847" spans="1:5" ht="15">
      <c r="A5847" s="120" t="s">
        <v>639</v>
      </c>
      <c r="B5847" s="121">
        <v>21</v>
      </c>
      <c r="C5847" s="121">
        <v>26</v>
      </c>
      <c r="D5847" s="121">
        <v>8</v>
      </c>
      <c r="E5847" s="121">
        <v>13500</v>
      </c>
    </row>
    <row r="5848" spans="1:5" ht="15">
      <c r="A5848" s="120" t="s">
        <v>639</v>
      </c>
      <c r="B5848" s="121">
        <v>21</v>
      </c>
      <c r="C5848" s="121">
        <v>27</v>
      </c>
      <c r="D5848" s="121">
        <v>0</v>
      </c>
      <c r="E5848" s="121">
        <v>7000</v>
      </c>
    </row>
    <row r="5849" spans="1:5" ht="15">
      <c r="A5849" s="120" t="s">
        <v>639</v>
      </c>
      <c r="B5849" s="121">
        <v>21</v>
      </c>
      <c r="C5849" s="121">
        <v>27</v>
      </c>
      <c r="D5849" s="121">
        <v>2</v>
      </c>
      <c r="E5849" s="121">
        <v>11016082</v>
      </c>
    </row>
    <row r="5850" spans="1:5" ht="15">
      <c r="A5850" s="120" t="s">
        <v>639</v>
      </c>
      <c r="B5850" s="121">
        <v>21</v>
      </c>
      <c r="C5850" s="121">
        <v>27</v>
      </c>
      <c r="D5850" s="121">
        <v>3</v>
      </c>
      <c r="E5850" s="121">
        <v>8286228</v>
      </c>
    </row>
    <row r="5851" spans="1:5" ht="15">
      <c r="A5851" s="120" t="s">
        <v>639</v>
      </c>
      <c r="B5851" s="121">
        <v>21</v>
      </c>
      <c r="C5851" s="121">
        <v>27</v>
      </c>
      <c r="D5851" s="121">
        <v>4</v>
      </c>
      <c r="E5851" s="121">
        <v>8245637</v>
      </c>
    </row>
    <row r="5852" spans="1:5" ht="15">
      <c r="A5852" s="120" t="s">
        <v>639</v>
      </c>
      <c r="B5852" s="121">
        <v>21</v>
      </c>
      <c r="C5852" s="121">
        <v>27</v>
      </c>
      <c r="D5852" s="121">
        <v>5</v>
      </c>
      <c r="E5852" s="121">
        <v>175000</v>
      </c>
    </row>
    <row r="5853" spans="1:5" ht="15">
      <c r="A5853" s="120" t="s">
        <v>639</v>
      </c>
      <c r="B5853" s="121">
        <v>21</v>
      </c>
      <c r="C5853" s="121">
        <v>27</v>
      </c>
      <c r="D5853" s="121">
        <v>7</v>
      </c>
      <c r="E5853" s="121">
        <v>327100</v>
      </c>
    </row>
    <row r="5854" spans="1:5" ht="15">
      <c r="A5854" s="120" t="s">
        <v>639</v>
      </c>
      <c r="B5854" s="121">
        <v>21</v>
      </c>
      <c r="C5854" s="121">
        <v>27</v>
      </c>
      <c r="D5854" s="121">
        <v>8</v>
      </c>
      <c r="E5854" s="121">
        <v>16500</v>
      </c>
    </row>
    <row r="5855" spans="1:5" ht="15">
      <c r="A5855" s="120" t="s">
        <v>639</v>
      </c>
      <c r="B5855" s="121">
        <v>21</v>
      </c>
      <c r="C5855" s="121">
        <v>31</v>
      </c>
      <c r="D5855" s="121">
        <v>2</v>
      </c>
      <c r="E5855" s="121">
        <v>124352</v>
      </c>
    </row>
    <row r="5856" spans="1:5" ht="15">
      <c r="A5856" s="120" t="s">
        <v>639</v>
      </c>
      <c r="B5856" s="121">
        <v>21</v>
      </c>
      <c r="C5856" s="121">
        <v>31</v>
      </c>
      <c r="D5856" s="121">
        <v>4</v>
      </c>
      <c r="E5856" s="121">
        <v>37488</v>
      </c>
    </row>
    <row r="5857" spans="1:5" ht="15">
      <c r="A5857" s="120" t="s">
        <v>639</v>
      </c>
      <c r="B5857" s="121">
        <v>21</v>
      </c>
      <c r="C5857" s="121">
        <v>31</v>
      </c>
      <c r="D5857" s="121">
        <v>7</v>
      </c>
      <c r="E5857" s="121">
        <v>9000</v>
      </c>
    </row>
    <row r="5858" spans="1:5" ht="15">
      <c r="A5858" s="120" t="s">
        <v>639</v>
      </c>
      <c r="B5858" s="121">
        <v>21</v>
      </c>
      <c r="C5858" s="121">
        <v>31</v>
      </c>
      <c r="D5858" s="121">
        <v>8</v>
      </c>
      <c r="E5858" s="121">
        <v>2000</v>
      </c>
    </row>
    <row r="5859" spans="1:5" ht="15">
      <c r="A5859" s="120" t="s">
        <v>639</v>
      </c>
      <c r="B5859" s="121">
        <v>21</v>
      </c>
      <c r="C5859" s="121">
        <v>32</v>
      </c>
      <c r="D5859" s="121">
        <v>5</v>
      </c>
      <c r="E5859" s="121">
        <v>10000</v>
      </c>
    </row>
    <row r="5860" spans="1:5" ht="15">
      <c r="A5860" s="120" t="s">
        <v>639</v>
      </c>
      <c r="B5860" s="121">
        <v>21</v>
      </c>
      <c r="C5860" s="121">
        <v>33</v>
      </c>
      <c r="D5860" s="121">
        <v>5</v>
      </c>
      <c r="E5860" s="121">
        <v>43000</v>
      </c>
    </row>
    <row r="5861" spans="1:5" ht="15">
      <c r="A5861" s="120" t="s">
        <v>639</v>
      </c>
      <c r="B5861" s="121">
        <v>21</v>
      </c>
      <c r="C5861" s="121">
        <v>34</v>
      </c>
      <c r="D5861" s="121">
        <v>2</v>
      </c>
      <c r="E5861" s="121">
        <v>221210</v>
      </c>
    </row>
    <row r="5862" spans="1:5" ht="15">
      <c r="A5862" s="120" t="s">
        <v>639</v>
      </c>
      <c r="B5862" s="121">
        <v>21</v>
      </c>
      <c r="C5862" s="121">
        <v>34</v>
      </c>
      <c r="D5862" s="121">
        <v>4</v>
      </c>
      <c r="E5862" s="121">
        <v>36431</v>
      </c>
    </row>
    <row r="5863" spans="1:5" ht="15">
      <c r="A5863" s="120" t="s">
        <v>639</v>
      </c>
      <c r="B5863" s="121">
        <v>24</v>
      </c>
      <c r="C5863" s="121">
        <v>26</v>
      </c>
      <c r="D5863" s="121">
        <v>2</v>
      </c>
      <c r="E5863" s="121">
        <v>169687</v>
      </c>
    </row>
    <row r="5864" spans="1:5" ht="15">
      <c r="A5864" s="120" t="s">
        <v>639</v>
      </c>
      <c r="B5864" s="121">
        <v>24</v>
      </c>
      <c r="C5864" s="121">
        <v>26</v>
      </c>
      <c r="D5864" s="121">
        <v>4</v>
      </c>
      <c r="E5864" s="121">
        <v>55444</v>
      </c>
    </row>
    <row r="5865" spans="1:5" ht="15">
      <c r="A5865" s="120" t="s">
        <v>639</v>
      </c>
      <c r="B5865" s="121">
        <v>24</v>
      </c>
      <c r="C5865" s="121">
        <v>27</v>
      </c>
      <c r="D5865" s="121">
        <v>2</v>
      </c>
      <c r="E5865" s="121">
        <v>1015479</v>
      </c>
    </row>
    <row r="5866" spans="1:5" ht="15">
      <c r="A5866" s="120" t="s">
        <v>639</v>
      </c>
      <c r="B5866" s="121">
        <v>24</v>
      </c>
      <c r="C5866" s="121">
        <v>27</v>
      </c>
      <c r="D5866" s="121">
        <v>3</v>
      </c>
      <c r="E5866" s="121">
        <v>2264016</v>
      </c>
    </row>
    <row r="5867" spans="1:5" ht="15">
      <c r="A5867" s="120" t="s">
        <v>639</v>
      </c>
      <c r="B5867" s="121">
        <v>24</v>
      </c>
      <c r="C5867" s="121">
        <v>27</v>
      </c>
      <c r="D5867" s="121">
        <v>4</v>
      </c>
      <c r="E5867" s="121">
        <v>1580632</v>
      </c>
    </row>
    <row r="5868" spans="1:5" ht="15">
      <c r="A5868" s="120" t="s">
        <v>639</v>
      </c>
      <c r="B5868" s="121">
        <v>24</v>
      </c>
      <c r="C5868" s="121">
        <v>27</v>
      </c>
      <c r="D5868" s="121">
        <v>5</v>
      </c>
      <c r="E5868" s="121">
        <v>1500</v>
      </c>
    </row>
    <row r="5869" spans="1:5" ht="15">
      <c r="A5869" s="120" t="s">
        <v>639</v>
      </c>
      <c r="B5869" s="121">
        <v>24</v>
      </c>
      <c r="C5869" s="121">
        <v>31</v>
      </c>
      <c r="D5869" s="121">
        <v>2</v>
      </c>
      <c r="E5869" s="121">
        <v>16289</v>
      </c>
    </row>
    <row r="5870" spans="1:5" ht="15">
      <c r="A5870" s="120" t="s">
        <v>639</v>
      </c>
      <c r="B5870" s="121">
        <v>24</v>
      </c>
      <c r="C5870" s="121">
        <v>31</v>
      </c>
      <c r="D5870" s="121">
        <v>4</v>
      </c>
      <c r="E5870" s="121">
        <v>2687</v>
      </c>
    </row>
    <row r="5871" spans="1:5" ht="15">
      <c r="A5871" s="120" t="s">
        <v>639</v>
      </c>
      <c r="B5871" s="121">
        <v>24</v>
      </c>
      <c r="C5871" s="121">
        <v>31</v>
      </c>
      <c r="D5871" s="121">
        <v>5</v>
      </c>
      <c r="E5871" s="121">
        <v>47535</v>
      </c>
    </row>
    <row r="5872" spans="1:5" ht="15">
      <c r="A5872" s="120" t="s">
        <v>639</v>
      </c>
      <c r="B5872" s="121">
        <v>24</v>
      </c>
      <c r="C5872" s="121">
        <v>31</v>
      </c>
      <c r="D5872" s="121">
        <v>7</v>
      </c>
      <c r="E5872" s="121">
        <v>865</v>
      </c>
    </row>
    <row r="5873" spans="1:5" ht="15">
      <c r="A5873" s="120" t="s">
        <v>639</v>
      </c>
      <c r="B5873" s="121">
        <v>24</v>
      </c>
      <c r="C5873" s="121">
        <v>31</v>
      </c>
      <c r="D5873" s="121">
        <v>8</v>
      </c>
      <c r="E5873" s="121">
        <v>3500</v>
      </c>
    </row>
    <row r="5874" spans="1:5" ht="15">
      <c r="A5874" s="120" t="s">
        <v>589</v>
      </c>
      <c r="B5874" s="121">
        <v>21</v>
      </c>
      <c r="C5874" s="121">
        <v>27</v>
      </c>
      <c r="D5874" s="121">
        <v>7</v>
      </c>
      <c r="E5874" s="121">
        <v>1009116</v>
      </c>
    </row>
    <row r="5875" spans="1:5" ht="15">
      <c r="A5875" s="120" t="s">
        <v>311</v>
      </c>
      <c r="B5875" s="121">
        <v>24</v>
      </c>
      <c r="C5875" s="121">
        <v>26</v>
      </c>
      <c r="D5875" s="121">
        <v>2</v>
      </c>
      <c r="E5875" s="121">
        <v>139123</v>
      </c>
    </row>
    <row r="5876" spans="1:5" ht="15">
      <c r="A5876" s="120" t="s">
        <v>311</v>
      </c>
      <c r="B5876" s="121">
        <v>24</v>
      </c>
      <c r="C5876" s="121">
        <v>26</v>
      </c>
      <c r="D5876" s="121">
        <v>4</v>
      </c>
      <c r="E5876" s="121">
        <v>38209</v>
      </c>
    </row>
    <row r="5877" spans="1:5" ht="15">
      <c r="A5877" s="120" t="s">
        <v>311</v>
      </c>
      <c r="B5877" s="121">
        <v>24</v>
      </c>
      <c r="C5877" s="121">
        <v>27</v>
      </c>
      <c r="D5877" s="121">
        <v>2</v>
      </c>
      <c r="E5877" s="121">
        <v>803146</v>
      </c>
    </row>
    <row r="5878" spans="1:5" ht="15">
      <c r="A5878" s="120" t="s">
        <v>311</v>
      </c>
      <c r="B5878" s="121">
        <v>24</v>
      </c>
      <c r="C5878" s="121">
        <v>27</v>
      </c>
      <c r="D5878" s="121">
        <v>4</v>
      </c>
      <c r="E5878" s="121">
        <v>227943</v>
      </c>
    </row>
    <row r="5879" spans="1:5" ht="15">
      <c r="A5879" s="120" t="s">
        <v>311</v>
      </c>
      <c r="B5879" s="121">
        <v>24</v>
      </c>
      <c r="C5879" s="121">
        <v>31</v>
      </c>
      <c r="D5879" s="121">
        <v>2</v>
      </c>
      <c r="E5879" s="121">
        <v>23667</v>
      </c>
    </row>
    <row r="5880" spans="1:5" ht="15">
      <c r="A5880" s="120" t="s">
        <v>311</v>
      </c>
      <c r="B5880" s="121">
        <v>24</v>
      </c>
      <c r="C5880" s="121">
        <v>31</v>
      </c>
      <c r="D5880" s="121">
        <v>4</v>
      </c>
      <c r="E5880" s="121">
        <v>7032</v>
      </c>
    </row>
    <row r="5881" spans="1:5" ht="15">
      <c r="A5881" s="120" t="s">
        <v>241</v>
      </c>
      <c r="B5881" s="121">
        <v>21</v>
      </c>
      <c r="C5881" s="121">
        <v>21</v>
      </c>
      <c r="D5881" s="121">
        <v>0</v>
      </c>
      <c r="E5881" s="121">
        <v>450</v>
      </c>
    </row>
    <row r="5882" spans="1:5" ht="15">
      <c r="A5882" s="120" t="s">
        <v>241</v>
      </c>
      <c r="B5882" s="121">
        <v>21</v>
      </c>
      <c r="C5882" s="121">
        <v>21</v>
      </c>
      <c r="D5882" s="121">
        <v>2</v>
      </c>
      <c r="E5882" s="121">
        <v>733436</v>
      </c>
    </row>
    <row r="5883" spans="1:5" ht="15">
      <c r="A5883" s="120" t="s">
        <v>241</v>
      </c>
      <c r="B5883" s="121">
        <v>21</v>
      </c>
      <c r="C5883" s="121">
        <v>21</v>
      </c>
      <c r="D5883" s="121">
        <v>3</v>
      </c>
      <c r="E5883" s="121">
        <v>942309</v>
      </c>
    </row>
    <row r="5884" spans="1:5" ht="15">
      <c r="A5884" s="120" t="s">
        <v>241</v>
      </c>
      <c r="B5884" s="121">
        <v>21</v>
      </c>
      <c r="C5884" s="121">
        <v>21</v>
      </c>
      <c r="D5884" s="121">
        <v>4</v>
      </c>
      <c r="E5884" s="121">
        <v>379446</v>
      </c>
    </row>
    <row r="5885" spans="1:5" ht="15">
      <c r="A5885" s="120" t="s">
        <v>241</v>
      </c>
      <c r="B5885" s="121">
        <v>21</v>
      </c>
      <c r="C5885" s="121">
        <v>21</v>
      </c>
      <c r="D5885" s="121">
        <v>5</v>
      </c>
      <c r="E5885" s="121">
        <v>13500</v>
      </c>
    </row>
    <row r="5886" spans="1:5" ht="15">
      <c r="A5886" s="120" t="s">
        <v>241</v>
      </c>
      <c r="B5886" s="121">
        <v>21</v>
      </c>
      <c r="C5886" s="121">
        <v>21</v>
      </c>
      <c r="D5886" s="121">
        <v>7</v>
      </c>
      <c r="E5886" s="121">
        <v>9300</v>
      </c>
    </row>
    <row r="5887" spans="1:5" ht="15">
      <c r="A5887" s="120" t="s">
        <v>241</v>
      </c>
      <c r="B5887" s="121">
        <v>21</v>
      </c>
      <c r="C5887" s="121">
        <v>21</v>
      </c>
      <c r="D5887" s="121">
        <v>8</v>
      </c>
      <c r="E5887" s="121">
        <v>34500</v>
      </c>
    </row>
    <row r="5888" spans="1:5" ht="15">
      <c r="A5888" s="120" t="s">
        <v>241</v>
      </c>
      <c r="B5888" s="121">
        <v>21</v>
      </c>
      <c r="C5888" s="121">
        <v>23</v>
      </c>
      <c r="D5888" s="121">
        <v>2</v>
      </c>
      <c r="E5888" s="121">
        <v>211526</v>
      </c>
    </row>
    <row r="5889" spans="1:5" ht="15">
      <c r="A5889" s="120" t="s">
        <v>241</v>
      </c>
      <c r="B5889" s="121">
        <v>21</v>
      </c>
      <c r="C5889" s="121">
        <v>23</v>
      </c>
      <c r="D5889" s="121">
        <v>3</v>
      </c>
      <c r="E5889" s="121">
        <v>75400</v>
      </c>
    </row>
    <row r="5890" spans="1:5" ht="15">
      <c r="A5890" s="120" t="s">
        <v>241</v>
      </c>
      <c r="B5890" s="121">
        <v>21</v>
      </c>
      <c r="C5890" s="121">
        <v>23</v>
      </c>
      <c r="D5890" s="121">
        <v>4</v>
      </c>
      <c r="E5890" s="121">
        <v>74135</v>
      </c>
    </row>
    <row r="5891" spans="1:5" ht="15">
      <c r="A5891" s="120" t="s">
        <v>241</v>
      </c>
      <c r="B5891" s="121">
        <v>21</v>
      </c>
      <c r="C5891" s="121">
        <v>24</v>
      </c>
      <c r="D5891" s="121">
        <v>2</v>
      </c>
      <c r="E5891" s="121">
        <v>369233</v>
      </c>
    </row>
    <row r="5892" spans="1:5" ht="15">
      <c r="A5892" s="120" t="s">
        <v>241</v>
      </c>
      <c r="B5892" s="121">
        <v>21</v>
      </c>
      <c r="C5892" s="121">
        <v>24</v>
      </c>
      <c r="D5892" s="121">
        <v>4</v>
      </c>
      <c r="E5892" s="121">
        <v>121224</v>
      </c>
    </row>
    <row r="5893" spans="1:5" ht="15">
      <c r="A5893" s="120" t="s">
        <v>241</v>
      </c>
      <c r="B5893" s="121">
        <v>21</v>
      </c>
      <c r="C5893" s="121">
        <v>26</v>
      </c>
      <c r="D5893" s="121">
        <v>2</v>
      </c>
      <c r="E5893" s="121">
        <v>12904390</v>
      </c>
    </row>
    <row r="5894" spans="1:5" ht="15">
      <c r="A5894" s="120" t="s">
        <v>241</v>
      </c>
      <c r="B5894" s="121">
        <v>21</v>
      </c>
      <c r="C5894" s="121">
        <v>26</v>
      </c>
      <c r="D5894" s="121">
        <v>3</v>
      </c>
      <c r="E5894" s="121">
        <v>355227</v>
      </c>
    </row>
    <row r="5895" spans="1:5" ht="15">
      <c r="A5895" s="120" t="s">
        <v>241</v>
      </c>
      <c r="B5895" s="121">
        <v>21</v>
      </c>
      <c r="C5895" s="121">
        <v>26</v>
      </c>
      <c r="D5895" s="121">
        <v>4</v>
      </c>
      <c r="E5895" s="121">
        <v>3874325</v>
      </c>
    </row>
    <row r="5896" spans="1:5" ht="15">
      <c r="A5896" s="120" t="s">
        <v>241</v>
      </c>
      <c r="B5896" s="121">
        <v>21</v>
      </c>
      <c r="C5896" s="121">
        <v>26</v>
      </c>
      <c r="D5896" s="121">
        <v>5</v>
      </c>
      <c r="E5896" s="121">
        <v>74000</v>
      </c>
    </row>
    <row r="5897" spans="1:5" ht="15">
      <c r="A5897" s="120" t="s">
        <v>241</v>
      </c>
      <c r="B5897" s="121">
        <v>21</v>
      </c>
      <c r="C5897" s="121">
        <v>26</v>
      </c>
      <c r="D5897" s="121">
        <v>7</v>
      </c>
      <c r="E5897" s="121">
        <v>1184575</v>
      </c>
    </row>
    <row r="5898" spans="1:5" ht="15">
      <c r="A5898" s="120" t="s">
        <v>241</v>
      </c>
      <c r="B5898" s="121">
        <v>21</v>
      </c>
      <c r="C5898" s="121">
        <v>26</v>
      </c>
      <c r="D5898" s="121">
        <v>8</v>
      </c>
      <c r="E5898" s="121">
        <v>8000</v>
      </c>
    </row>
    <row r="5899" spans="1:5" ht="15">
      <c r="A5899" s="120" t="s">
        <v>241</v>
      </c>
      <c r="B5899" s="121">
        <v>21</v>
      </c>
      <c r="C5899" s="121">
        <v>27</v>
      </c>
      <c r="D5899" s="121">
        <v>0</v>
      </c>
      <c r="E5899" s="121">
        <v>178010</v>
      </c>
    </row>
    <row r="5900" spans="1:5" ht="15">
      <c r="A5900" s="120" t="s">
        <v>241</v>
      </c>
      <c r="B5900" s="121">
        <v>21</v>
      </c>
      <c r="C5900" s="121">
        <v>27</v>
      </c>
      <c r="D5900" s="121">
        <v>2</v>
      </c>
      <c r="E5900" s="121">
        <v>23817156</v>
      </c>
    </row>
    <row r="5901" spans="1:5" ht="15">
      <c r="A5901" s="120" t="s">
        <v>241</v>
      </c>
      <c r="B5901" s="121">
        <v>21</v>
      </c>
      <c r="C5901" s="121">
        <v>27</v>
      </c>
      <c r="D5901" s="121">
        <v>3</v>
      </c>
      <c r="E5901" s="121">
        <v>17327201</v>
      </c>
    </row>
    <row r="5902" spans="1:5" ht="15">
      <c r="A5902" s="120" t="s">
        <v>241</v>
      </c>
      <c r="B5902" s="121">
        <v>21</v>
      </c>
      <c r="C5902" s="121">
        <v>27</v>
      </c>
      <c r="D5902" s="121">
        <v>4</v>
      </c>
      <c r="E5902" s="121">
        <v>17032692</v>
      </c>
    </row>
    <row r="5903" spans="1:5" ht="15">
      <c r="A5903" s="120" t="s">
        <v>241</v>
      </c>
      <c r="B5903" s="121">
        <v>21</v>
      </c>
      <c r="C5903" s="121">
        <v>27</v>
      </c>
      <c r="D5903" s="121">
        <v>5</v>
      </c>
      <c r="E5903" s="121">
        <v>189900</v>
      </c>
    </row>
    <row r="5904" spans="1:5" ht="15">
      <c r="A5904" s="120" t="s">
        <v>241</v>
      </c>
      <c r="B5904" s="121">
        <v>21</v>
      </c>
      <c r="C5904" s="121">
        <v>27</v>
      </c>
      <c r="D5904" s="121">
        <v>7</v>
      </c>
      <c r="E5904" s="121">
        <v>12782670</v>
      </c>
    </row>
    <row r="5905" spans="1:5" ht="15">
      <c r="A5905" s="120" t="s">
        <v>241</v>
      </c>
      <c r="B5905" s="121">
        <v>21</v>
      </c>
      <c r="C5905" s="121">
        <v>27</v>
      </c>
      <c r="D5905" s="121">
        <v>8</v>
      </c>
      <c r="E5905" s="121">
        <v>51000</v>
      </c>
    </row>
    <row r="5906" spans="1:5" ht="15">
      <c r="A5906" s="120" t="s">
        <v>241</v>
      </c>
      <c r="B5906" s="121">
        <v>21</v>
      </c>
      <c r="C5906" s="121">
        <v>28</v>
      </c>
      <c r="D5906" s="121">
        <v>2</v>
      </c>
      <c r="E5906" s="121">
        <v>7261</v>
      </c>
    </row>
    <row r="5907" spans="1:5" ht="15">
      <c r="A5907" s="120" t="s">
        <v>241</v>
      </c>
      <c r="B5907" s="121">
        <v>21</v>
      </c>
      <c r="C5907" s="121">
        <v>28</v>
      </c>
      <c r="D5907" s="121">
        <v>4</v>
      </c>
      <c r="E5907" s="121">
        <v>1173</v>
      </c>
    </row>
    <row r="5908" spans="1:5" ht="15">
      <c r="A5908" s="120" t="s">
        <v>241</v>
      </c>
      <c r="B5908" s="121">
        <v>21</v>
      </c>
      <c r="C5908" s="121">
        <v>29</v>
      </c>
      <c r="D5908" s="121">
        <v>7</v>
      </c>
      <c r="E5908" s="121">
        <v>2270000</v>
      </c>
    </row>
    <row r="5909" spans="1:5" ht="15">
      <c r="A5909" s="120" t="s">
        <v>241</v>
      </c>
      <c r="B5909" s="121">
        <v>21</v>
      </c>
      <c r="C5909" s="121">
        <v>31</v>
      </c>
      <c r="D5909" s="121">
        <v>2</v>
      </c>
      <c r="E5909" s="121">
        <v>5400</v>
      </c>
    </row>
    <row r="5910" spans="1:5" ht="15">
      <c r="A5910" s="120" t="s">
        <v>241</v>
      </c>
      <c r="B5910" s="121">
        <v>21</v>
      </c>
      <c r="C5910" s="121">
        <v>31</v>
      </c>
      <c r="D5910" s="121">
        <v>3</v>
      </c>
      <c r="E5910" s="121">
        <v>4000</v>
      </c>
    </row>
    <row r="5911" spans="1:5" ht="15">
      <c r="A5911" s="120" t="s">
        <v>241</v>
      </c>
      <c r="B5911" s="121">
        <v>21</v>
      </c>
      <c r="C5911" s="121">
        <v>31</v>
      </c>
      <c r="D5911" s="121">
        <v>7</v>
      </c>
      <c r="E5911" s="121">
        <v>2900</v>
      </c>
    </row>
    <row r="5912" spans="1:5" ht="15">
      <c r="A5912" s="120" t="s">
        <v>241</v>
      </c>
      <c r="B5912" s="121">
        <v>21</v>
      </c>
      <c r="C5912" s="121">
        <v>33</v>
      </c>
      <c r="D5912" s="121">
        <v>5</v>
      </c>
      <c r="E5912" s="121">
        <v>455000</v>
      </c>
    </row>
    <row r="5913" spans="1:5" ht="15">
      <c r="A5913" s="120" t="s">
        <v>241</v>
      </c>
      <c r="B5913" s="121">
        <v>21</v>
      </c>
      <c r="C5913" s="121">
        <v>33</v>
      </c>
      <c r="D5913" s="121">
        <v>7</v>
      </c>
      <c r="E5913" s="121">
        <v>114100</v>
      </c>
    </row>
    <row r="5914" spans="1:5" ht="15">
      <c r="A5914" s="120" t="s">
        <v>241</v>
      </c>
      <c r="B5914" s="121">
        <v>24</v>
      </c>
      <c r="C5914" s="121">
        <v>26</v>
      </c>
      <c r="D5914" s="121">
        <v>2</v>
      </c>
      <c r="E5914" s="121">
        <v>5848211</v>
      </c>
    </row>
    <row r="5915" spans="1:5" ht="15">
      <c r="A5915" s="120" t="s">
        <v>241</v>
      </c>
      <c r="B5915" s="121">
        <v>24</v>
      </c>
      <c r="C5915" s="121">
        <v>26</v>
      </c>
      <c r="D5915" s="121">
        <v>4</v>
      </c>
      <c r="E5915" s="121">
        <v>1710810</v>
      </c>
    </row>
    <row r="5916" spans="1:5" ht="15">
      <c r="A5916" s="120" t="s">
        <v>241</v>
      </c>
      <c r="B5916" s="121">
        <v>24</v>
      </c>
      <c r="C5916" s="121">
        <v>27</v>
      </c>
      <c r="D5916" s="121">
        <v>5</v>
      </c>
      <c r="E5916" s="121">
        <v>150000</v>
      </c>
    </row>
    <row r="5917" spans="1:5" ht="15">
      <c r="A5917" s="120" t="s">
        <v>241</v>
      </c>
      <c r="B5917" s="121">
        <v>24</v>
      </c>
      <c r="C5917" s="121">
        <v>27</v>
      </c>
      <c r="D5917" s="121">
        <v>7</v>
      </c>
      <c r="E5917" s="121">
        <v>30000</v>
      </c>
    </row>
    <row r="5918" spans="1:5" ht="15">
      <c r="A5918" s="120" t="s">
        <v>241</v>
      </c>
      <c r="B5918" s="121">
        <v>24</v>
      </c>
      <c r="C5918" s="121">
        <v>33</v>
      </c>
      <c r="D5918" s="121">
        <v>5</v>
      </c>
      <c r="E5918" s="121">
        <v>19250</v>
      </c>
    </row>
    <row r="5919" spans="1:5" ht="15">
      <c r="A5919" s="120" t="s">
        <v>313</v>
      </c>
      <c r="B5919" s="121">
        <v>21</v>
      </c>
      <c r="C5919" s="121">
        <v>21</v>
      </c>
      <c r="D5919" s="121">
        <v>2</v>
      </c>
      <c r="E5919" s="121">
        <v>27012</v>
      </c>
    </row>
    <row r="5920" spans="1:5" ht="15">
      <c r="A5920" s="120" t="s">
        <v>313</v>
      </c>
      <c r="B5920" s="121">
        <v>21</v>
      </c>
      <c r="C5920" s="121">
        <v>21</v>
      </c>
      <c r="D5920" s="121">
        <v>3</v>
      </c>
      <c r="E5920" s="121">
        <v>43468</v>
      </c>
    </row>
    <row r="5921" spans="1:5" ht="15">
      <c r="A5921" s="120" t="s">
        <v>313</v>
      </c>
      <c r="B5921" s="121">
        <v>21</v>
      </c>
      <c r="C5921" s="121">
        <v>21</v>
      </c>
      <c r="D5921" s="121">
        <v>4</v>
      </c>
      <c r="E5921" s="121">
        <v>23085</v>
      </c>
    </row>
    <row r="5922" spans="1:5" ht="15">
      <c r="A5922" s="120" t="s">
        <v>313</v>
      </c>
      <c r="B5922" s="121">
        <v>21</v>
      </c>
      <c r="C5922" s="121">
        <v>21</v>
      </c>
      <c r="D5922" s="121">
        <v>5</v>
      </c>
      <c r="E5922" s="121">
        <v>250</v>
      </c>
    </row>
    <row r="5923" spans="1:5" ht="15">
      <c r="A5923" s="120" t="s">
        <v>313</v>
      </c>
      <c r="B5923" s="121">
        <v>21</v>
      </c>
      <c r="C5923" s="121">
        <v>21</v>
      </c>
      <c r="D5923" s="121">
        <v>7</v>
      </c>
      <c r="E5923" s="121">
        <v>5170</v>
      </c>
    </row>
    <row r="5924" spans="1:5" ht="15">
      <c r="A5924" s="120" t="s">
        <v>313</v>
      </c>
      <c r="B5924" s="121">
        <v>21</v>
      </c>
      <c r="C5924" s="121">
        <v>21</v>
      </c>
      <c r="D5924" s="121">
        <v>8</v>
      </c>
      <c r="E5924" s="121">
        <v>750</v>
      </c>
    </row>
    <row r="5925" spans="1:5" ht="15">
      <c r="A5925" s="120" t="s">
        <v>313</v>
      </c>
      <c r="B5925" s="121">
        <v>21</v>
      </c>
      <c r="C5925" s="121">
        <v>25</v>
      </c>
      <c r="D5925" s="121">
        <v>3</v>
      </c>
      <c r="E5925" s="121">
        <v>63640</v>
      </c>
    </row>
    <row r="5926" spans="1:5" ht="15">
      <c r="A5926" s="120" t="s">
        <v>313</v>
      </c>
      <c r="B5926" s="121">
        <v>21</v>
      </c>
      <c r="C5926" s="121">
        <v>25</v>
      </c>
      <c r="D5926" s="121">
        <v>4</v>
      </c>
      <c r="E5926" s="121">
        <v>39745</v>
      </c>
    </row>
    <row r="5927" spans="1:5" ht="15">
      <c r="A5927" s="120" t="s">
        <v>313</v>
      </c>
      <c r="B5927" s="121">
        <v>21</v>
      </c>
      <c r="C5927" s="121">
        <v>26</v>
      </c>
      <c r="D5927" s="121">
        <v>2</v>
      </c>
      <c r="E5927" s="121">
        <v>406597</v>
      </c>
    </row>
    <row r="5928" spans="1:5" ht="15">
      <c r="A5928" s="120" t="s">
        <v>313</v>
      </c>
      <c r="B5928" s="121">
        <v>21</v>
      </c>
      <c r="C5928" s="121">
        <v>26</v>
      </c>
      <c r="D5928" s="121">
        <v>3</v>
      </c>
      <c r="E5928" s="121">
        <v>34913</v>
      </c>
    </row>
    <row r="5929" spans="1:5" ht="15">
      <c r="A5929" s="120" t="s">
        <v>313</v>
      </c>
      <c r="B5929" s="121">
        <v>21</v>
      </c>
      <c r="C5929" s="121">
        <v>26</v>
      </c>
      <c r="D5929" s="121">
        <v>4</v>
      </c>
      <c r="E5929" s="121">
        <v>152898</v>
      </c>
    </row>
    <row r="5930" spans="1:5" ht="15">
      <c r="A5930" s="120" t="s">
        <v>313</v>
      </c>
      <c r="B5930" s="121">
        <v>21</v>
      </c>
      <c r="C5930" s="121">
        <v>26</v>
      </c>
      <c r="D5930" s="121">
        <v>5</v>
      </c>
      <c r="E5930" s="121">
        <v>3800</v>
      </c>
    </row>
    <row r="5931" spans="1:5" ht="15">
      <c r="A5931" s="120" t="s">
        <v>313</v>
      </c>
      <c r="B5931" s="121">
        <v>21</v>
      </c>
      <c r="C5931" s="121">
        <v>26</v>
      </c>
      <c r="D5931" s="121">
        <v>7</v>
      </c>
      <c r="E5931" s="121">
        <v>231720</v>
      </c>
    </row>
    <row r="5932" spans="1:5" ht="15">
      <c r="A5932" s="120" t="s">
        <v>313</v>
      </c>
      <c r="B5932" s="121">
        <v>21</v>
      </c>
      <c r="C5932" s="121">
        <v>27</v>
      </c>
      <c r="D5932" s="121">
        <v>0</v>
      </c>
      <c r="E5932" s="121">
        <v>5000</v>
      </c>
    </row>
    <row r="5933" spans="1:5" ht="15">
      <c r="A5933" s="120" t="s">
        <v>313</v>
      </c>
      <c r="B5933" s="121">
        <v>21</v>
      </c>
      <c r="C5933" s="121">
        <v>27</v>
      </c>
      <c r="D5933" s="121">
        <v>2</v>
      </c>
      <c r="E5933" s="121">
        <v>1041322</v>
      </c>
    </row>
    <row r="5934" spans="1:5" ht="15">
      <c r="A5934" s="120" t="s">
        <v>313</v>
      </c>
      <c r="B5934" s="121">
        <v>21</v>
      </c>
      <c r="C5934" s="121">
        <v>27</v>
      </c>
      <c r="D5934" s="121">
        <v>3</v>
      </c>
      <c r="E5934" s="121">
        <v>826123</v>
      </c>
    </row>
    <row r="5935" spans="1:5" ht="15">
      <c r="A5935" s="120" t="s">
        <v>313</v>
      </c>
      <c r="B5935" s="121">
        <v>21</v>
      </c>
      <c r="C5935" s="121">
        <v>27</v>
      </c>
      <c r="D5935" s="121">
        <v>4</v>
      </c>
      <c r="E5935" s="121">
        <v>850573</v>
      </c>
    </row>
    <row r="5936" spans="1:5" ht="15">
      <c r="A5936" s="120" t="s">
        <v>313</v>
      </c>
      <c r="B5936" s="121">
        <v>21</v>
      </c>
      <c r="C5936" s="121">
        <v>27</v>
      </c>
      <c r="D5936" s="121">
        <v>5</v>
      </c>
      <c r="E5936" s="121">
        <v>600</v>
      </c>
    </row>
    <row r="5937" spans="1:5" ht="15">
      <c r="A5937" s="120" t="s">
        <v>313</v>
      </c>
      <c r="B5937" s="121">
        <v>21</v>
      </c>
      <c r="C5937" s="121">
        <v>28</v>
      </c>
      <c r="D5937" s="121">
        <v>3</v>
      </c>
      <c r="E5937" s="121">
        <v>15000</v>
      </c>
    </row>
    <row r="5938" spans="1:5" ht="15">
      <c r="A5938" s="120" t="s">
        <v>313</v>
      </c>
      <c r="B5938" s="121">
        <v>21</v>
      </c>
      <c r="C5938" s="121">
        <v>28</v>
      </c>
      <c r="D5938" s="121">
        <v>4</v>
      </c>
      <c r="E5938" s="121">
        <v>2427</v>
      </c>
    </row>
    <row r="5939" spans="1:5" ht="15">
      <c r="A5939" s="120" t="s">
        <v>313</v>
      </c>
      <c r="B5939" s="121">
        <v>21</v>
      </c>
      <c r="C5939" s="121">
        <v>31</v>
      </c>
      <c r="D5939" s="121">
        <v>5</v>
      </c>
      <c r="E5939" s="121">
        <v>50</v>
      </c>
    </row>
    <row r="5940" spans="1:5" ht="15">
      <c r="A5940" s="120" t="s">
        <v>313</v>
      </c>
      <c r="B5940" s="121">
        <v>21</v>
      </c>
      <c r="C5940" s="121">
        <v>34</v>
      </c>
      <c r="D5940" s="121">
        <v>2</v>
      </c>
      <c r="E5940" s="121">
        <v>15083</v>
      </c>
    </row>
    <row r="5941" spans="1:5" ht="15">
      <c r="A5941" s="120" t="s">
        <v>313</v>
      </c>
      <c r="B5941" s="121">
        <v>21</v>
      </c>
      <c r="C5941" s="121">
        <v>34</v>
      </c>
      <c r="D5941" s="121">
        <v>4</v>
      </c>
      <c r="E5941" s="121">
        <v>2578</v>
      </c>
    </row>
    <row r="5942" spans="1:5" ht="15">
      <c r="A5942" s="120" t="s">
        <v>313</v>
      </c>
      <c r="B5942" s="121">
        <v>24</v>
      </c>
      <c r="C5942" s="121">
        <v>25</v>
      </c>
      <c r="D5942" s="121">
        <v>3</v>
      </c>
      <c r="E5942" s="121">
        <v>8920</v>
      </c>
    </row>
    <row r="5943" spans="1:5" ht="15">
      <c r="A5943" s="120" t="s">
        <v>313</v>
      </c>
      <c r="B5943" s="121">
        <v>24</v>
      </c>
      <c r="C5943" s="121">
        <v>25</v>
      </c>
      <c r="D5943" s="121">
        <v>4</v>
      </c>
      <c r="E5943" s="121">
        <v>6018</v>
      </c>
    </row>
    <row r="5944" spans="1:5" ht="15">
      <c r="A5944" s="120" t="s">
        <v>313</v>
      </c>
      <c r="B5944" s="121">
        <v>24</v>
      </c>
      <c r="C5944" s="121">
        <v>26</v>
      </c>
      <c r="D5944" s="121">
        <v>2</v>
      </c>
      <c r="E5944" s="121">
        <v>119091</v>
      </c>
    </row>
    <row r="5945" spans="1:5" ht="15">
      <c r="A5945" s="120" t="s">
        <v>313</v>
      </c>
      <c r="B5945" s="121">
        <v>24</v>
      </c>
      <c r="C5945" s="121">
        <v>26</v>
      </c>
      <c r="D5945" s="121">
        <v>4</v>
      </c>
      <c r="E5945" s="121">
        <v>35712</v>
      </c>
    </row>
    <row r="5946" spans="1:5" ht="15">
      <c r="A5946" s="120" t="s">
        <v>313</v>
      </c>
      <c r="B5946" s="121">
        <v>24</v>
      </c>
      <c r="C5946" s="121">
        <v>27</v>
      </c>
      <c r="D5946" s="121">
        <v>2</v>
      </c>
      <c r="E5946" s="121">
        <v>58203</v>
      </c>
    </row>
    <row r="5947" spans="1:5" ht="15">
      <c r="A5947" s="120" t="s">
        <v>313</v>
      </c>
      <c r="B5947" s="121">
        <v>24</v>
      </c>
      <c r="C5947" s="121">
        <v>27</v>
      </c>
      <c r="D5947" s="121">
        <v>3</v>
      </c>
      <c r="E5947" s="121">
        <v>42903</v>
      </c>
    </row>
    <row r="5948" spans="1:5" ht="15">
      <c r="A5948" s="120" t="s">
        <v>313</v>
      </c>
      <c r="B5948" s="121">
        <v>24</v>
      </c>
      <c r="C5948" s="121">
        <v>27</v>
      </c>
      <c r="D5948" s="121">
        <v>4</v>
      </c>
      <c r="E5948" s="121">
        <v>46515</v>
      </c>
    </row>
    <row r="5949" spans="1:5" ht="15">
      <c r="A5949" s="120" t="s">
        <v>243</v>
      </c>
      <c r="B5949" s="121">
        <v>21</v>
      </c>
      <c r="C5949" s="121">
        <v>21</v>
      </c>
      <c r="D5949" s="121">
        <v>2</v>
      </c>
      <c r="E5949" s="121">
        <v>40032</v>
      </c>
    </row>
    <row r="5950" spans="1:5" ht="15">
      <c r="A5950" s="120" t="s">
        <v>243</v>
      </c>
      <c r="B5950" s="121">
        <v>21</v>
      </c>
      <c r="C5950" s="121">
        <v>21</v>
      </c>
      <c r="D5950" s="121">
        <v>3</v>
      </c>
      <c r="E5950" s="121">
        <v>23278</v>
      </c>
    </row>
    <row r="5951" spans="1:5" ht="15">
      <c r="A5951" s="120" t="s">
        <v>243</v>
      </c>
      <c r="B5951" s="121">
        <v>21</v>
      </c>
      <c r="C5951" s="121">
        <v>21</v>
      </c>
      <c r="D5951" s="121">
        <v>4</v>
      </c>
      <c r="E5951" s="121">
        <v>22834</v>
      </c>
    </row>
    <row r="5952" spans="1:5" ht="15">
      <c r="A5952" s="120" t="s">
        <v>243</v>
      </c>
      <c r="B5952" s="121">
        <v>21</v>
      </c>
      <c r="C5952" s="121">
        <v>21</v>
      </c>
      <c r="D5952" s="121">
        <v>7</v>
      </c>
      <c r="E5952" s="121">
        <v>500</v>
      </c>
    </row>
    <row r="5953" spans="1:5" ht="15">
      <c r="A5953" s="120" t="s">
        <v>243</v>
      </c>
      <c r="B5953" s="121">
        <v>21</v>
      </c>
      <c r="C5953" s="121">
        <v>21</v>
      </c>
      <c r="D5953" s="121">
        <v>8</v>
      </c>
      <c r="E5953" s="121">
        <v>400</v>
      </c>
    </row>
    <row r="5954" spans="1:5" ht="15">
      <c r="A5954" s="120" t="s">
        <v>243</v>
      </c>
      <c r="B5954" s="121">
        <v>21</v>
      </c>
      <c r="C5954" s="121">
        <v>23</v>
      </c>
      <c r="D5954" s="121">
        <v>3</v>
      </c>
      <c r="E5954" s="121">
        <v>19844</v>
      </c>
    </row>
    <row r="5955" spans="1:5" ht="15">
      <c r="A5955" s="120" t="s">
        <v>243</v>
      </c>
      <c r="B5955" s="121">
        <v>21</v>
      </c>
      <c r="C5955" s="121">
        <v>23</v>
      </c>
      <c r="D5955" s="121">
        <v>4</v>
      </c>
      <c r="E5955" s="121">
        <v>16973</v>
      </c>
    </row>
    <row r="5956" spans="1:5" ht="15">
      <c r="A5956" s="120" t="s">
        <v>243</v>
      </c>
      <c r="B5956" s="121">
        <v>21</v>
      </c>
      <c r="C5956" s="121">
        <v>26</v>
      </c>
      <c r="D5956" s="121">
        <v>2</v>
      </c>
      <c r="E5956" s="121">
        <v>40032</v>
      </c>
    </row>
    <row r="5957" spans="1:5" ht="15">
      <c r="A5957" s="120" t="s">
        <v>243</v>
      </c>
      <c r="B5957" s="121">
        <v>21</v>
      </c>
      <c r="C5957" s="121">
        <v>26</v>
      </c>
      <c r="D5957" s="121">
        <v>3</v>
      </c>
      <c r="E5957" s="121">
        <v>32123</v>
      </c>
    </row>
    <row r="5958" spans="1:5" ht="15">
      <c r="A5958" s="120" t="s">
        <v>243</v>
      </c>
      <c r="B5958" s="121">
        <v>21</v>
      </c>
      <c r="C5958" s="121">
        <v>26</v>
      </c>
      <c r="D5958" s="121">
        <v>4</v>
      </c>
      <c r="E5958" s="121">
        <v>35221</v>
      </c>
    </row>
    <row r="5959" spans="1:5" ht="15">
      <c r="A5959" s="120" t="s">
        <v>243</v>
      </c>
      <c r="B5959" s="121">
        <v>21</v>
      </c>
      <c r="C5959" s="121">
        <v>26</v>
      </c>
      <c r="D5959" s="121">
        <v>7</v>
      </c>
      <c r="E5959" s="121">
        <v>191300</v>
      </c>
    </row>
    <row r="5960" spans="1:5" ht="15">
      <c r="A5960" s="120" t="s">
        <v>243</v>
      </c>
      <c r="B5960" s="121">
        <v>21</v>
      </c>
      <c r="C5960" s="121">
        <v>27</v>
      </c>
      <c r="D5960" s="121">
        <v>2</v>
      </c>
      <c r="E5960" s="121">
        <v>493491</v>
      </c>
    </row>
    <row r="5961" spans="1:5" ht="15">
      <c r="A5961" s="120" t="s">
        <v>243</v>
      </c>
      <c r="B5961" s="121">
        <v>21</v>
      </c>
      <c r="C5961" s="121">
        <v>27</v>
      </c>
      <c r="D5961" s="121">
        <v>3</v>
      </c>
      <c r="E5961" s="121">
        <v>660782</v>
      </c>
    </row>
    <row r="5962" spans="1:5" ht="15">
      <c r="A5962" s="120" t="s">
        <v>243</v>
      </c>
      <c r="B5962" s="121">
        <v>21</v>
      </c>
      <c r="C5962" s="121">
        <v>27</v>
      </c>
      <c r="D5962" s="121">
        <v>4</v>
      </c>
      <c r="E5962" s="121">
        <v>578630</v>
      </c>
    </row>
    <row r="5963" spans="1:5" ht="15">
      <c r="A5963" s="120" t="s">
        <v>243</v>
      </c>
      <c r="B5963" s="121">
        <v>21</v>
      </c>
      <c r="C5963" s="121">
        <v>31</v>
      </c>
      <c r="D5963" s="121">
        <v>2</v>
      </c>
      <c r="E5963" s="121">
        <v>2779</v>
      </c>
    </row>
    <row r="5964" spans="1:5" ht="15">
      <c r="A5964" s="120" t="s">
        <v>243</v>
      </c>
      <c r="B5964" s="121">
        <v>21</v>
      </c>
      <c r="C5964" s="121">
        <v>31</v>
      </c>
      <c r="D5964" s="121">
        <v>4</v>
      </c>
      <c r="E5964" s="121">
        <v>437</v>
      </c>
    </row>
    <row r="5965" spans="1:5" ht="15">
      <c r="A5965" s="120" t="s">
        <v>243</v>
      </c>
      <c r="B5965" s="121">
        <v>21</v>
      </c>
      <c r="C5965" s="121">
        <v>34</v>
      </c>
      <c r="D5965" s="121">
        <v>2</v>
      </c>
      <c r="E5965" s="121">
        <v>8368</v>
      </c>
    </row>
    <row r="5966" spans="1:5" ht="15">
      <c r="A5966" s="120" t="s">
        <v>243</v>
      </c>
      <c r="B5966" s="121">
        <v>21</v>
      </c>
      <c r="C5966" s="121">
        <v>34</v>
      </c>
      <c r="D5966" s="121">
        <v>4</v>
      </c>
      <c r="E5966" s="121">
        <v>1315</v>
      </c>
    </row>
    <row r="5967" spans="1:5" ht="15">
      <c r="A5967" s="120" t="s">
        <v>243</v>
      </c>
      <c r="B5967" s="121">
        <v>24</v>
      </c>
      <c r="C5967" s="121">
        <v>27</v>
      </c>
      <c r="D5967" s="121">
        <v>2</v>
      </c>
      <c r="E5967" s="121">
        <v>42225</v>
      </c>
    </row>
    <row r="5968" spans="1:5" ht="15">
      <c r="A5968" s="120" t="s">
        <v>243</v>
      </c>
      <c r="B5968" s="121">
        <v>24</v>
      </c>
      <c r="C5968" s="121">
        <v>27</v>
      </c>
      <c r="D5968" s="121">
        <v>3</v>
      </c>
      <c r="E5968" s="121">
        <v>161133</v>
      </c>
    </row>
    <row r="5969" spans="1:5" ht="15">
      <c r="A5969" s="120" t="s">
        <v>243</v>
      </c>
      <c r="B5969" s="121">
        <v>24</v>
      </c>
      <c r="C5969" s="121">
        <v>27</v>
      </c>
      <c r="D5969" s="121">
        <v>4</v>
      </c>
      <c r="E5969" s="121">
        <v>112562</v>
      </c>
    </row>
    <row r="5970" spans="1:5" ht="15">
      <c r="A5970" s="120" t="s">
        <v>315</v>
      </c>
      <c r="B5970" s="121">
        <v>21</v>
      </c>
      <c r="C5970" s="121">
        <v>26</v>
      </c>
      <c r="D5970" s="121">
        <v>7</v>
      </c>
      <c r="E5970" s="121">
        <v>500</v>
      </c>
    </row>
    <row r="5971" spans="1:5" ht="15">
      <c r="A5971" s="120" t="s">
        <v>315</v>
      </c>
      <c r="B5971" s="121">
        <v>21</v>
      </c>
      <c r="C5971" s="121">
        <v>27</v>
      </c>
      <c r="D5971" s="121">
        <v>2</v>
      </c>
      <c r="E5971" s="121">
        <v>200349</v>
      </c>
    </row>
    <row r="5972" spans="1:5" ht="15">
      <c r="A5972" s="120" t="s">
        <v>315</v>
      </c>
      <c r="B5972" s="121">
        <v>21</v>
      </c>
      <c r="C5972" s="121">
        <v>27</v>
      </c>
      <c r="D5972" s="121">
        <v>3</v>
      </c>
      <c r="E5972" s="121">
        <v>349553</v>
      </c>
    </row>
    <row r="5973" spans="1:5" ht="15">
      <c r="A5973" s="120" t="s">
        <v>315</v>
      </c>
      <c r="B5973" s="121">
        <v>21</v>
      </c>
      <c r="C5973" s="121">
        <v>27</v>
      </c>
      <c r="D5973" s="121">
        <v>4</v>
      </c>
      <c r="E5973" s="121">
        <v>338757</v>
      </c>
    </row>
    <row r="5974" spans="1:5" ht="15">
      <c r="A5974" s="120" t="s">
        <v>315</v>
      </c>
      <c r="B5974" s="121">
        <v>21</v>
      </c>
      <c r="C5974" s="121">
        <v>27</v>
      </c>
      <c r="D5974" s="121">
        <v>5</v>
      </c>
      <c r="E5974" s="121">
        <v>7000</v>
      </c>
    </row>
    <row r="5975" spans="1:5" ht="15">
      <c r="A5975" s="120" t="s">
        <v>315</v>
      </c>
      <c r="B5975" s="121">
        <v>21</v>
      </c>
      <c r="C5975" s="121">
        <v>27</v>
      </c>
      <c r="D5975" s="121">
        <v>7</v>
      </c>
      <c r="E5975" s="121">
        <v>400000</v>
      </c>
    </row>
    <row r="5976" spans="1:5" ht="15">
      <c r="A5976" s="120" t="s">
        <v>315</v>
      </c>
      <c r="B5976" s="121">
        <v>21</v>
      </c>
      <c r="C5976" s="121">
        <v>27</v>
      </c>
      <c r="D5976" s="121">
        <v>8</v>
      </c>
      <c r="E5976" s="121">
        <v>800</v>
      </c>
    </row>
    <row r="5977" spans="1:5" ht="15">
      <c r="A5977" s="120" t="s">
        <v>315</v>
      </c>
      <c r="B5977" s="121">
        <v>21</v>
      </c>
      <c r="C5977" s="121">
        <v>31</v>
      </c>
      <c r="D5977" s="121">
        <v>2</v>
      </c>
      <c r="E5977" s="121">
        <v>1404</v>
      </c>
    </row>
    <row r="5978" spans="1:5" ht="15">
      <c r="A5978" s="120" t="s">
        <v>315</v>
      </c>
      <c r="B5978" s="121">
        <v>21</v>
      </c>
      <c r="C5978" s="121">
        <v>31</v>
      </c>
      <c r="D5978" s="121">
        <v>4</v>
      </c>
      <c r="E5978" s="121">
        <v>565</v>
      </c>
    </row>
    <row r="5979" spans="1:5" ht="15">
      <c r="A5979" s="120" t="s">
        <v>315</v>
      </c>
      <c r="B5979" s="121">
        <v>21</v>
      </c>
      <c r="C5979" s="121">
        <v>31</v>
      </c>
      <c r="D5979" s="121">
        <v>7</v>
      </c>
      <c r="E5979" s="121">
        <v>1000</v>
      </c>
    </row>
    <row r="5980" spans="1:5" ht="15">
      <c r="A5980" s="120" t="s">
        <v>315</v>
      </c>
      <c r="B5980" s="121">
        <v>21</v>
      </c>
      <c r="C5980" s="121">
        <v>31</v>
      </c>
      <c r="D5980" s="121">
        <v>8</v>
      </c>
      <c r="E5980" s="121">
        <v>500</v>
      </c>
    </row>
    <row r="5981" spans="1:5" ht="15">
      <c r="A5981" s="120" t="s">
        <v>315</v>
      </c>
      <c r="B5981" s="121">
        <v>21</v>
      </c>
      <c r="C5981" s="121">
        <v>34</v>
      </c>
      <c r="D5981" s="121">
        <v>2</v>
      </c>
      <c r="E5981" s="121">
        <v>2807</v>
      </c>
    </row>
    <row r="5982" spans="1:5" ht="15">
      <c r="A5982" s="120" t="s">
        <v>315</v>
      </c>
      <c r="B5982" s="121">
        <v>21</v>
      </c>
      <c r="C5982" s="121">
        <v>34</v>
      </c>
      <c r="D5982" s="121">
        <v>4</v>
      </c>
      <c r="E5982" s="121">
        <v>1129</v>
      </c>
    </row>
    <row r="5983" spans="1:5" ht="15">
      <c r="A5983" s="120" t="s">
        <v>315</v>
      </c>
      <c r="B5983" s="121">
        <v>24</v>
      </c>
      <c r="C5983" s="121">
        <v>26</v>
      </c>
      <c r="D5983" s="121">
        <v>7</v>
      </c>
      <c r="E5983" s="121">
        <v>120329</v>
      </c>
    </row>
    <row r="5984" spans="1:5" ht="15">
      <c r="A5984" s="120" t="s">
        <v>315</v>
      </c>
      <c r="B5984" s="121">
        <v>24</v>
      </c>
      <c r="C5984" s="121">
        <v>27</v>
      </c>
      <c r="D5984" s="121">
        <v>3</v>
      </c>
      <c r="E5984" s="121">
        <v>4437</v>
      </c>
    </row>
    <row r="5985" spans="1:5" ht="15">
      <c r="A5985" s="120" t="s">
        <v>315</v>
      </c>
      <c r="B5985" s="121">
        <v>24</v>
      </c>
      <c r="C5985" s="121">
        <v>27</v>
      </c>
      <c r="D5985" s="121">
        <v>4</v>
      </c>
      <c r="E5985" s="121">
        <v>3214</v>
      </c>
    </row>
    <row r="5986" spans="1:5" ht="15">
      <c r="A5986" s="120" t="s">
        <v>317</v>
      </c>
      <c r="B5986" s="121">
        <v>21</v>
      </c>
      <c r="C5986" s="121">
        <v>21</v>
      </c>
      <c r="D5986" s="121">
        <v>2</v>
      </c>
      <c r="E5986" s="121">
        <v>349157</v>
      </c>
    </row>
    <row r="5987" spans="1:5" ht="15">
      <c r="A5987" s="120" t="s">
        <v>317</v>
      </c>
      <c r="B5987" s="121">
        <v>21</v>
      </c>
      <c r="C5987" s="121">
        <v>21</v>
      </c>
      <c r="D5987" s="121">
        <v>4</v>
      </c>
      <c r="E5987" s="121">
        <v>90272</v>
      </c>
    </row>
    <row r="5988" spans="1:5" ht="15">
      <c r="A5988" s="120" t="s">
        <v>317</v>
      </c>
      <c r="B5988" s="121">
        <v>21</v>
      </c>
      <c r="C5988" s="121">
        <v>21</v>
      </c>
      <c r="D5988" s="121">
        <v>7</v>
      </c>
      <c r="E5988" s="121">
        <v>11921</v>
      </c>
    </row>
    <row r="5989" spans="1:5" ht="15">
      <c r="A5989" s="120" t="s">
        <v>317</v>
      </c>
      <c r="B5989" s="121">
        <v>21</v>
      </c>
      <c r="C5989" s="121">
        <v>25</v>
      </c>
      <c r="D5989" s="121">
        <v>3</v>
      </c>
      <c r="E5989" s="121">
        <v>317306</v>
      </c>
    </row>
    <row r="5990" spans="1:5" ht="15">
      <c r="A5990" s="120" t="s">
        <v>317</v>
      </c>
      <c r="B5990" s="121">
        <v>21</v>
      </c>
      <c r="C5990" s="121">
        <v>25</v>
      </c>
      <c r="D5990" s="121">
        <v>4</v>
      </c>
      <c r="E5990" s="121">
        <v>273165</v>
      </c>
    </row>
    <row r="5991" spans="1:5" ht="15">
      <c r="A5991" s="120" t="s">
        <v>317</v>
      </c>
      <c r="B5991" s="121">
        <v>21</v>
      </c>
      <c r="C5991" s="121">
        <v>26</v>
      </c>
      <c r="D5991" s="121">
        <v>2</v>
      </c>
      <c r="E5991" s="121">
        <v>4441607</v>
      </c>
    </row>
    <row r="5992" spans="1:5" ht="15">
      <c r="A5992" s="120" t="s">
        <v>317</v>
      </c>
      <c r="B5992" s="121">
        <v>21</v>
      </c>
      <c r="C5992" s="121">
        <v>26</v>
      </c>
      <c r="D5992" s="121">
        <v>3</v>
      </c>
      <c r="E5992" s="121">
        <v>662541</v>
      </c>
    </row>
    <row r="5993" spans="1:5" ht="15">
      <c r="A5993" s="120" t="s">
        <v>317</v>
      </c>
      <c r="B5993" s="121">
        <v>21</v>
      </c>
      <c r="C5993" s="121">
        <v>26</v>
      </c>
      <c r="D5993" s="121">
        <v>4</v>
      </c>
      <c r="E5993" s="121">
        <v>1667142</v>
      </c>
    </row>
    <row r="5994" spans="1:5" ht="15">
      <c r="A5994" s="120" t="s">
        <v>317</v>
      </c>
      <c r="B5994" s="121">
        <v>21</v>
      </c>
      <c r="C5994" s="121">
        <v>26</v>
      </c>
      <c r="D5994" s="121">
        <v>7</v>
      </c>
      <c r="E5994" s="121">
        <v>17000</v>
      </c>
    </row>
    <row r="5995" spans="1:5" ht="15">
      <c r="A5995" s="120" t="s">
        <v>317</v>
      </c>
      <c r="B5995" s="121">
        <v>21</v>
      </c>
      <c r="C5995" s="121">
        <v>27</v>
      </c>
      <c r="D5995" s="121">
        <v>2</v>
      </c>
      <c r="E5995" s="121">
        <v>4473612</v>
      </c>
    </row>
    <row r="5996" spans="1:5" ht="15">
      <c r="A5996" s="120" t="s">
        <v>317</v>
      </c>
      <c r="B5996" s="121">
        <v>21</v>
      </c>
      <c r="C5996" s="121">
        <v>27</v>
      </c>
      <c r="D5996" s="121">
        <v>3</v>
      </c>
      <c r="E5996" s="121">
        <v>4824552</v>
      </c>
    </row>
    <row r="5997" spans="1:5" ht="15">
      <c r="A5997" s="120" t="s">
        <v>317</v>
      </c>
      <c r="B5997" s="121">
        <v>21</v>
      </c>
      <c r="C5997" s="121">
        <v>27</v>
      </c>
      <c r="D5997" s="121">
        <v>4</v>
      </c>
      <c r="E5997" s="121">
        <v>4615174</v>
      </c>
    </row>
    <row r="5998" spans="1:5" ht="15">
      <c r="A5998" s="120" t="s">
        <v>317</v>
      </c>
      <c r="B5998" s="121">
        <v>21</v>
      </c>
      <c r="C5998" s="121">
        <v>31</v>
      </c>
      <c r="D5998" s="121">
        <v>2</v>
      </c>
      <c r="E5998" s="121">
        <v>57778</v>
      </c>
    </row>
    <row r="5999" spans="1:5" ht="15">
      <c r="A5999" s="120" t="s">
        <v>317</v>
      </c>
      <c r="B5999" s="121">
        <v>21</v>
      </c>
      <c r="C5999" s="121">
        <v>31</v>
      </c>
      <c r="D5999" s="121">
        <v>4</v>
      </c>
      <c r="E5999" s="121">
        <v>18134</v>
      </c>
    </row>
    <row r="6000" spans="1:5" ht="15">
      <c r="A6000" s="120" t="s">
        <v>317</v>
      </c>
      <c r="B6000" s="121">
        <v>21</v>
      </c>
      <c r="C6000" s="121">
        <v>34</v>
      </c>
      <c r="D6000" s="121">
        <v>2</v>
      </c>
      <c r="E6000" s="121">
        <v>63396</v>
      </c>
    </row>
    <row r="6001" spans="1:5" ht="15">
      <c r="A6001" s="120" t="s">
        <v>317</v>
      </c>
      <c r="B6001" s="121">
        <v>21</v>
      </c>
      <c r="C6001" s="121">
        <v>34</v>
      </c>
      <c r="D6001" s="121">
        <v>4</v>
      </c>
      <c r="E6001" s="121">
        <v>11316</v>
      </c>
    </row>
    <row r="6002" spans="1:5" ht="15">
      <c r="A6002" s="120" t="s">
        <v>317</v>
      </c>
      <c r="B6002" s="121">
        <v>24</v>
      </c>
      <c r="C6002" s="121">
        <v>27</v>
      </c>
      <c r="D6002" s="121">
        <v>2</v>
      </c>
      <c r="E6002" s="121">
        <v>409802</v>
      </c>
    </row>
    <row r="6003" spans="1:5" ht="15">
      <c r="A6003" s="120" t="s">
        <v>317</v>
      </c>
      <c r="B6003" s="121">
        <v>24</v>
      </c>
      <c r="C6003" s="121">
        <v>27</v>
      </c>
      <c r="D6003" s="121">
        <v>3</v>
      </c>
      <c r="E6003" s="121">
        <v>24672</v>
      </c>
    </row>
    <row r="6004" spans="1:5" ht="15">
      <c r="A6004" s="120" t="s">
        <v>317</v>
      </c>
      <c r="B6004" s="121">
        <v>24</v>
      </c>
      <c r="C6004" s="121">
        <v>27</v>
      </c>
      <c r="D6004" s="121">
        <v>4</v>
      </c>
      <c r="E6004" s="121">
        <v>123711</v>
      </c>
    </row>
    <row r="6005" spans="1:5" ht="15">
      <c r="A6005" s="120" t="s">
        <v>317</v>
      </c>
      <c r="B6005" s="121">
        <v>24</v>
      </c>
      <c r="C6005" s="121">
        <v>27</v>
      </c>
      <c r="D6005" s="121">
        <v>5</v>
      </c>
      <c r="E6005" s="121">
        <v>635921</v>
      </c>
    </row>
    <row r="6006" spans="1:5" ht="15">
      <c r="A6006" s="120" t="s">
        <v>317</v>
      </c>
      <c r="B6006" s="121">
        <v>24</v>
      </c>
      <c r="C6006" s="121">
        <v>27</v>
      </c>
      <c r="D6006" s="121">
        <v>7</v>
      </c>
      <c r="E6006" s="121">
        <v>709200</v>
      </c>
    </row>
    <row r="6007" spans="1:5" ht="15">
      <c r="A6007" s="120" t="s">
        <v>319</v>
      </c>
      <c r="B6007" s="121">
        <v>21</v>
      </c>
      <c r="C6007" s="121">
        <v>27</v>
      </c>
      <c r="D6007" s="121">
        <v>2</v>
      </c>
      <c r="E6007" s="121">
        <v>331996</v>
      </c>
    </row>
    <row r="6008" spans="1:5" ht="15">
      <c r="A6008" s="120" t="s">
        <v>319</v>
      </c>
      <c r="B6008" s="121">
        <v>21</v>
      </c>
      <c r="C6008" s="121">
        <v>27</v>
      </c>
      <c r="D6008" s="121">
        <v>3</v>
      </c>
      <c r="E6008" s="121">
        <v>333964</v>
      </c>
    </row>
    <row r="6009" spans="1:5" ht="15">
      <c r="A6009" s="120" t="s">
        <v>319</v>
      </c>
      <c r="B6009" s="121">
        <v>21</v>
      </c>
      <c r="C6009" s="121">
        <v>27</v>
      </c>
      <c r="D6009" s="121">
        <v>4</v>
      </c>
      <c r="E6009" s="121">
        <v>338043</v>
      </c>
    </row>
    <row r="6010" spans="1:5" ht="15">
      <c r="A6010" s="120" t="s">
        <v>319</v>
      </c>
      <c r="B6010" s="121">
        <v>21</v>
      </c>
      <c r="C6010" s="121">
        <v>27</v>
      </c>
      <c r="D6010" s="121">
        <v>7</v>
      </c>
      <c r="E6010" s="121">
        <v>621997</v>
      </c>
    </row>
    <row r="6011" spans="1:5" ht="15">
      <c r="A6011" s="120" t="s">
        <v>319</v>
      </c>
      <c r="B6011" s="121">
        <v>24</v>
      </c>
      <c r="C6011" s="121">
        <v>26</v>
      </c>
      <c r="D6011" s="121">
        <v>7</v>
      </c>
      <c r="E6011" s="121">
        <v>150575</v>
      </c>
    </row>
    <row r="6012" spans="1:5" ht="15">
      <c r="A6012" s="120" t="s">
        <v>321</v>
      </c>
      <c r="B6012" s="121">
        <v>21</v>
      </c>
      <c r="C6012" s="121">
        <v>21</v>
      </c>
      <c r="D6012" s="121">
        <v>2</v>
      </c>
      <c r="E6012" s="121">
        <v>109554</v>
      </c>
    </row>
    <row r="6013" spans="1:5" ht="15">
      <c r="A6013" s="120" t="s">
        <v>321</v>
      </c>
      <c r="B6013" s="121">
        <v>21</v>
      </c>
      <c r="C6013" s="121">
        <v>21</v>
      </c>
      <c r="D6013" s="121">
        <v>3</v>
      </c>
      <c r="E6013" s="121">
        <v>47804</v>
      </c>
    </row>
    <row r="6014" spans="1:5" ht="15">
      <c r="A6014" s="120" t="s">
        <v>321</v>
      </c>
      <c r="B6014" s="121">
        <v>21</v>
      </c>
      <c r="C6014" s="121">
        <v>21</v>
      </c>
      <c r="D6014" s="121">
        <v>4</v>
      </c>
      <c r="E6014" s="121">
        <v>52579</v>
      </c>
    </row>
    <row r="6015" spans="1:5" ht="15">
      <c r="A6015" s="120" t="s">
        <v>321</v>
      </c>
      <c r="B6015" s="121">
        <v>21</v>
      </c>
      <c r="C6015" s="121">
        <v>21</v>
      </c>
      <c r="D6015" s="121">
        <v>5</v>
      </c>
      <c r="E6015" s="121">
        <v>1000</v>
      </c>
    </row>
    <row r="6016" spans="1:5" ht="15">
      <c r="A6016" s="120" t="s">
        <v>321</v>
      </c>
      <c r="B6016" s="121">
        <v>21</v>
      </c>
      <c r="C6016" s="121">
        <v>26</v>
      </c>
      <c r="D6016" s="121">
        <v>3</v>
      </c>
      <c r="E6016" s="121">
        <v>122333</v>
      </c>
    </row>
    <row r="6017" spans="1:5" ht="15">
      <c r="A6017" s="120" t="s">
        <v>321</v>
      </c>
      <c r="B6017" s="121">
        <v>21</v>
      </c>
      <c r="C6017" s="121">
        <v>26</v>
      </c>
      <c r="D6017" s="121">
        <v>4</v>
      </c>
      <c r="E6017" s="121">
        <v>68891</v>
      </c>
    </row>
    <row r="6018" spans="1:5" ht="15">
      <c r="A6018" s="120" t="s">
        <v>321</v>
      </c>
      <c r="B6018" s="121">
        <v>21</v>
      </c>
      <c r="C6018" s="121">
        <v>26</v>
      </c>
      <c r="D6018" s="121">
        <v>7</v>
      </c>
      <c r="E6018" s="121">
        <v>300000</v>
      </c>
    </row>
    <row r="6019" spans="1:5" ht="15">
      <c r="A6019" s="120" t="s">
        <v>321</v>
      </c>
      <c r="B6019" s="121">
        <v>21</v>
      </c>
      <c r="C6019" s="121">
        <v>26</v>
      </c>
      <c r="D6019" s="121">
        <v>8</v>
      </c>
      <c r="E6019" s="121">
        <v>3096</v>
      </c>
    </row>
    <row r="6020" spans="1:5" ht="15">
      <c r="A6020" s="120" t="s">
        <v>321</v>
      </c>
      <c r="B6020" s="121">
        <v>21</v>
      </c>
      <c r="C6020" s="121">
        <v>27</v>
      </c>
      <c r="D6020" s="121">
        <v>2</v>
      </c>
      <c r="E6020" s="121">
        <v>431939</v>
      </c>
    </row>
    <row r="6021" spans="1:5" ht="15">
      <c r="A6021" s="120" t="s">
        <v>321</v>
      </c>
      <c r="B6021" s="121">
        <v>21</v>
      </c>
      <c r="C6021" s="121">
        <v>27</v>
      </c>
      <c r="D6021" s="121">
        <v>3</v>
      </c>
      <c r="E6021" s="121">
        <v>95171</v>
      </c>
    </row>
    <row r="6022" spans="1:5" ht="15">
      <c r="A6022" s="120" t="s">
        <v>321</v>
      </c>
      <c r="B6022" s="121">
        <v>21</v>
      </c>
      <c r="C6022" s="121">
        <v>27</v>
      </c>
      <c r="D6022" s="121">
        <v>4</v>
      </c>
      <c r="E6022" s="121">
        <v>207728</v>
      </c>
    </row>
    <row r="6023" spans="1:5" ht="15">
      <c r="A6023" s="120" t="s">
        <v>321</v>
      </c>
      <c r="B6023" s="121">
        <v>21</v>
      </c>
      <c r="C6023" s="121">
        <v>27</v>
      </c>
      <c r="D6023" s="121">
        <v>5</v>
      </c>
      <c r="E6023" s="121">
        <v>295759</v>
      </c>
    </row>
    <row r="6024" spans="1:5" ht="15">
      <c r="A6024" s="120" t="s">
        <v>321</v>
      </c>
      <c r="B6024" s="121">
        <v>21</v>
      </c>
      <c r="C6024" s="121">
        <v>27</v>
      </c>
      <c r="D6024" s="121">
        <v>7</v>
      </c>
      <c r="E6024" s="121">
        <v>20000</v>
      </c>
    </row>
    <row r="6025" spans="1:5" ht="15">
      <c r="A6025" s="120" t="s">
        <v>321</v>
      </c>
      <c r="B6025" s="121">
        <v>24</v>
      </c>
      <c r="C6025" s="121">
        <v>26</v>
      </c>
      <c r="D6025" s="121">
        <v>3</v>
      </c>
      <c r="E6025" s="121">
        <v>48917</v>
      </c>
    </row>
    <row r="6026" spans="1:5" ht="15">
      <c r="A6026" s="120" t="s">
        <v>321</v>
      </c>
      <c r="B6026" s="121">
        <v>24</v>
      </c>
      <c r="C6026" s="121">
        <v>26</v>
      </c>
      <c r="D6026" s="121">
        <v>4</v>
      </c>
      <c r="E6026" s="121">
        <v>24236</v>
      </c>
    </row>
    <row r="6027" spans="1:5" ht="15">
      <c r="A6027" s="120" t="s">
        <v>321</v>
      </c>
      <c r="B6027" s="121">
        <v>24</v>
      </c>
      <c r="C6027" s="121">
        <v>26</v>
      </c>
      <c r="D6027" s="121">
        <v>5</v>
      </c>
      <c r="E6027" s="121">
        <v>19611</v>
      </c>
    </row>
    <row r="6028" spans="1:5" ht="15">
      <c r="A6028" s="120" t="s">
        <v>321</v>
      </c>
      <c r="B6028" s="121">
        <v>24</v>
      </c>
      <c r="C6028" s="121">
        <v>26</v>
      </c>
      <c r="D6028" s="121">
        <v>7</v>
      </c>
      <c r="E6028" s="121">
        <v>66965</v>
      </c>
    </row>
    <row r="6029" spans="1:5" ht="15">
      <c r="A6029" s="120" t="s">
        <v>321</v>
      </c>
      <c r="B6029" s="121">
        <v>24</v>
      </c>
      <c r="C6029" s="121">
        <v>26</v>
      </c>
      <c r="D6029" s="121">
        <v>8</v>
      </c>
      <c r="E6029" s="121">
        <v>10000</v>
      </c>
    </row>
    <row r="6030" spans="1:5" ht="15">
      <c r="A6030" s="120" t="s">
        <v>321</v>
      </c>
      <c r="B6030" s="121">
        <v>24</v>
      </c>
      <c r="C6030" s="121">
        <v>27</v>
      </c>
      <c r="D6030" s="121">
        <v>2</v>
      </c>
      <c r="E6030" s="121">
        <v>7457</v>
      </c>
    </row>
    <row r="6031" spans="1:5" ht="15">
      <c r="A6031" s="120" t="s">
        <v>321</v>
      </c>
      <c r="B6031" s="121">
        <v>24</v>
      </c>
      <c r="C6031" s="121">
        <v>27</v>
      </c>
      <c r="D6031" s="121">
        <v>3</v>
      </c>
      <c r="E6031" s="121">
        <v>50992</v>
      </c>
    </row>
    <row r="6032" spans="1:5" ht="15">
      <c r="A6032" s="120" t="s">
        <v>321</v>
      </c>
      <c r="B6032" s="121">
        <v>24</v>
      </c>
      <c r="C6032" s="121">
        <v>27</v>
      </c>
      <c r="D6032" s="121">
        <v>4</v>
      </c>
      <c r="E6032" s="121">
        <v>27060</v>
      </c>
    </row>
    <row r="6033" spans="1:5" ht="15">
      <c r="A6033" s="120" t="s">
        <v>321</v>
      </c>
      <c r="B6033" s="121">
        <v>24</v>
      </c>
      <c r="C6033" s="121">
        <v>27</v>
      </c>
      <c r="D6033" s="121">
        <v>5</v>
      </c>
      <c r="E6033" s="121">
        <v>716</v>
      </c>
    </row>
    <row r="6034" spans="1:5" ht="15">
      <c r="A6034" s="120" t="s">
        <v>321</v>
      </c>
      <c r="B6034" s="121">
        <v>29</v>
      </c>
      <c r="C6034" s="121">
        <v>27</v>
      </c>
      <c r="D6034" s="121">
        <v>5</v>
      </c>
      <c r="E6034" s="121">
        <v>67600</v>
      </c>
    </row>
    <row r="6035" spans="1:5" ht="15">
      <c r="A6035" s="120" t="s">
        <v>245</v>
      </c>
      <c r="B6035" s="121">
        <v>21</v>
      </c>
      <c r="C6035" s="121">
        <v>21</v>
      </c>
      <c r="D6035" s="121">
        <v>2</v>
      </c>
      <c r="E6035" s="121">
        <v>73081</v>
      </c>
    </row>
    <row r="6036" spans="1:5" ht="15">
      <c r="A6036" s="120" t="s">
        <v>245</v>
      </c>
      <c r="B6036" s="121">
        <v>21</v>
      </c>
      <c r="C6036" s="121">
        <v>21</v>
      </c>
      <c r="D6036" s="121">
        <v>3</v>
      </c>
      <c r="E6036" s="121">
        <v>50215</v>
      </c>
    </row>
    <row r="6037" spans="1:5" ht="15">
      <c r="A6037" s="120" t="s">
        <v>245</v>
      </c>
      <c r="B6037" s="121">
        <v>21</v>
      </c>
      <c r="C6037" s="121">
        <v>21</v>
      </c>
      <c r="D6037" s="121">
        <v>4</v>
      </c>
      <c r="E6037" s="121">
        <v>45501</v>
      </c>
    </row>
    <row r="6038" spans="1:5" ht="15">
      <c r="A6038" s="120" t="s">
        <v>245</v>
      </c>
      <c r="B6038" s="121">
        <v>21</v>
      </c>
      <c r="C6038" s="121">
        <v>21</v>
      </c>
      <c r="D6038" s="121">
        <v>5</v>
      </c>
      <c r="E6038" s="121">
        <v>370</v>
      </c>
    </row>
    <row r="6039" spans="1:5" ht="15">
      <c r="A6039" s="120" t="s">
        <v>245</v>
      </c>
      <c r="B6039" s="121">
        <v>21</v>
      </c>
      <c r="C6039" s="121">
        <v>21</v>
      </c>
      <c r="D6039" s="121">
        <v>7</v>
      </c>
      <c r="E6039" s="121">
        <v>993</v>
      </c>
    </row>
    <row r="6040" spans="1:5" ht="15">
      <c r="A6040" s="120" t="s">
        <v>245</v>
      </c>
      <c r="B6040" s="121">
        <v>21</v>
      </c>
      <c r="C6040" s="121">
        <v>21</v>
      </c>
      <c r="D6040" s="121">
        <v>8</v>
      </c>
      <c r="E6040" s="121">
        <v>750</v>
      </c>
    </row>
    <row r="6041" spans="1:5" ht="15">
      <c r="A6041" s="120" t="s">
        <v>245</v>
      </c>
      <c r="B6041" s="121">
        <v>21</v>
      </c>
      <c r="C6041" s="121">
        <v>24</v>
      </c>
      <c r="D6041" s="121">
        <v>2</v>
      </c>
      <c r="E6041" s="121">
        <v>1550</v>
      </c>
    </row>
    <row r="6042" spans="1:5" ht="15">
      <c r="A6042" s="120" t="s">
        <v>245</v>
      </c>
      <c r="B6042" s="121">
        <v>21</v>
      </c>
      <c r="C6042" s="121">
        <v>26</v>
      </c>
      <c r="D6042" s="121">
        <v>2</v>
      </c>
      <c r="E6042" s="121">
        <v>188530</v>
      </c>
    </row>
    <row r="6043" spans="1:5" ht="15">
      <c r="A6043" s="120" t="s">
        <v>245</v>
      </c>
      <c r="B6043" s="121">
        <v>21</v>
      </c>
      <c r="C6043" s="121">
        <v>26</v>
      </c>
      <c r="D6043" s="121">
        <v>3</v>
      </c>
      <c r="E6043" s="121">
        <v>58893</v>
      </c>
    </row>
    <row r="6044" spans="1:5" ht="15">
      <c r="A6044" s="120" t="s">
        <v>245</v>
      </c>
      <c r="B6044" s="121">
        <v>21</v>
      </c>
      <c r="C6044" s="121">
        <v>26</v>
      </c>
      <c r="D6044" s="121">
        <v>4</v>
      </c>
      <c r="E6044" s="121">
        <v>60670</v>
      </c>
    </row>
    <row r="6045" spans="1:5" ht="15">
      <c r="A6045" s="120" t="s">
        <v>245</v>
      </c>
      <c r="B6045" s="121">
        <v>21</v>
      </c>
      <c r="C6045" s="121">
        <v>26</v>
      </c>
      <c r="D6045" s="121">
        <v>5</v>
      </c>
      <c r="E6045" s="121">
        <v>740</v>
      </c>
    </row>
    <row r="6046" spans="1:5" ht="15">
      <c r="A6046" s="120" t="s">
        <v>245</v>
      </c>
      <c r="B6046" s="121">
        <v>21</v>
      </c>
      <c r="C6046" s="121">
        <v>26</v>
      </c>
      <c r="D6046" s="121">
        <v>7</v>
      </c>
      <c r="E6046" s="121">
        <v>254128</v>
      </c>
    </row>
    <row r="6047" spans="1:5" ht="15">
      <c r="A6047" s="120" t="s">
        <v>245</v>
      </c>
      <c r="B6047" s="121">
        <v>21</v>
      </c>
      <c r="C6047" s="121">
        <v>27</v>
      </c>
      <c r="D6047" s="121">
        <v>2</v>
      </c>
      <c r="E6047" s="121">
        <v>632360</v>
      </c>
    </row>
    <row r="6048" spans="1:5" ht="15">
      <c r="A6048" s="120" t="s">
        <v>245</v>
      </c>
      <c r="B6048" s="121">
        <v>21</v>
      </c>
      <c r="C6048" s="121">
        <v>27</v>
      </c>
      <c r="D6048" s="121">
        <v>3</v>
      </c>
      <c r="E6048" s="121">
        <v>332357</v>
      </c>
    </row>
    <row r="6049" spans="1:5" ht="15">
      <c r="A6049" s="120" t="s">
        <v>245</v>
      </c>
      <c r="B6049" s="121">
        <v>21</v>
      </c>
      <c r="C6049" s="121">
        <v>27</v>
      </c>
      <c r="D6049" s="121">
        <v>4</v>
      </c>
      <c r="E6049" s="121">
        <v>440357</v>
      </c>
    </row>
    <row r="6050" spans="1:5" ht="15">
      <c r="A6050" s="120" t="s">
        <v>245</v>
      </c>
      <c r="B6050" s="121">
        <v>21</v>
      </c>
      <c r="C6050" s="121">
        <v>27</v>
      </c>
      <c r="D6050" s="121">
        <v>5</v>
      </c>
      <c r="E6050" s="121">
        <v>19406</v>
      </c>
    </row>
    <row r="6051" spans="1:5" ht="15">
      <c r="A6051" s="120" t="s">
        <v>245</v>
      </c>
      <c r="B6051" s="121">
        <v>21</v>
      </c>
      <c r="C6051" s="121">
        <v>27</v>
      </c>
      <c r="D6051" s="121">
        <v>7</v>
      </c>
      <c r="E6051" s="121">
        <v>152477</v>
      </c>
    </row>
    <row r="6052" spans="1:5" ht="15">
      <c r="A6052" s="120" t="s">
        <v>245</v>
      </c>
      <c r="B6052" s="121">
        <v>21</v>
      </c>
      <c r="C6052" s="121">
        <v>31</v>
      </c>
      <c r="D6052" s="121">
        <v>2</v>
      </c>
      <c r="E6052" s="121">
        <v>9443</v>
      </c>
    </row>
    <row r="6053" spans="1:5" ht="15">
      <c r="A6053" s="120" t="s">
        <v>245</v>
      </c>
      <c r="B6053" s="121">
        <v>21</v>
      </c>
      <c r="C6053" s="121">
        <v>31</v>
      </c>
      <c r="D6053" s="121">
        <v>4</v>
      </c>
      <c r="E6053" s="121">
        <v>1828</v>
      </c>
    </row>
    <row r="6054" spans="1:5" ht="15">
      <c r="A6054" s="120" t="s">
        <v>245</v>
      </c>
      <c r="B6054" s="121">
        <v>21</v>
      </c>
      <c r="C6054" s="121">
        <v>31</v>
      </c>
      <c r="D6054" s="121">
        <v>7</v>
      </c>
      <c r="E6054" s="121">
        <v>2310</v>
      </c>
    </row>
    <row r="6055" spans="1:5" ht="15">
      <c r="A6055" s="120" t="s">
        <v>245</v>
      </c>
      <c r="B6055" s="121">
        <v>21</v>
      </c>
      <c r="C6055" s="121">
        <v>31</v>
      </c>
      <c r="D6055" s="121">
        <v>8</v>
      </c>
      <c r="E6055" s="121">
        <v>693</v>
      </c>
    </row>
    <row r="6056" spans="1:5" ht="15">
      <c r="A6056" s="120" t="s">
        <v>245</v>
      </c>
      <c r="B6056" s="121">
        <v>21</v>
      </c>
      <c r="C6056" s="121">
        <v>33</v>
      </c>
      <c r="D6056" s="121">
        <v>5</v>
      </c>
      <c r="E6056" s="121">
        <v>740</v>
      </c>
    </row>
    <row r="6057" spans="1:5" ht="15">
      <c r="A6057" s="120" t="s">
        <v>245</v>
      </c>
      <c r="B6057" s="121">
        <v>21</v>
      </c>
      <c r="C6057" s="121">
        <v>34</v>
      </c>
      <c r="D6057" s="121">
        <v>2</v>
      </c>
      <c r="E6057" s="121">
        <v>13576</v>
      </c>
    </row>
    <row r="6058" spans="1:5" ht="15">
      <c r="A6058" s="120" t="s">
        <v>245</v>
      </c>
      <c r="B6058" s="121">
        <v>21</v>
      </c>
      <c r="C6058" s="121">
        <v>34</v>
      </c>
      <c r="D6058" s="121">
        <v>4</v>
      </c>
      <c r="E6058" s="121">
        <v>2633</v>
      </c>
    </row>
    <row r="6059" spans="1:5" ht="15">
      <c r="A6059" s="120" t="s">
        <v>245</v>
      </c>
      <c r="B6059" s="121">
        <v>24</v>
      </c>
      <c r="C6059" s="121">
        <v>26</v>
      </c>
      <c r="D6059" s="121">
        <v>2</v>
      </c>
      <c r="E6059" s="121">
        <v>58188</v>
      </c>
    </row>
    <row r="6060" spans="1:5" ht="15">
      <c r="A6060" s="120" t="s">
        <v>245</v>
      </c>
      <c r="B6060" s="121">
        <v>24</v>
      </c>
      <c r="C6060" s="121">
        <v>26</v>
      </c>
      <c r="D6060" s="121">
        <v>3</v>
      </c>
      <c r="E6060" s="121">
        <v>71465</v>
      </c>
    </row>
    <row r="6061" spans="1:5" ht="15">
      <c r="A6061" s="120" t="s">
        <v>245</v>
      </c>
      <c r="B6061" s="121">
        <v>24</v>
      </c>
      <c r="C6061" s="121">
        <v>26</v>
      </c>
      <c r="D6061" s="121">
        <v>4</v>
      </c>
      <c r="E6061" s="121">
        <v>61981</v>
      </c>
    </row>
    <row r="6062" spans="1:5" ht="15">
      <c r="A6062" s="120" t="s">
        <v>245</v>
      </c>
      <c r="B6062" s="121">
        <v>24</v>
      </c>
      <c r="C6062" s="121">
        <v>27</v>
      </c>
      <c r="D6062" s="121">
        <v>3</v>
      </c>
      <c r="E6062" s="121">
        <v>25235</v>
      </c>
    </row>
    <row r="6063" spans="1:5" ht="15">
      <c r="A6063" s="120" t="s">
        <v>245</v>
      </c>
      <c r="B6063" s="121">
        <v>24</v>
      </c>
      <c r="C6063" s="121">
        <v>27</v>
      </c>
      <c r="D6063" s="121">
        <v>4</v>
      </c>
      <c r="E6063" s="121">
        <v>16695</v>
      </c>
    </row>
    <row r="6064" spans="1:5" ht="15">
      <c r="A6064" s="12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7">
    <tabColor rgb="FF92D050"/>
  </sheetPr>
  <dimension ref="A1:S329"/>
  <sheetViews>
    <sheetView topLeftCell="A280" workbookViewId="0">
      <selection activeCell="I16" sqref="I16"/>
    </sheetView>
  </sheetViews>
  <sheetFormatPr defaultColWidth="8.85546875" defaultRowHeight="12.75"/>
  <cols>
    <col min="1" max="1" width="8.85546875" style="1"/>
    <col min="2" max="2" width="30.28515625" style="1" bestFit="1" customWidth="1"/>
    <col min="3" max="4" width="19" style="20" customWidth="1"/>
    <col min="5" max="16384" width="8.85546875" style="1"/>
  </cols>
  <sheetData>
    <row r="1" spans="1:19">
      <c r="E1" s="1" t="s">
        <v>983</v>
      </c>
      <c r="F1" s="13" t="s">
        <v>984</v>
      </c>
    </row>
    <row r="2" spans="1:19" ht="12.75" customHeight="1">
      <c r="A2" s="64" t="s">
        <v>985</v>
      </c>
      <c r="C2" s="1"/>
      <c r="D2" s="1"/>
      <c r="E2" s="6"/>
      <c r="F2" s="7"/>
      <c r="G2" s="8"/>
      <c r="H2" s="8"/>
      <c r="I2" s="8"/>
      <c r="J2" s="8"/>
      <c r="K2" s="8"/>
      <c r="L2" s="8"/>
      <c r="M2" s="5"/>
      <c r="N2" s="5"/>
      <c r="O2" s="5"/>
      <c r="P2" s="5"/>
      <c r="Q2" s="5"/>
      <c r="R2" s="5"/>
      <c r="S2" s="5"/>
    </row>
    <row r="3" spans="1:19">
      <c r="A3" s="63"/>
      <c r="C3" s="75" t="s">
        <v>1394</v>
      </c>
      <c r="D3" s="75" t="s">
        <v>1436</v>
      </c>
    </row>
    <row r="4" spans="1:19" ht="24">
      <c r="A4" s="65"/>
      <c r="C4" s="76" t="s">
        <v>1395</v>
      </c>
      <c r="D4" s="76" t="s">
        <v>1437</v>
      </c>
    </row>
    <row r="5" spans="1:19">
      <c r="A5" s="65"/>
      <c r="C5" s="77"/>
      <c r="D5" s="77"/>
    </row>
    <row r="6" spans="1:19">
      <c r="A6" s="66" t="s">
        <v>3</v>
      </c>
      <c r="B6" s="67" t="s">
        <v>986</v>
      </c>
      <c r="C6" s="77"/>
      <c r="D6" s="77"/>
      <c r="F6" s="15"/>
    </row>
    <row r="7" spans="1:19">
      <c r="A7" s="68"/>
      <c r="B7" s="69" t="s">
        <v>987</v>
      </c>
      <c r="C7" s="78">
        <v>3.5000000000000003E-2</v>
      </c>
      <c r="D7" s="78">
        <v>3.8699999999999998E-2</v>
      </c>
    </row>
    <row r="8" spans="1:19">
      <c r="A8" s="65" t="s">
        <v>6</v>
      </c>
      <c r="B8" s="70" t="s">
        <v>988</v>
      </c>
      <c r="C8" s="79">
        <v>2.3900000000000001E-2</v>
      </c>
      <c r="D8" s="116">
        <v>2.6100000000000002E-2</v>
      </c>
    </row>
    <row r="9" spans="1:19">
      <c r="A9" s="65" t="s">
        <v>9</v>
      </c>
      <c r="B9" s="70" t="s">
        <v>989</v>
      </c>
      <c r="C9" s="79">
        <v>4.4600000000000001E-2</v>
      </c>
      <c r="D9" s="79">
        <v>3.6600000000000001E-2</v>
      </c>
    </row>
    <row r="10" spans="1:19">
      <c r="A10" s="65" t="s">
        <v>11</v>
      </c>
      <c r="B10" s="70" t="s">
        <v>990</v>
      </c>
      <c r="C10" s="79">
        <v>5.8900000000000001E-2</v>
      </c>
      <c r="D10" s="79">
        <v>0</v>
      </c>
    </row>
    <row r="11" spans="1:19">
      <c r="A11" s="65" t="s">
        <v>14</v>
      </c>
      <c r="B11" s="70" t="s">
        <v>991</v>
      </c>
      <c r="C11" s="79">
        <v>7.2800000000000004E-2</v>
      </c>
      <c r="D11" s="79">
        <v>5.5500000000000001E-2</v>
      </c>
    </row>
    <row r="12" spans="1:19">
      <c r="A12" s="65" t="s">
        <v>17</v>
      </c>
      <c r="B12" s="70" t="s">
        <v>992</v>
      </c>
      <c r="C12" s="79">
        <v>2.5100000000000001E-2</v>
      </c>
      <c r="D12" s="79">
        <v>3.2599999999999997E-2</v>
      </c>
    </row>
    <row r="13" spans="1:19">
      <c r="A13" s="65" t="s">
        <v>19</v>
      </c>
      <c r="B13" s="70" t="s">
        <v>993</v>
      </c>
      <c r="C13" s="79">
        <v>3.6299999999999999E-2</v>
      </c>
      <c r="D13" s="79">
        <v>5.0700000000000002E-2</v>
      </c>
    </row>
    <row r="14" spans="1:19">
      <c r="A14" s="65" t="s">
        <v>22</v>
      </c>
      <c r="B14" s="70" t="s">
        <v>994</v>
      </c>
      <c r="C14" s="79">
        <v>3.9699999999999999E-2</v>
      </c>
      <c r="D14" s="79">
        <v>3.32E-2</v>
      </c>
    </row>
    <row r="15" spans="1:19">
      <c r="A15" s="65" t="s">
        <v>25</v>
      </c>
      <c r="B15" s="70" t="s">
        <v>995</v>
      </c>
      <c r="C15" s="79">
        <v>3.4799999999999998E-2</v>
      </c>
      <c r="D15" s="79">
        <v>1.9599999999999999E-2</v>
      </c>
    </row>
    <row r="16" spans="1:19">
      <c r="A16" s="65" t="s">
        <v>27</v>
      </c>
      <c r="B16" s="70" t="s">
        <v>996</v>
      </c>
      <c r="C16" s="79">
        <v>3.6900000000000002E-2</v>
      </c>
      <c r="D16" s="79">
        <v>2.9499999999999998E-2</v>
      </c>
    </row>
    <row r="17" spans="1:4">
      <c r="A17" s="65" t="s">
        <v>30</v>
      </c>
      <c r="B17" s="70" t="s">
        <v>997</v>
      </c>
      <c r="C17" s="79">
        <v>2.3099999999999999E-2</v>
      </c>
      <c r="D17" s="79">
        <v>3.6700000000000003E-2</v>
      </c>
    </row>
    <row r="18" spans="1:4">
      <c r="A18" s="65" t="s">
        <v>32</v>
      </c>
      <c r="B18" s="70" t="s">
        <v>998</v>
      </c>
      <c r="C18" s="79">
        <v>2.6200000000000001E-2</v>
      </c>
      <c r="D18" s="79">
        <v>4.2000000000000003E-2</v>
      </c>
    </row>
    <row r="19" spans="1:4">
      <c r="A19" s="65" t="s">
        <v>34</v>
      </c>
      <c r="B19" s="70" t="s">
        <v>999</v>
      </c>
      <c r="C19" s="79">
        <v>7.0900000000000005E-2</v>
      </c>
      <c r="D19" s="79">
        <v>0.14319999999999999</v>
      </c>
    </row>
    <row r="20" spans="1:4">
      <c r="A20" s="65" t="s">
        <v>36</v>
      </c>
      <c r="B20" s="70" t="s">
        <v>1000</v>
      </c>
      <c r="C20" s="79">
        <v>3.56E-2</v>
      </c>
      <c r="D20" s="79">
        <v>3.9699999999999999E-2</v>
      </c>
    </row>
    <row r="21" spans="1:4">
      <c r="A21" s="65" t="s">
        <v>38</v>
      </c>
      <c r="B21" s="70" t="s">
        <v>1001</v>
      </c>
      <c r="C21" s="79">
        <v>2.5499999999999998E-2</v>
      </c>
      <c r="D21" s="79">
        <v>2.3E-2</v>
      </c>
    </row>
    <row r="22" spans="1:4">
      <c r="A22" s="65" t="s">
        <v>41</v>
      </c>
      <c r="B22" s="70" t="s">
        <v>1002</v>
      </c>
      <c r="C22" s="79">
        <v>4.2200000000000001E-2</v>
      </c>
      <c r="D22" s="79">
        <v>3.8199999999999998E-2</v>
      </c>
    </row>
    <row r="23" spans="1:4">
      <c r="A23" s="65" t="s">
        <v>43</v>
      </c>
      <c r="B23" s="70" t="s">
        <v>1003</v>
      </c>
      <c r="C23" s="79">
        <v>9.6699999999999994E-2</v>
      </c>
      <c r="D23" s="79">
        <v>0</v>
      </c>
    </row>
    <row r="24" spans="1:4">
      <c r="A24" s="65" t="s">
        <v>45</v>
      </c>
      <c r="B24" s="70" t="s">
        <v>1004</v>
      </c>
      <c r="C24" s="79">
        <v>4.2799999999999998E-2</v>
      </c>
      <c r="D24" s="79">
        <v>4.5600000000000002E-2</v>
      </c>
    </row>
    <row r="25" spans="1:4">
      <c r="A25" s="65" t="s">
        <v>48</v>
      </c>
      <c r="B25" s="70" t="s">
        <v>1005</v>
      </c>
      <c r="C25" s="79">
        <v>6.3500000000000001E-2</v>
      </c>
      <c r="D25" s="79">
        <v>6.5600000000000006E-2</v>
      </c>
    </row>
    <row r="26" spans="1:4">
      <c r="A26" s="65" t="s">
        <v>51</v>
      </c>
      <c r="B26" s="70" t="s">
        <v>1006</v>
      </c>
      <c r="C26" s="79">
        <v>3.7499999999999999E-2</v>
      </c>
      <c r="D26" s="79">
        <v>4.4299999999999999E-2</v>
      </c>
    </row>
    <row r="27" spans="1:4">
      <c r="A27" s="65" t="s">
        <v>53</v>
      </c>
      <c r="B27" s="70" t="s">
        <v>1007</v>
      </c>
      <c r="C27" s="79">
        <v>0.14630000000000001</v>
      </c>
      <c r="D27" s="79">
        <v>0.1138</v>
      </c>
    </row>
    <row r="28" spans="1:4">
      <c r="A28" s="65" t="s">
        <v>55</v>
      </c>
      <c r="B28" s="70" t="s">
        <v>1008</v>
      </c>
      <c r="C28" s="79">
        <v>3.0300000000000001E-2</v>
      </c>
      <c r="D28" s="79">
        <v>1.78E-2</v>
      </c>
    </row>
    <row r="29" spans="1:4">
      <c r="A29" s="65" t="s">
        <v>57</v>
      </c>
      <c r="B29" s="70" t="s">
        <v>1009</v>
      </c>
      <c r="C29" s="79">
        <v>3.5799999999999998E-2</v>
      </c>
      <c r="D29" s="79">
        <v>5.2999999999999999E-2</v>
      </c>
    </row>
    <row r="30" spans="1:4">
      <c r="A30" s="65" t="s">
        <v>59</v>
      </c>
      <c r="B30" s="70" t="s">
        <v>1010</v>
      </c>
      <c r="C30" s="79">
        <v>8.8999999999999996E-2</v>
      </c>
      <c r="D30" s="79">
        <v>6.4100000000000004E-2</v>
      </c>
    </row>
    <row r="31" spans="1:4">
      <c r="A31" s="65" t="s">
        <v>61</v>
      </c>
      <c r="B31" s="70" t="s">
        <v>1011</v>
      </c>
      <c r="C31" s="79">
        <v>5.45E-2</v>
      </c>
      <c r="D31" s="79">
        <v>7.51E-2</v>
      </c>
    </row>
    <row r="32" spans="1:4">
      <c r="A32" s="65" t="s">
        <v>63</v>
      </c>
      <c r="B32" s="70" t="s">
        <v>1012</v>
      </c>
      <c r="C32" s="79">
        <v>3.4000000000000002E-2</v>
      </c>
      <c r="D32" s="79">
        <v>0</v>
      </c>
    </row>
    <row r="33" spans="1:4">
      <c r="A33" s="65" t="s">
        <v>65</v>
      </c>
      <c r="B33" s="70" t="s">
        <v>1013</v>
      </c>
      <c r="C33" s="79">
        <v>4.224E-2</v>
      </c>
      <c r="D33" s="79">
        <v>3.4700000000000002E-2</v>
      </c>
    </row>
    <row r="34" spans="1:4">
      <c r="A34" s="65" t="s">
        <v>67</v>
      </c>
      <c r="B34" s="70" t="s">
        <v>1014</v>
      </c>
      <c r="C34" s="79">
        <v>4.6800000000000001E-2</v>
      </c>
      <c r="D34" s="79">
        <v>3.8100000000000002E-2</v>
      </c>
    </row>
    <row r="35" spans="1:4">
      <c r="A35" s="71" t="s">
        <v>69</v>
      </c>
      <c r="B35" s="70" t="s">
        <v>1015</v>
      </c>
      <c r="C35" s="79">
        <v>3.5000000000000003E-2</v>
      </c>
      <c r="D35" s="79">
        <v>3.8670244752706612E-2</v>
      </c>
    </row>
    <row r="36" spans="1:4">
      <c r="A36" s="65" t="s">
        <v>71</v>
      </c>
      <c r="B36" s="70" t="s">
        <v>1016</v>
      </c>
      <c r="C36" s="79">
        <v>8.6300000000000002E-2</v>
      </c>
      <c r="D36" s="79">
        <v>7.4899999999999994E-2</v>
      </c>
    </row>
    <row r="37" spans="1:4">
      <c r="A37" s="65" t="s">
        <v>73</v>
      </c>
      <c r="B37" s="70" t="s">
        <v>1017</v>
      </c>
      <c r="C37" s="79">
        <v>3.2199999999999999E-2</v>
      </c>
      <c r="D37" s="79">
        <v>3.6999999999999998E-2</v>
      </c>
    </row>
    <row r="38" spans="1:4">
      <c r="A38" s="65" t="s">
        <v>75</v>
      </c>
      <c r="B38" s="70" t="s">
        <v>1018</v>
      </c>
      <c r="C38" s="79">
        <v>3.6299999999999999E-2</v>
      </c>
      <c r="D38" s="79">
        <v>3.2399999999999998E-2</v>
      </c>
    </row>
    <row r="39" spans="1:4">
      <c r="A39" s="65" t="s">
        <v>77</v>
      </c>
      <c r="B39" s="70" t="s">
        <v>1019</v>
      </c>
      <c r="C39" s="79">
        <v>1.49E-2</v>
      </c>
      <c r="D39" s="79">
        <v>2.41E-2</v>
      </c>
    </row>
    <row r="40" spans="1:4">
      <c r="A40" s="65" t="s">
        <v>79</v>
      </c>
      <c r="B40" s="70" t="s">
        <v>1020</v>
      </c>
      <c r="C40" s="79">
        <v>3.5000000000000003E-2</v>
      </c>
      <c r="D40" s="79">
        <v>3.3500000000000002E-2</v>
      </c>
    </row>
    <row r="41" spans="1:4">
      <c r="A41" s="65" t="s">
        <v>81</v>
      </c>
      <c r="B41" s="70" t="s">
        <v>1021</v>
      </c>
      <c r="C41" s="79">
        <v>4.2999999999999997E-2</v>
      </c>
      <c r="D41" s="79">
        <v>2.7900000000000001E-2</v>
      </c>
    </row>
    <row r="42" spans="1:4">
      <c r="A42" s="65" t="s">
        <v>83</v>
      </c>
      <c r="B42" s="70" t="s">
        <v>1022</v>
      </c>
      <c r="C42" s="79">
        <v>3.6900000000000002E-2</v>
      </c>
      <c r="D42" s="79">
        <v>3.0599999999999999E-2</v>
      </c>
    </row>
    <row r="43" spans="1:4">
      <c r="A43" s="72" t="s">
        <v>882</v>
      </c>
      <c r="B43" s="70" t="s">
        <v>1023</v>
      </c>
      <c r="C43" s="79">
        <v>3.5000000000000003E-2</v>
      </c>
      <c r="D43" s="79">
        <v>3.8670244752706612E-2</v>
      </c>
    </row>
    <row r="44" spans="1:4">
      <c r="A44" s="65" t="s">
        <v>85</v>
      </c>
      <c r="B44" s="70" t="s">
        <v>1024</v>
      </c>
      <c r="C44" s="79">
        <v>4.9799999999999997E-2</v>
      </c>
      <c r="D44" s="79">
        <v>3.6799999999999999E-2</v>
      </c>
    </row>
    <row r="45" spans="1:4">
      <c r="A45" s="65" t="s">
        <v>87</v>
      </c>
      <c r="B45" s="70" t="s">
        <v>1025</v>
      </c>
      <c r="C45" s="79">
        <v>6.2799999999999995E-2</v>
      </c>
      <c r="D45" s="79">
        <v>5.16E-2</v>
      </c>
    </row>
    <row r="46" spans="1:4">
      <c r="A46" s="65" t="s">
        <v>89</v>
      </c>
      <c r="B46" s="70" t="s">
        <v>1026</v>
      </c>
      <c r="C46" s="79">
        <v>3.1099999999999999E-2</v>
      </c>
      <c r="D46" s="79">
        <v>7.8E-2</v>
      </c>
    </row>
    <row r="47" spans="1:4">
      <c r="A47" s="65" t="s">
        <v>91</v>
      </c>
      <c r="B47" s="70" t="s">
        <v>1027</v>
      </c>
      <c r="C47" s="79">
        <v>0.05</v>
      </c>
      <c r="D47" s="79">
        <v>4.24E-2</v>
      </c>
    </row>
    <row r="48" spans="1:4">
      <c r="A48" s="65" t="s">
        <v>93</v>
      </c>
      <c r="B48" s="70" t="s">
        <v>1028</v>
      </c>
      <c r="C48" s="79">
        <v>3.7699999999999997E-2</v>
      </c>
      <c r="D48" s="79">
        <v>2.1399999999999999E-2</v>
      </c>
    </row>
    <row r="49" spans="1:4">
      <c r="A49" s="65" t="s">
        <v>95</v>
      </c>
      <c r="B49" s="70" t="s">
        <v>1029</v>
      </c>
      <c r="C49" s="79">
        <v>2.6800000000000001E-2</v>
      </c>
      <c r="D49" s="79">
        <v>5.6099999999999997E-2</v>
      </c>
    </row>
    <row r="50" spans="1:4">
      <c r="A50" s="65" t="s">
        <v>97</v>
      </c>
      <c r="B50" s="70" t="s">
        <v>1030</v>
      </c>
      <c r="C50" s="79">
        <v>4.3999999999999997E-2</v>
      </c>
      <c r="D50" s="79">
        <v>4.6399999999999997E-2</v>
      </c>
    </row>
    <row r="51" spans="1:4">
      <c r="A51" s="65" t="s">
        <v>99</v>
      </c>
      <c r="B51" s="70" t="s">
        <v>1031</v>
      </c>
      <c r="C51" s="79">
        <v>4.6600000000000003E-2</v>
      </c>
      <c r="D51" s="79">
        <v>4.7699999999999999E-2</v>
      </c>
    </row>
    <row r="52" spans="1:4">
      <c r="A52" s="65" t="s">
        <v>101</v>
      </c>
      <c r="B52" s="70" t="s">
        <v>1032</v>
      </c>
      <c r="C52" s="79">
        <v>0</v>
      </c>
      <c r="D52" s="79">
        <v>3.2899999999999999E-2</v>
      </c>
    </row>
    <row r="53" spans="1:4">
      <c r="A53" s="65" t="s">
        <v>103</v>
      </c>
      <c r="B53" s="70" t="s">
        <v>1033</v>
      </c>
      <c r="C53" s="79">
        <v>4.1700000000000001E-2</v>
      </c>
      <c r="D53" s="79">
        <v>2.7300000000000001E-2</v>
      </c>
    </row>
    <row r="54" spans="1:4">
      <c r="A54" s="65" t="s">
        <v>105</v>
      </c>
      <c r="B54" s="70" t="s">
        <v>1034</v>
      </c>
      <c r="C54" s="79">
        <v>6.1199999999999997E-2</v>
      </c>
      <c r="D54" s="79">
        <v>5.8700000000000002E-2</v>
      </c>
    </row>
    <row r="55" spans="1:4">
      <c r="A55" s="65" t="s">
        <v>107</v>
      </c>
      <c r="B55" s="70" t="s">
        <v>1035</v>
      </c>
      <c r="C55" s="79">
        <v>2.1600000000000001E-2</v>
      </c>
      <c r="D55" s="79">
        <v>2.8000000000000001E-2</v>
      </c>
    </row>
    <row r="56" spans="1:4">
      <c r="A56" s="65" t="s">
        <v>109</v>
      </c>
      <c r="B56" s="70" t="s">
        <v>1036</v>
      </c>
      <c r="C56" s="79">
        <v>2.9700000000000001E-2</v>
      </c>
      <c r="D56" s="79">
        <v>3.04E-2</v>
      </c>
    </row>
    <row r="57" spans="1:4">
      <c r="A57" s="65" t="s">
        <v>111</v>
      </c>
      <c r="B57" s="70" t="s">
        <v>1037</v>
      </c>
      <c r="C57" s="79">
        <v>3.2500000000000001E-2</v>
      </c>
      <c r="D57" s="79">
        <v>3.3099999999999997E-2</v>
      </c>
    </row>
    <row r="58" spans="1:4">
      <c r="A58" s="65" t="s">
        <v>113</v>
      </c>
      <c r="B58" s="70" t="s">
        <v>1038</v>
      </c>
      <c r="C58" s="79">
        <v>5.0900000000000001E-2</v>
      </c>
      <c r="D58" s="79">
        <v>5.6300000000000003E-2</v>
      </c>
    </row>
    <row r="59" spans="1:4">
      <c r="A59" s="65" t="s">
        <v>115</v>
      </c>
      <c r="B59" s="70" t="s">
        <v>1039</v>
      </c>
      <c r="C59" s="79">
        <v>0.1305</v>
      </c>
      <c r="D59" s="79">
        <v>6.5699999999999995E-2</v>
      </c>
    </row>
    <row r="60" spans="1:4">
      <c r="A60" s="65" t="s">
        <v>117</v>
      </c>
      <c r="B60" s="70" t="s">
        <v>1040</v>
      </c>
      <c r="C60" s="79">
        <v>5.96E-2</v>
      </c>
      <c r="D60" s="79">
        <v>5.9900000000000002E-2</v>
      </c>
    </row>
    <row r="61" spans="1:4">
      <c r="A61" s="65" t="s">
        <v>119</v>
      </c>
      <c r="B61" s="70" t="s">
        <v>1041</v>
      </c>
      <c r="C61" s="79">
        <v>5.9700000000000003E-2</v>
      </c>
      <c r="D61" s="79">
        <v>2.7E-2</v>
      </c>
    </row>
    <row r="62" spans="1:4">
      <c r="A62" s="65" t="s">
        <v>121</v>
      </c>
      <c r="B62" s="70" t="s">
        <v>1042</v>
      </c>
      <c r="C62" s="79">
        <v>4.0399999999999998E-2</v>
      </c>
      <c r="D62" s="79">
        <v>5.8599999999999999E-2</v>
      </c>
    </row>
    <row r="63" spans="1:4">
      <c r="A63" s="65" t="s">
        <v>123</v>
      </c>
      <c r="B63" s="70" t="s">
        <v>1043</v>
      </c>
      <c r="C63" s="79">
        <v>1.11E-2</v>
      </c>
      <c r="D63" s="79">
        <v>0.14360000000000001</v>
      </c>
    </row>
    <row r="64" spans="1:4">
      <c r="A64" s="65" t="s">
        <v>125</v>
      </c>
      <c r="B64" s="70" t="s">
        <v>1044</v>
      </c>
      <c r="C64" s="79">
        <v>4.9700000000000001E-2</v>
      </c>
      <c r="D64" s="79">
        <v>7.2099999999999997E-2</v>
      </c>
    </row>
    <row r="65" spans="1:4">
      <c r="A65" s="65" t="s">
        <v>127</v>
      </c>
      <c r="B65" s="70" t="s">
        <v>1045</v>
      </c>
      <c r="C65" s="79">
        <v>3.1399999999999997E-2</v>
      </c>
      <c r="D65" s="79">
        <v>3.49E-2</v>
      </c>
    </row>
    <row r="66" spans="1:4">
      <c r="A66" s="65" t="s">
        <v>129</v>
      </c>
      <c r="B66" s="70" t="s">
        <v>1046</v>
      </c>
      <c r="C66" s="79">
        <v>4.4299999999999999E-2</v>
      </c>
      <c r="D66" s="79">
        <v>3.5200000000000002E-2</v>
      </c>
    </row>
    <row r="67" spans="1:4">
      <c r="A67" s="65" t="s">
        <v>131</v>
      </c>
      <c r="B67" s="70" t="s">
        <v>1047</v>
      </c>
      <c r="C67" s="79">
        <v>2.5999999999999999E-2</v>
      </c>
      <c r="D67" s="79">
        <v>3.8199999999999998E-2</v>
      </c>
    </row>
    <row r="68" spans="1:4">
      <c r="A68" s="65" t="s">
        <v>133</v>
      </c>
      <c r="B68" s="70" t="s">
        <v>1048</v>
      </c>
      <c r="C68" s="79">
        <v>4.3099999999999999E-2</v>
      </c>
      <c r="D68" s="79">
        <v>7.4200000000000002E-2</v>
      </c>
    </row>
    <row r="69" spans="1:4">
      <c r="A69" s="65" t="s">
        <v>135</v>
      </c>
      <c r="B69" s="70" t="s">
        <v>1049</v>
      </c>
      <c r="C69" s="79">
        <v>0.1056</v>
      </c>
      <c r="D69" s="79">
        <v>0.1633</v>
      </c>
    </row>
    <row r="70" spans="1:4">
      <c r="A70" s="65" t="s">
        <v>137</v>
      </c>
      <c r="B70" s="70" t="s">
        <v>1050</v>
      </c>
      <c r="C70" s="79">
        <v>3.2899999999999999E-2</v>
      </c>
      <c r="D70" s="79">
        <v>2.9499999999999998E-2</v>
      </c>
    </row>
    <row r="71" spans="1:4">
      <c r="A71" s="65" t="s">
        <v>139</v>
      </c>
      <c r="B71" s="70" t="s">
        <v>1051</v>
      </c>
      <c r="C71" s="79">
        <v>4.1799999999999997E-2</v>
      </c>
      <c r="D71" s="79">
        <v>4.5699999999999998E-2</v>
      </c>
    </row>
    <row r="72" spans="1:4">
      <c r="A72" s="65" t="s">
        <v>141</v>
      </c>
      <c r="B72" s="70" t="s">
        <v>1052</v>
      </c>
      <c r="C72" s="79">
        <v>2.5899999999999999E-2</v>
      </c>
      <c r="D72" s="79">
        <v>3.0200000000000001E-2</v>
      </c>
    </row>
    <row r="73" spans="1:4">
      <c r="A73" s="65" t="s">
        <v>143</v>
      </c>
      <c r="B73" s="70" t="s">
        <v>1053</v>
      </c>
      <c r="C73" s="79">
        <v>0</v>
      </c>
      <c r="D73" s="79">
        <v>0.1</v>
      </c>
    </row>
    <row r="74" spans="1:4">
      <c r="A74" s="65" t="s">
        <v>145</v>
      </c>
      <c r="B74" s="70" t="s">
        <v>1054</v>
      </c>
      <c r="C74" s="79">
        <v>3.0499999999999999E-2</v>
      </c>
      <c r="D74" s="79">
        <v>3.6299999999999999E-2</v>
      </c>
    </row>
    <row r="75" spans="1:4">
      <c r="A75" s="65" t="s">
        <v>147</v>
      </c>
      <c r="B75" s="70" t="s">
        <v>1055</v>
      </c>
      <c r="C75" s="79">
        <v>3.4200000000000001E-2</v>
      </c>
      <c r="D75" s="79">
        <v>3.7999999999999999E-2</v>
      </c>
    </row>
    <row r="76" spans="1:4">
      <c r="A76" s="65" t="s">
        <v>149</v>
      </c>
      <c r="B76" s="70" t="s">
        <v>1056</v>
      </c>
      <c r="C76" s="79">
        <v>3.7900000000000003E-2</v>
      </c>
      <c r="D76" s="79">
        <v>4.1399999999999999E-2</v>
      </c>
    </row>
    <row r="77" spans="1:4">
      <c r="A77" s="65" t="s">
        <v>151</v>
      </c>
      <c r="B77" s="70" t="s">
        <v>1057</v>
      </c>
      <c r="C77" s="79">
        <v>0</v>
      </c>
      <c r="D77" s="79">
        <v>4.19E-2</v>
      </c>
    </row>
    <row r="78" spans="1:4">
      <c r="A78" s="65" t="s">
        <v>153</v>
      </c>
      <c r="B78" s="70" t="s">
        <v>1058</v>
      </c>
      <c r="C78" s="79">
        <v>9.2200000000000004E-2</v>
      </c>
      <c r="D78" s="79">
        <v>8.8900000000000007E-2</v>
      </c>
    </row>
    <row r="79" spans="1:4">
      <c r="A79" s="65" t="s">
        <v>155</v>
      </c>
      <c r="B79" s="70" t="s">
        <v>1059</v>
      </c>
      <c r="C79" s="79">
        <v>7.8299999999999995E-2</v>
      </c>
      <c r="D79" s="79">
        <v>8.4199999999999997E-2</v>
      </c>
    </row>
    <row r="80" spans="1:4">
      <c r="A80" s="65" t="s">
        <v>157</v>
      </c>
      <c r="B80" s="70" t="s">
        <v>1060</v>
      </c>
      <c r="C80" s="79">
        <v>3.9699999999999999E-2</v>
      </c>
      <c r="D80" s="79">
        <v>3.73E-2</v>
      </c>
    </row>
    <row r="81" spans="1:4">
      <c r="A81" s="65" t="s">
        <v>159</v>
      </c>
      <c r="B81" s="70" t="s">
        <v>1061</v>
      </c>
      <c r="C81" s="79">
        <v>3.7600000000000001E-2</v>
      </c>
      <c r="D81" s="79">
        <v>5.4699999999999999E-2</v>
      </c>
    </row>
    <row r="82" spans="1:4">
      <c r="A82" s="65" t="s">
        <v>163</v>
      </c>
      <c r="B82" s="70" t="s">
        <v>1062</v>
      </c>
      <c r="C82" s="79">
        <v>0.1628</v>
      </c>
      <c r="D82" s="79">
        <v>0.1883</v>
      </c>
    </row>
    <row r="83" spans="1:4">
      <c r="A83" s="65" t="s">
        <v>165</v>
      </c>
      <c r="B83" s="70" t="s">
        <v>1063</v>
      </c>
      <c r="C83" s="79">
        <v>2.8899999999999999E-2</v>
      </c>
      <c r="D83" s="79">
        <v>3.0700000000000002E-2</v>
      </c>
    </row>
    <row r="84" spans="1:4">
      <c r="A84" s="65" t="s">
        <v>167</v>
      </c>
      <c r="B84" s="70" t="s">
        <v>1064</v>
      </c>
      <c r="C84" s="79">
        <v>4.5400000000000003E-2</v>
      </c>
      <c r="D84" s="79">
        <v>2.8899999999999999E-2</v>
      </c>
    </row>
    <row r="85" spans="1:4">
      <c r="A85" s="65" t="s">
        <v>169</v>
      </c>
      <c r="B85" s="70" t="s">
        <v>1065</v>
      </c>
      <c r="C85" s="79">
        <v>6.6799999999999998E-2</v>
      </c>
      <c r="D85" s="79">
        <v>0.1757</v>
      </c>
    </row>
    <row r="86" spans="1:4">
      <c r="A86" s="65" t="s">
        <v>171</v>
      </c>
      <c r="B86" s="70" t="s">
        <v>1066</v>
      </c>
      <c r="C86" s="79">
        <v>3.4599999999999999E-2</v>
      </c>
      <c r="D86" s="79">
        <v>3.2500000000000001E-2</v>
      </c>
    </row>
    <row r="87" spans="1:4">
      <c r="A87" s="65" t="s">
        <v>173</v>
      </c>
      <c r="B87" s="70" t="s">
        <v>1067</v>
      </c>
      <c r="C87" s="79">
        <v>4.3700000000000003E-2</v>
      </c>
      <c r="D87" s="79">
        <v>5.8000000000000003E-2</v>
      </c>
    </row>
    <row r="88" spans="1:4">
      <c r="A88" s="65" t="s">
        <v>175</v>
      </c>
      <c r="B88" s="70" t="s">
        <v>1068</v>
      </c>
      <c r="C88" s="79">
        <v>2.87E-2</v>
      </c>
      <c r="D88" s="79">
        <v>3.73E-2</v>
      </c>
    </row>
    <row r="89" spans="1:4">
      <c r="A89" s="65" t="s">
        <v>177</v>
      </c>
      <c r="B89" s="70" t="s">
        <v>1069</v>
      </c>
      <c r="C89" s="79">
        <v>3.2800000000000003E-2</v>
      </c>
      <c r="D89" s="79">
        <v>2.7699999999999999E-2</v>
      </c>
    </row>
    <row r="90" spans="1:4">
      <c r="A90" s="65" t="s">
        <v>179</v>
      </c>
      <c r="B90" s="70" t="s">
        <v>1070</v>
      </c>
      <c r="C90" s="79">
        <v>3.5200000000000002E-2</v>
      </c>
      <c r="D90" s="79">
        <v>3.1300000000000001E-2</v>
      </c>
    </row>
    <row r="91" spans="1:4">
      <c r="A91" s="65" t="s">
        <v>181</v>
      </c>
      <c r="B91" s="70" t="s">
        <v>1071</v>
      </c>
      <c r="C91" s="79">
        <v>3.2899999999999999E-2</v>
      </c>
      <c r="D91" s="79">
        <v>5.2200000000000003E-2</v>
      </c>
    </row>
    <row r="92" spans="1:4">
      <c r="A92" s="65" t="s">
        <v>183</v>
      </c>
      <c r="B92" s="70" t="s">
        <v>1072</v>
      </c>
      <c r="C92" s="79">
        <v>3.7600000000000001E-2</v>
      </c>
      <c r="D92" s="79">
        <v>5.1299999999999998E-2</v>
      </c>
    </row>
    <row r="93" spans="1:4">
      <c r="A93" s="65" t="s">
        <v>185</v>
      </c>
      <c r="B93" s="70" t="s">
        <v>1073</v>
      </c>
      <c r="C93" s="79">
        <v>6.4799999999999996E-2</v>
      </c>
      <c r="D93" s="79">
        <v>6.9000000000000006E-2</v>
      </c>
    </row>
    <row r="94" spans="1:4">
      <c r="A94" s="65" t="s">
        <v>187</v>
      </c>
      <c r="B94" s="70" t="s">
        <v>1074</v>
      </c>
      <c r="C94" s="79">
        <v>7.2999999999999995E-2</v>
      </c>
      <c r="D94" s="79">
        <v>4.7E-2</v>
      </c>
    </row>
    <row r="95" spans="1:4">
      <c r="A95" s="65" t="s">
        <v>189</v>
      </c>
      <c r="B95" s="70" t="s">
        <v>1075</v>
      </c>
      <c r="C95" s="79">
        <v>4.3099999999999999E-2</v>
      </c>
      <c r="D95" s="79">
        <v>5.3699999999999998E-2</v>
      </c>
    </row>
    <row r="96" spans="1:4">
      <c r="A96" s="65" t="s">
        <v>191</v>
      </c>
      <c r="B96" s="70" t="s">
        <v>1076</v>
      </c>
      <c r="C96" s="79">
        <v>5.3699999999999998E-2</v>
      </c>
      <c r="D96" s="79">
        <v>6.83E-2</v>
      </c>
    </row>
    <row r="97" spans="1:4">
      <c r="A97" s="71" t="s">
        <v>193</v>
      </c>
      <c r="B97" s="70" t="s">
        <v>1077</v>
      </c>
      <c r="C97" s="79">
        <v>6.6199999999999995E-2</v>
      </c>
      <c r="D97" s="79">
        <v>5.6399999999999999E-2</v>
      </c>
    </row>
    <row r="98" spans="1:4">
      <c r="A98" s="65" t="s">
        <v>195</v>
      </c>
      <c r="B98" s="70" t="s">
        <v>1078</v>
      </c>
      <c r="C98" s="79">
        <v>4.3200000000000002E-2</v>
      </c>
      <c r="D98" s="79">
        <v>3.9800000000000002E-2</v>
      </c>
    </row>
    <row r="99" spans="1:4">
      <c r="A99" s="65" t="s">
        <v>197</v>
      </c>
      <c r="B99" s="70" t="s">
        <v>1079</v>
      </c>
      <c r="C99" s="79">
        <v>6.0699999999999997E-2</v>
      </c>
      <c r="D99" s="79">
        <v>0.1171</v>
      </c>
    </row>
    <row r="100" spans="1:4">
      <c r="A100" s="65" t="s">
        <v>199</v>
      </c>
      <c r="B100" s="70" t="s">
        <v>1080</v>
      </c>
      <c r="C100" s="79">
        <v>0.10059999999999999</v>
      </c>
      <c r="D100" s="79">
        <v>0.17169999999999999</v>
      </c>
    </row>
    <row r="101" spans="1:4">
      <c r="A101" s="72" t="s">
        <v>445</v>
      </c>
      <c r="B101" s="1" t="s">
        <v>1081</v>
      </c>
      <c r="C101" s="79">
        <v>0</v>
      </c>
      <c r="D101" s="79">
        <v>0.17130000000000001</v>
      </c>
    </row>
    <row r="102" spans="1:4">
      <c r="A102" s="65" t="s">
        <v>201</v>
      </c>
      <c r="B102" s="70" t="s">
        <v>1082</v>
      </c>
      <c r="C102" s="79">
        <v>9.0899999999999995E-2</v>
      </c>
      <c r="D102" s="79">
        <v>7.8100000000000003E-2</v>
      </c>
    </row>
    <row r="103" spans="1:4">
      <c r="A103" s="65" t="s">
        <v>203</v>
      </c>
      <c r="B103" s="70" t="s">
        <v>1083</v>
      </c>
      <c r="C103" s="79">
        <v>5.1299999999999998E-2</v>
      </c>
      <c r="D103" s="79">
        <v>3.09E-2</v>
      </c>
    </row>
    <row r="104" spans="1:4">
      <c r="A104" s="65" t="s">
        <v>205</v>
      </c>
      <c r="B104" s="70" t="s">
        <v>1084</v>
      </c>
      <c r="C104" s="79">
        <v>4.7800000000000002E-2</v>
      </c>
      <c r="D104" s="79">
        <v>5.1900000000000002E-2</v>
      </c>
    </row>
    <row r="105" spans="1:4">
      <c r="A105" s="65" t="s">
        <v>207</v>
      </c>
      <c r="B105" s="70" t="s">
        <v>1085</v>
      </c>
      <c r="C105" s="79">
        <v>4.3700000000000003E-2</v>
      </c>
      <c r="D105" s="79">
        <v>4.9200000000000001E-2</v>
      </c>
    </row>
    <row r="106" spans="1:4">
      <c r="A106" s="65" t="s">
        <v>209</v>
      </c>
      <c r="B106" s="70" t="s">
        <v>1086</v>
      </c>
      <c r="C106" s="79">
        <v>3.6799999999999999E-2</v>
      </c>
      <c r="D106" s="79">
        <v>4.8000000000000001E-2</v>
      </c>
    </row>
    <row r="107" spans="1:4">
      <c r="A107" s="65" t="s">
        <v>211</v>
      </c>
      <c r="B107" s="70" t="s">
        <v>1087</v>
      </c>
      <c r="C107" s="79">
        <v>3.4200000000000001E-2</v>
      </c>
      <c r="D107" s="79">
        <v>4.2299999999999997E-2</v>
      </c>
    </row>
    <row r="108" spans="1:4">
      <c r="A108" s="65" t="s">
        <v>213</v>
      </c>
      <c r="B108" s="70" t="s">
        <v>1088</v>
      </c>
      <c r="C108" s="79">
        <v>7.0400000000000004E-2</v>
      </c>
      <c r="D108" s="79">
        <v>6.88E-2</v>
      </c>
    </row>
    <row r="109" spans="1:4">
      <c r="A109" s="65" t="s">
        <v>215</v>
      </c>
      <c r="B109" s="70" t="s">
        <v>1089</v>
      </c>
      <c r="C109" s="79">
        <v>2.4299999999999999E-2</v>
      </c>
      <c r="D109" s="79">
        <v>2.3E-2</v>
      </c>
    </row>
    <row r="110" spans="1:4">
      <c r="A110" s="71" t="s">
        <v>829</v>
      </c>
      <c r="B110" s="70" t="s">
        <v>1396</v>
      </c>
      <c r="C110" s="79">
        <v>3.5000000000000003E-2</v>
      </c>
      <c r="D110" s="79">
        <v>3.8670244752706612E-2</v>
      </c>
    </row>
    <row r="111" spans="1:4">
      <c r="A111" s="71" t="s">
        <v>217</v>
      </c>
      <c r="B111" s="70" t="s">
        <v>1090</v>
      </c>
      <c r="C111" s="79">
        <v>3.5000000000000003E-2</v>
      </c>
      <c r="D111" s="79">
        <v>3.8670244752706612E-2</v>
      </c>
    </row>
    <row r="112" spans="1:4">
      <c r="A112" s="72" t="s">
        <v>219</v>
      </c>
      <c r="B112" s="70" t="s">
        <v>1091</v>
      </c>
      <c r="C112" s="79">
        <v>0.20680000000000001</v>
      </c>
      <c r="D112" s="79">
        <v>0.17219999999999999</v>
      </c>
    </row>
    <row r="113" spans="1:4">
      <c r="A113" s="73" t="s">
        <v>221</v>
      </c>
      <c r="B113" s="70" t="s">
        <v>1092</v>
      </c>
      <c r="C113" s="79">
        <v>3.5000000000000003E-2</v>
      </c>
      <c r="D113" s="79">
        <v>3.8670244752706612E-2</v>
      </c>
    </row>
    <row r="114" spans="1:4">
      <c r="A114" s="65" t="s">
        <v>223</v>
      </c>
      <c r="B114" s="70" t="s">
        <v>1093</v>
      </c>
      <c r="C114" s="79">
        <v>2.1600000000000001E-2</v>
      </c>
      <c r="D114" s="79">
        <v>6.0199999999999997E-2</v>
      </c>
    </row>
    <row r="115" spans="1:4">
      <c r="A115" s="65" t="s">
        <v>225</v>
      </c>
      <c r="B115" s="70" t="s">
        <v>1094</v>
      </c>
      <c r="C115" s="79">
        <v>9.5899999999999999E-2</v>
      </c>
      <c r="D115" s="79">
        <v>0.2303</v>
      </c>
    </row>
    <row r="116" spans="1:4">
      <c r="A116" s="65" t="s">
        <v>229</v>
      </c>
      <c r="B116" s="70" t="s">
        <v>1095</v>
      </c>
      <c r="C116" s="79">
        <v>1.11E-2</v>
      </c>
      <c r="D116" s="79">
        <v>1.6799999999999999E-2</v>
      </c>
    </row>
    <row r="117" spans="1:4">
      <c r="A117" s="65" t="s">
        <v>231</v>
      </c>
      <c r="B117" s="70" t="s">
        <v>1096</v>
      </c>
      <c r="C117" s="79">
        <v>2.8999999999999998E-3</v>
      </c>
      <c r="D117" s="79">
        <v>6.3200000000000006E-2</v>
      </c>
    </row>
    <row r="118" spans="1:4">
      <c r="A118" s="65" t="s">
        <v>233</v>
      </c>
      <c r="B118" s="70" t="s">
        <v>1097</v>
      </c>
      <c r="C118" s="79">
        <v>2.0299999999999999E-2</v>
      </c>
      <c r="D118" s="79">
        <v>5.5500000000000001E-2</v>
      </c>
    </row>
    <row r="119" spans="1:4">
      <c r="A119" s="65" t="s">
        <v>235</v>
      </c>
      <c r="B119" s="70" t="s">
        <v>1098</v>
      </c>
      <c r="C119" s="79">
        <v>6.4699999999999994E-2</v>
      </c>
      <c r="D119" s="79">
        <v>7.3800000000000004E-2</v>
      </c>
    </row>
    <row r="120" spans="1:4">
      <c r="A120" s="65" t="s">
        <v>237</v>
      </c>
      <c r="B120" s="70" t="s">
        <v>1099</v>
      </c>
      <c r="C120" s="79">
        <v>4.8399999999999999E-2</v>
      </c>
      <c r="D120" s="79">
        <v>3.9699999999999999E-2</v>
      </c>
    </row>
    <row r="121" spans="1:4">
      <c r="A121" s="65" t="s">
        <v>239</v>
      </c>
      <c r="B121" s="70" t="s">
        <v>1100</v>
      </c>
      <c r="C121" s="79">
        <v>2.3800000000000002E-2</v>
      </c>
      <c r="D121" s="79">
        <v>3.2899999999999999E-2</v>
      </c>
    </row>
    <row r="122" spans="1:4">
      <c r="A122" s="65" t="s">
        <v>241</v>
      </c>
      <c r="B122" s="70" t="s">
        <v>1101</v>
      </c>
      <c r="C122" s="79">
        <v>4.7600000000000003E-2</v>
      </c>
      <c r="D122" s="79">
        <v>3.85E-2</v>
      </c>
    </row>
    <row r="123" spans="1:4">
      <c r="A123" s="65" t="s">
        <v>243</v>
      </c>
      <c r="B123" s="70" t="s">
        <v>1102</v>
      </c>
      <c r="C123" s="79">
        <v>3.3399999999999999E-2</v>
      </c>
      <c r="D123" s="79">
        <v>4.4499999999999998E-2</v>
      </c>
    </row>
    <row r="124" spans="1:4">
      <c r="A124" s="65" t="s">
        <v>245</v>
      </c>
      <c r="B124" s="70" t="s">
        <v>1103</v>
      </c>
      <c r="C124" s="79">
        <v>3.8899999999999997E-2</v>
      </c>
      <c r="D124" s="79">
        <v>5.5300000000000002E-2</v>
      </c>
    </row>
    <row r="125" spans="1:4">
      <c r="A125" s="65" t="s">
        <v>247</v>
      </c>
      <c r="B125" s="70" t="s">
        <v>1104</v>
      </c>
      <c r="C125" s="79">
        <v>9.4899999999999998E-2</v>
      </c>
      <c r="D125" s="79">
        <v>7.9799999999999996E-2</v>
      </c>
    </row>
    <row r="126" spans="1:4">
      <c r="A126" s="65" t="s">
        <v>249</v>
      </c>
      <c r="B126" s="70" t="s">
        <v>1105</v>
      </c>
      <c r="C126" s="79">
        <v>6.9699999999999998E-2</v>
      </c>
      <c r="D126" s="79">
        <v>0.10489999999999999</v>
      </c>
    </row>
    <row r="127" spans="1:4">
      <c r="A127" s="65" t="s">
        <v>253</v>
      </c>
      <c r="B127" s="70" t="s">
        <v>1106</v>
      </c>
      <c r="C127" s="79">
        <v>6.1400000000000003E-2</v>
      </c>
      <c r="D127" s="79">
        <v>7.9699999999999993E-2</v>
      </c>
    </row>
    <row r="128" spans="1:4">
      <c r="A128" s="65" t="s">
        <v>251</v>
      </c>
      <c r="B128" s="70" t="s">
        <v>1107</v>
      </c>
      <c r="C128" s="79">
        <v>3.1E-2</v>
      </c>
      <c r="D128" s="79">
        <v>3.7600000000000001E-2</v>
      </c>
    </row>
    <row r="129" spans="1:4">
      <c r="A129" s="65" t="s">
        <v>255</v>
      </c>
      <c r="B129" s="70" t="s">
        <v>1108</v>
      </c>
      <c r="C129" s="79">
        <v>4.5100000000000001E-2</v>
      </c>
      <c r="D129" s="79">
        <v>3.6299999999999999E-2</v>
      </c>
    </row>
    <row r="130" spans="1:4">
      <c r="A130" s="65" t="s">
        <v>257</v>
      </c>
      <c r="B130" s="70" t="s">
        <v>1109</v>
      </c>
      <c r="C130" s="79">
        <v>3.73E-2</v>
      </c>
      <c r="D130" s="79">
        <v>5.04E-2</v>
      </c>
    </row>
    <row r="131" spans="1:4">
      <c r="A131" s="65" t="s">
        <v>261</v>
      </c>
      <c r="B131" s="70" t="s">
        <v>1110</v>
      </c>
      <c r="C131" s="79">
        <v>3.27E-2</v>
      </c>
      <c r="D131" s="79">
        <v>3.4000000000000002E-2</v>
      </c>
    </row>
    <row r="132" spans="1:4">
      <c r="A132" s="65" t="s">
        <v>263</v>
      </c>
      <c r="B132" s="70" t="s">
        <v>1111</v>
      </c>
      <c r="C132" s="79">
        <v>3.3300000000000003E-2</v>
      </c>
      <c r="D132" s="79">
        <v>2.5399999999999999E-2</v>
      </c>
    </row>
    <row r="133" spans="1:4">
      <c r="A133" s="65" t="s">
        <v>265</v>
      </c>
      <c r="B133" s="70" t="s">
        <v>1112</v>
      </c>
      <c r="C133" s="79">
        <v>3.61E-2</v>
      </c>
      <c r="D133" s="79">
        <v>3.9600000000000003E-2</v>
      </c>
    </row>
    <row r="134" spans="1:4">
      <c r="A134" s="65" t="s">
        <v>267</v>
      </c>
      <c r="B134" s="70" t="s">
        <v>1113</v>
      </c>
      <c r="C134" s="79">
        <v>0.12230000000000001</v>
      </c>
      <c r="D134" s="79">
        <v>0.20250000000000001</v>
      </c>
    </row>
    <row r="135" spans="1:4">
      <c r="A135" s="65" t="s">
        <v>269</v>
      </c>
      <c r="B135" s="70" t="s">
        <v>1114</v>
      </c>
      <c r="C135" s="79">
        <v>3.2800000000000003E-2</v>
      </c>
      <c r="D135" s="79">
        <v>3.1399999999999997E-2</v>
      </c>
    </row>
    <row r="136" spans="1:4">
      <c r="A136" s="65" t="s">
        <v>271</v>
      </c>
      <c r="B136" s="70" t="s">
        <v>1115</v>
      </c>
      <c r="C136" s="79">
        <v>6.6699999999999995E-2</v>
      </c>
      <c r="D136" s="79">
        <v>5.21E-2</v>
      </c>
    </row>
    <row r="137" spans="1:4">
      <c r="A137" s="65" t="s">
        <v>273</v>
      </c>
      <c r="B137" s="70" t="s">
        <v>1116</v>
      </c>
      <c r="C137" s="79">
        <v>4.1599999999999998E-2</v>
      </c>
      <c r="D137" s="79">
        <v>4.8599999999999997E-2</v>
      </c>
    </row>
    <row r="138" spans="1:4">
      <c r="A138" s="65" t="s">
        <v>275</v>
      </c>
      <c r="B138" s="70" t="s">
        <v>1117</v>
      </c>
      <c r="C138" s="79">
        <v>8.5199999999999998E-2</v>
      </c>
      <c r="D138" s="79">
        <v>0.13719999999999999</v>
      </c>
    </row>
    <row r="139" spans="1:4">
      <c r="A139" s="65" t="s">
        <v>277</v>
      </c>
      <c r="B139" s="70" t="s">
        <v>1118</v>
      </c>
      <c r="C139" s="79">
        <v>5.6899999999999999E-2</v>
      </c>
      <c r="D139" s="79">
        <v>7.2900000000000006E-2</v>
      </c>
    </row>
    <row r="140" spans="1:4">
      <c r="A140" s="71" t="s">
        <v>279</v>
      </c>
      <c r="B140" s="74" t="s">
        <v>1119</v>
      </c>
      <c r="C140" s="79">
        <v>3.5000000000000003E-2</v>
      </c>
      <c r="D140" s="79">
        <v>3.8670244752706612E-2</v>
      </c>
    </row>
    <row r="141" spans="1:4">
      <c r="A141" s="65" t="s">
        <v>953</v>
      </c>
      <c r="B141" s="1" t="s">
        <v>1120</v>
      </c>
      <c r="C141" s="79">
        <v>3.5000000000000003E-2</v>
      </c>
      <c r="D141" s="79">
        <v>3.8670244752706612E-2</v>
      </c>
    </row>
    <row r="142" spans="1:4">
      <c r="A142" s="65" t="s">
        <v>281</v>
      </c>
      <c r="B142" s="70" t="s">
        <v>1121</v>
      </c>
      <c r="C142" s="79">
        <v>2.35E-2</v>
      </c>
      <c r="D142" s="79">
        <v>4.5100000000000001E-2</v>
      </c>
    </row>
    <row r="143" spans="1:4">
      <c r="A143" s="65" t="s">
        <v>283</v>
      </c>
      <c r="B143" s="70" t="s">
        <v>1122</v>
      </c>
      <c r="C143" s="79">
        <v>3.4000000000000002E-2</v>
      </c>
      <c r="D143" s="79">
        <v>5.4899999999999997E-2</v>
      </c>
    </row>
    <row r="144" spans="1:4">
      <c r="A144" s="65" t="s">
        <v>285</v>
      </c>
      <c r="B144" s="70" t="s">
        <v>1123</v>
      </c>
      <c r="C144" s="79">
        <v>2.3E-2</v>
      </c>
      <c r="D144" s="79">
        <v>7.9100000000000004E-2</v>
      </c>
    </row>
    <row r="145" spans="1:4">
      <c r="A145" s="65" t="s">
        <v>287</v>
      </c>
      <c r="B145" s="70" t="s">
        <v>1124</v>
      </c>
      <c r="C145" s="79">
        <v>8.2199999999999995E-2</v>
      </c>
      <c r="D145" s="79">
        <v>3.73E-2</v>
      </c>
    </row>
    <row r="146" spans="1:4">
      <c r="A146" s="65" t="s">
        <v>289</v>
      </c>
      <c r="B146" s="70" t="s">
        <v>1125</v>
      </c>
      <c r="C146" s="79">
        <v>3.9E-2</v>
      </c>
      <c r="D146" s="79">
        <v>6.3700000000000007E-2</v>
      </c>
    </row>
    <row r="147" spans="1:4">
      <c r="A147" s="65" t="s">
        <v>291</v>
      </c>
      <c r="B147" s="70" t="s">
        <v>1126</v>
      </c>
      <c r="C147" s="79">
        <v>2.3099999999999999E-2</v>
      </c>
      <c r="D147" s="79">
        <v>2.4500000000000001E-2</v>
      </c>
    </row>
    <row r="148" spans="1:4">
      <c r="A148" s="65" t="s">
        <v>293</v>
      </c>
      <c r="B148" s="70" t="s">
        <v>1127</v>
      </c>
      <c r="C148" s="79">
        <v>3.1699999999999999E-2</v>
      </c>
      <c r="D148" s="79">
        <v>4.7E-2</v>
      </c>
    </row>
    <row r="149" spans="1:4">
      <c r="A149" s="65" t="s">
        <v>295</v>
      </c>
      <c r="B149" s="70" t="s">
        <v>1128</v>
      </c>
      <c r="C149" s="79">
        <v>3.6600000000000001E-2</v>
      </c>
      <c r="D149" s="79">
        <v>3.8100000000000002E-2</v>
      </c>
    </row>
    <row r="150" spans="1:4">
      <c r="A150" s="65" t="s">
        <v>297</v>
      </c>
      <c r="B150" s="70" t="s">
        <v>1129</v>
      </c>
      <c r="C150" s="79">
        <v>3.1099999999999999E-2</v>
      </c>
      <c r="D150" s="79">
        <v>5.11E-2</v>
      </c>
    </row>
    <row r="151" spans="1:4">
      <c r="A151" s="65" t="s">
        <v>299</v>
      </c>
      <c r="B151" s="70" t="s">
        <v>1130</v>
      </c>
      <c r="C151" s="79">
        <v>2.47E-2</v>
      </c>
      <c r="D151" s="79">
        <v>3.6499999999999998E-2</v>
      </c>
    </row>
    <row r="152" spans="1:4">
      <c r="A152" s="65" t="s">
        <v>301</v>
      </c>
      <c r="B152" s="70" t="s">
        <v>1131</v>
      </c>
      <c r="C152" s="79">
        <v>4.5499999999999999E-2</v>
      </c>
      <c r="D152" s="79">
        <v>4.41E-2</v>
      </c>
    </row>
    <row r="153" spans="1:4">
      <c r="A153" s="65" t="s">
        <v>303</v>
      </c>
      <c r="B153" s="70" t="s">
        <v>1132</v>
      </c>
      <c r="C153" s="79">
        <v>2.8500000000000001E-2</v>
      </c>
      <c r="D153" s="79">
        <v>3.5200000000000002E-2</v>
      </c>
    </row>
    <row r="154" spans="1:4">
      <c r="A154" s="65" t="s">
        <v>305</v>
      </c>
      <c r="B154" s="70" t="s">
        <v>1133</v>
      </c>
      <c r="C154" s="79">
        <v>5.2299999999999999E-2</v>
      </c>
      <c r="D154" s="79">
        <v>5.79E-2</v>
      </c>
    </row>
    <row r="155" spans="1:4">
      <c r="A155" s="65" t="s">
        <v>307</v>
      </c>
      <c r="B155" s="70" t="s">
        <v>1134</v>
      </c>
      <c r="C155" s="79">
        <v>3.1300000000000001E-2</v>
      </c>
      <c r="D155" s="79">
        <v>4.02E-2</v>
      </c>
    </row>
    <row r="156" spans="1:4">
      <c r="A156" s="65" t="s">
        <v>309</v>
      </c>
      <c r="B156" s="70" t="s">
        <v>1135</v>
      </c>
      <c r="C156" s="79">
        <v>4.24E-2</v>
      </c>
      <c r="D156" s="79">
        <v>1.5699999999999999E-2</v>
      </c>
    </row>
    <row r="157" spans="1:4">
      <c r="A157" s="65" t="s">
        <v>311</v>
      </c>
      <c r="B157" s="70" t="s">
        <v>1136</v>
      </c>
      <c r="C157" s="79">
        <v>3.5799999999999998E-2</v>
      </c>
      <c r="D157" s="79">
        <v>4.0399999999999998E-2</v>
      </c>
    </row>
    <row r="158" spans="1:4">
      <c r="A158" s="65" t="s">
        <v>313</v>
      </c>
      <c r="B158" s="70" t="s">
        <v>1137</v>
      </c>
      <c r="C158" s="79">
        <v>2.5600000000000001E-2</v>
      </c>
      <c r="D158" s="79">
        <v>1.6799999999999999E-2</v>
      </c>
    </row>
    <row r="159" spans="1:4">
      <c r="A159" s="65" t="s">
        <v>315</v>
      </c>
      <c r="B159" s="70" t="s">
        <v>1138</v>
      </c>
      <c r="C159" s="79">
        <v>1.3599999999999999E-2</v>
      </c>
      <c r="D159" s="79">
        <v>1.5599999999999999E-2</v>
      </c>
    </row>
    <row r="160" spans="1:4">
      <c r="A160" s="65" t="s">
        <v>317</v>
      </c>
      <c r="B160" s="70" t="s">
        <v>1139</v>
      </c>
      <c r="C160" s="79">
        <v>0.04</v>
      </c>
      <c r="D160" s="79">
        <v>4.3E-3</v>
      </c>
    </row>
    <row r="161" spans="1:4">
      <c r="A161" s="65" t="s">
        <v>319</v>
      </c>
      <c r="B161" s="70" t="s">
        <v>1140</v>
      </c>
      <c r="C161" s="79">
        <v>3.2099999999999997E-2</v>
      </c>
      <c r="D161" s="79">
        <v>2.5100000000000001E-2</v>
      </c>
    </row>
    <row r="162" spans="1:4">
      <c r="A162" s="65" t="s">
        <v>321</v>
      </c>
      <c r="B162" s="70" t="s">
        <v>1141</v>
      </c>
      <c r="C162" s="79">
        <v>5.3900000000000003E-2</v>
      </c>
      <c r="D162" s="79">
        <v>8.6900000000000005E-2</v>
      </c>
    </row>
    <row r="163" spans="1:4">
      <c r="A163" s="65" t="s">
        <v>323</v>
      </c>
      <c r="B163" s="70" t="s">
        <v>1142</v>
      </c>
      <c r="C163" s="79">
        <v>3.6600000000000001E-2</v>
      </c>
      <c r="D163" s="79">
        <v>3.5400000000000001E-2</v>
      </c>
    </row>
    <row r="164" spans="1:4">
      <c r="A164" s="65" t="s">
        <v>325</v>
      </c>
      <c r="B164" s="70" t="s">
        <v>1143</v>
      </c>
      <c r="C164" s="79">
        <v>4.7E-2</v>
      </c>
      <c r="D164" s="79">
        <v>4.1599999999999998E-2</v>
      </c>
    </row>
    <row r="165" spans="1:4">
      <c r="A165" s="65" t="s">
        <v>327</v>
      </c>
      <c r="B165" s="70" t="s">
        <v>1144</v>
      </c>
      <c r="C165" s="79">
        <v>2.7699999999999999E-2</v>
      </c>
      <c r="D165" s="79">
        <v>4.3799999999999999E-2</v>
      </c>
    </row>
    <row r="166" spans="1:4">
      <c r="A166" s="65" t="s">
        <v>825</v>
      </c>
      <c r="B166" s="1" t="s">
        <v>1145</v>
      </c>
      <c r="C166" s="79">
        <v>3.5000000000000003E-2</v>
      </c>
      <c r="D166" s="79">
        <v>3.8670244752706612E-2</v>
      </c>
    </row>
    <row r="167" spans="1:4">
      <c r="A167" s="65" t="s">
        <v>329</v>
      </c>
      <c r="B167" s="70" t="s">
        <v>1146</v>
      </c>
      <c r="C167" s="79">
        <v>4.2599999999999999E-2</v>
      </c>
      <c r="D167" s="79">
        <v>3.9699999999999999E-2</v>
      </c>
    </row>
    <row r="168" spans="1:4">
      <c r="A168" s="65" t="s">
        <v>331</v>
      </c>
      <c r="B168" s="70" t="s">
        <v>1147</v>
      </c>
      <c r="C168" s="79">
        <v>4.7600000000000003E-2</v>
      </c>
      <c r="D168" s="79">
        <v>4.5100000000000001E-2</v>
      </c>
    </row>
    <row r="169" spans="1:4">
      <c r="A169" s="65" t="s">
        <v>333</v>
      </c>
      <c r="B169" s="70" t="s">
        <v>1148</v>
      </c>
      <c r="C169" s="79">
        <v>3.4799999999999998E-2</v>
      </c>
      <c r="D169" s="79">
        <v>4.58E-2</v>
      </c>
    </row>
    <row r="170" spans="1:4">
      <c r="A170" s="65" t="s">
        <v>335</v>
      </c>
      <c r="B170" s="70" t="s">
        <v>1149</v>
      </c>
      <c r="C170" s="79">
        <v>1.89E-2</v>
      </c>
      <c r="D170" s="79">
        <v>4.7000000000000002E-3</v>
      </c>
    </row>
    <row r="171" spans="1:4">
      <c r="A171" s="65" t="s">
        <v>337</v>
      </c>
      <c r="B171" s="70" t="s">
        <v>1150</v>
      </c>
      <c r="C171" s="79">
        <v>6.8500000000000005E-2</v>
      </c>
      <c r="D171" s="79">
        <v>6.5299999999999997E-2</v>
      </c>
    </row>
    <row r="172" spans="1:4">
      <c r="A172" s="65" t="s">
        <v>339</v>
      </c>
      <c r="B172" s="70" t="s">
        <v>1151</v>
      </c>
      <c r="C172" s="79">
        <v>2.1999999999999999E-2</v>
      </c>
      <c r="D172" s="79">
        <v>2.7199999999999998E-2</v>
      </c>
    </row>
    <row r="173" spans="1:4">
      <c r="A173" s="65" t="s">
        <v>341</v>
      </c>
      <c r="B173" s="70" t="s">
        <v>1152</v>
      </c>
      <c r="C173" s="79">
        <v>2.86E-2</v>
      </c>
      <c r="D173" s="79">
        <v>2.52E-2</v>
      </c>
    </row>
    <row r="174" spans="1:4">
      <c r="A174" s="65" t="s">
        <v>343</v>
      </c>
      <c r="B174" s="70" t="s">
        <v>1153</v>
      </c>
      <c r="C174" s="79">
        <v>2.12E-2</v>
      </c>
      <c r="D174" s="79">
        <v>3.0200000000000001E-2</v>
      </c>
    </row>
    <row r="175" spans="1:4">
      <c r="A175" s="65" t="s">
        <v>345</v>
      </c>
      <c r="B175" s="70" t="s">
        <v>1154</v>
      </c>
      <c r="C175" s="79">
        <v>2.8500000000000001E-2</v>
      </c>
      <c r="D175" s="79">
        <v>4.5199999999999997E-2</v>
      </c>
    </row>
    <row r="176" spans="1:4">
      <c r="A176" s="65" t="s">
        <v>347</v>
      </c>
      <c r="B176" s="70" t="s">
        <v>1155</v>
      </c>
      <c r="C176" s="79">
        <v>1.4800000000000001E-2</v>
      </c>
      <c r="D176" s="79">
        <v>2.3E-2</v>
      </c>
    </row>
    <row r="177" spans="1:4">
      <c r="A177" s="65" t="s">
        <v>349</v>
      </c>
      <c r="B177" s="70" t="s">
        <v>1156</v>
      </c>
      <c r="C177" s="79">
        <v>3.8100000000000002E-2</v>
      </c>
      <c r="D177" s="79">
        <v>6.9000000000000006E-2</v>
      </c>
    </row>
    <row r="178" spans="1:4">
      <c r="A178" s="65" t="s">
        <v>351</v>
      </c>
      <c r="B178" s="70" t="s">
        <v>1157</v>
      </c>
      <c r="C178" s="79">
        <v>7.3800000000000004E-2</v>
      </c>
      <c r="D178" s="79">
        <v>7.4099999999999999E-2</v>
      </c>
    </row>
    <row r="179" spans="1:4">
      <c r="A179" s="65" t="s">
        <v>353</v>
      </c>
      <c r="B179" s="70" t="s">
        <v>1158</v>
      </c>
      <c r="C179" s="79">
        <v>0</v>
      </c>
      <c r="D179" s="79">
        <v>2.5600000000000001E-2</v>
      </c>
    </row>
    <row r="180" spans="1:4">
      <c r="A180" s="65" t="s">
        <v>355</v>
      </c>
      <c r="B180" s="70" t="s">
        <v>1159</v>
      </c>
      <c r="C180" s="79">
        <v>4.0899999999999999E-2</v>
      </c>
      <c r="D180" s="79">
        <v>3.1399999999999997E-2</v>
      </c>
    </row>
    <row r="181" spans="1:4">
      <c r="A181" s="65" t="s">
        <v>357</v>
      </c>
      <c r="B181" s="70" t="s">
        <v>1160</v>
      </c>
      <c r="C181" s="79">
        <v>8.72E-2</v>
      </c>
      <c r="D181" s="79">
        <v>4.2000000000000003E-2</v>
      </c>
    </row>
    <row r="182" spans="1:4">
      <c r="A182" s="65" t="s">
        <v>359</v>
      </c>
      <c r="B182" s="70" t="s">
        <v>1161</v>
      </c>
      <c r="C182" s="79">
        <v>3.44E-2</v>
      </c>
      <c r="D182" s="79">
        <v>3.27E-2</v>
      </c>
    </row>
    <row r="183" spans="1:4">
      <c r="A183" s="65" t="s">
        <v>361</v>
      </c>
      <c r="B183" s="70" t="s">
        <v>1162</v>
      </c>
      <c r="C183" s="79">
        <v>3.39E-2</v>
      </c>
      <c r="D183" s="79">
        <v>5.3400000000000003E-2</v>
      </c>
    </row>
    <row r="184" spans="1:4">
      <c r="A184" s="65" t="s">
        <v>363</v>
      </c>
      <c r="B184" s="70" t="s">
        <v>1163</v>
      </c>
      <c r="C184" s="79">
        <v>4.9599999999999998E-2</v>
      </c>
      <c r="D184" s="79">
        <v>6.3100000000000003E-2</v>
      </c>
    </row>
    <row r="185" spans="1:4">
      <c r="A185" s="65" t="s">
        <v>365</v>
      </c>
      <c r="B185" s="70" t="s">
        <v>1164</v>
      </c>
      <c r="C185" s="79">
        <v>0</v>
      </c>
      <c r="D185" s="79">
        <v>3.8699999999999998E-2</v>
      </c>
    </row>
    <row r="186" spans="1:4">
      <c r="A186" s="65" t="s">
        <v>367</v>
      </c>
      <c r="B186" s="70" t="s">
        <v>1165</v>
      </c>
      <c r="C186" s="79">
        <v>2.46E-2</v>
      </c>
      <c r="D186" s="79">
        <v>7.5899999999999995E-2</v>
      </c>
    </row>
    <row r="187" spans="1:4">
      <c r="A187" s="65" t="s">
        <v>369</v>
      </c>
      <c r="B187" s="70" t="s">
        <v>1166</v>
      </c>
      <c r="C187" s="79">
        <v>2.7199999999999998E-2</v>
      </c>
      <c r="D187" s="79">
        <v>3.32E-2</v>
      </c>
    </row>
    <row r="188" spans="1:4">
      <c r="A188" s="65" t="s">
        <v>371</v>
      </c>
      <c r="B188" s="70" t="s">
        <v>1167</v>
      </c>
      <c r="C188" s="79">
        <v>2.9700000000000001E-2</v>
      </c>
      <c r="D188" s="79">
        <v>3.3099999999999997E-2</v>
      </c>
    </row>
    <row r="189" spans="1:4">
      <c r="A189" s="65" t="s">
        <v>373</v>
      </c>
      <c r="B189" s="70" t="s">
        <v>1168</v>
      </c>
      <c r="C189" s="79">
        <v>1.83E-2</v>
      </c>
      <c r="D189" s="79">
        <v>5.7000000000000002E-2</v>
      </c>
    </row>
    <row r="190" spans="1:4">
      <c r="A190" s="65" t="s">
        <v>375</v>
      </c>
      <c r="B190" s="70" t="s">
        <v>1169</v>
      </c>
      <c r="C190" s="79">
        <v>3.8199999999999998E-2</v>
      </c>
      <c r="D190" s="79">
        <v>2.64E-2</v>
      </c>
    </row>
    <row r="191" spans="1:4">
      <c r="A191" s="65" t="s">
        <v>377</v>
      </c>
      <c r="B191" s="70" t="s">
        <v>1170</v>
      </c>
      <c r="C191" s="79">
        <v>5.16E-2</v>
      </c>
      <c r="D191" s="79">
        <v>4.2999999999999997E-2</v>
      </c>
    </row>
    <row r="192" spans="1:4">
      <c r="A192" s="65" t="s">
        <v>379</v>
      </c>
      <c r="B192" s="70" t="s">
        <v>1171</v>
      </c>
      <c r="C192" s="79">
        <v>4.41E-2</v>
      </c>
      <c r="D192" s="79">
        <v>3.5700000000000003E-2</v>
      </c>
    </row>
    <row r="193" spans="1:4">
      <c r="A193" s="65" t="s">
        <v>381</v>
      </c>
      <c r="B193" s="70" t="s">
        <v>1172</v>
      </c>
      <c r="C193" s="79">
        <v>6.6799999999999998E-2</v>
      </c>
      <c r="D193" s="79">
        <v>7.7499999999999999E-2</v>
      </c>
    </row>
    <row r="194" spans="1:4">
      <c r="A194" s="65" t="s">
        <v>383</v>
      </c>
      <c r="B194" s="70" t="s">
        <v>1173</v>
      </c>
      <c r="C194" s="79">
        <v>0.1123</v>
      </c>
      <c r="D194" s="79">
        <v>0.1055</v>
      </c>
    </row>
    <row r="195" spans="1:4">
      <c r="A195" s="65" t="s">
        <v>385</v>
      </c>
      <c r="B195" s="70" t="s">
        <v>1174</v>
      </c>
      <c r="C195" s="79">
        <v>3.0599999999999999E-2</v>
      </c>
      <c r="D195" s="79">
        <v>2.8000000000000001E-2</v>
      </c>
    </row>
    <row r="196" spans="1:4">
      <c r="A196" s="65" t="s">
        <v>387</v>
      </c>
      <c r="B196" s="70" t="s">
        <v>1175</v>
      </c>
      <c r="C196" s="79">
        <v>4.0300000000000002E-2</v>
      </c>
      <c r="D196" s="79">
        <v>7.2700000000000001E-2</v>
      </c>
    </row>
    <row r="197" spans="1:4">
      <c r="A197" s="65" t="s">
        <v>389</v>
      </c>
      <c r="B197" s="70" t="s">
        <v>1176</v>
      </c>
      <c r="C197" s="79">
        <v>0.14829999999999999</v>
      </c>
      <c r="D197" s="79">
        <v>0.10290000000000001</v>
      </c>
    </row>
    <row r="198" spans="1:4">
      <c r="A198" s="65" t="s">
        <v>391</v>
      </c>
      <c r="B198" s="70" t="s">
        <v>1177</v>
      </c>
      <c r="C198" s="79">
        <v>3.39E-2</v>
      </c>
      <c r="D198" s="79">
        <v>3.6200000000000003E-2</v>
      </c>
    </row>
    <row r="199" spans="1:4">
      <c r="A199" s="65" t="s">
        <v>393</v>
      </c>
      <c r="B199" s="70" t="s">
        <v>1178</v>
      </c>
      <c r="C199" s="79">
        <v>5.9400000000000001E-2</v>
      </c>
      <c r="D199" s="79">
        <v>6.8500000000000005E-2</v>
      </c>
    </row>
    <row r="200" spans="1:4">
      <c r="A200" s="65" t="s">
        <v>395</v>
      </c>
      <c r="B200" s="70" t="s">
        <v>1179</v>
      </c>
      <c r="C200" s="79">
        <v>4.1300000000000003E-2</v>
      </c>
      <c r="D200" s="79">
        <v>2.3099999999999999E-2</v>
      </c>
    </row>
    <row r="201" spans="1:4">
      <c r="A201" s="65" t="s">
        <v>397</v>
      </c>
      <c r="B201" s="70" t="s">
        <v>1180</v>
      </c>
      <c r="C201" s="79">
        <v>0.1046</v>
      </c>
      <c r="D201" s="79">
        <v>0.2049</v>
      </c>
    </row>
    <row r="202" spans="1:4">
      <c r="A202" s="65" t="s">
        <v>399</v>
      </c>
      <c r="B202" s="70" t="s">
        <v>1181</v>
      </c>
      <c r="C202" s="79">
        <v>3.6400000000000002E-2</v>
      </c>
      <c r="D202" s="79">
        <v>4.7899999999999998E-2</v>
      </c>
    </row>
    <row r="203" spans="1:4">
      <c r="A203" s="71" t="s">
        <v>864</v>
      </c>
      <c r="B203" s="70" t="s">
        <v>1397</v>
      </c>
      <c r="C203" s="79">
        <v>3.5000000000000003E-2</v>
      </c>
      <c r="D203" s="79">
        <v>3.8670244752706612E-2</v>
      </c>
    </row>
    <row r="204" spans="1:4">
      <c r="A204" s="65" t="s">
        <v>401</v>
      </c>
      <c r="B204" s="70" t="s">
        <v>1182</v>
      </c>
      <c r="C204" s="79">
        <v>3.1899999999999998E-2</v>
      </c>
      <c r="D204" s="79">
        <v>2.9100000000000001E-2</v>
      </c>
    </row>
    <row r="205" spans="1:4">
      <c r="A205" s="65" t="s">
        <v>403</v>
      </c>
      <c r="B205" s="70" t="s">
        <v>1183</v>
      </c>
      <c r="C205" s="79">
        <v>0.1191</v>
      </c>
      <c r="D205" s="79">
        <v>0.1162</v>
      </c>
    </row>
    <row r="206" spans="1:4">
      <c r="A206" s="65" t="s">
        <v>405</v>
      </c>
      <c r="B206" s="70" t="s">
        <v>1184</v>
      </c>
      <c r="C206" s="79">
        <v>1.78E-2</v>
      </c>
      <c r="D206" s="79">
        <v>0</v>
      </c>
    </row>
    <row r="207" spans="1:4">
      <c r="A207" s="65" t="s">
        <v>407</v>
      </c>
      <c r="B207" s="70" t="s">
        <v>1185</v>
      </c>
      <c r="C207" s="79">
        <v>3.7600000000000001E-2</v>
      </c>
      <c r="D207" s="79">
        <v>2.7799999999999998E-2</v>
      </c>
    </row>
    <row r="208" spans="1:4">
      <c r="A208" s="65" t="s">
        <v>409</v>
      </c>
      <c r="B208" s="70" t="s">
        <v>1186</v>
      </c>
      <c r="C208" s="79">
        <v>2.7000000000000001E-3</v>
      </c>
      <c r="D208" s="79">
        <v>2.8299999999999999E-2</v>
      </c>
    </row>
    <row r="209" spans="1:4">
      <c r="A209" s="65" t="s">
        <v>411</v>
      </c>
      <c r="B209" s="70" t="s">
        <v>1187</v>
      </c>
      <c r="C209" s="79">
        <v>3.5000000000000003E-2</v>
      </c>
      <c r="D209" s="79">
        <v>3.8670244752706612E-2</v>
      </c>
    </row>
    <row r="210" spans="1:4">
      <c r="A210" s="65" t="s">
        <v>413</v>
      </c>
      <c r="B210" s="70" t="s">
        <v>1188</v>
      </c>
      <c r="C210" s="79">
        <v>6.1100000000000002E-2</v>
      </c>
      <c r="D210" s="79">
        <v>8.8999999999999996E-2</v>
      </c>
    </row>
    <row r="211" spans="1:4">
      <c r="A211" s="65" t="s">
        <v>415</v>
      </c>
      <c r="B211" s="70" t="s">
        <v>1189</v>
      </c>
      <c r="C211" s="79">
        <v>6.7699999999999996E-2</v>
      </c>
      <c r="D211" s="79">
        <v>6.25E-2</v>
      </c>
    </row>
    <row r="212" spans="1:4">
      <c r="A212" s="65" t="s">
        <v>417</v>
      </c>
      <c r="B212" s="70" t="s">
        <v>1190</v>
      </c>
      <c r="C212" s="79">
        <v>6.3299999999999995E-2</v>
      </c>
      <c r="D212" s="79">
        <v>8.0100000000000005E-2</v>
      </c>
    </row>
    <row r="213" spans="1:4">
      <c r="A213" s="65" t="s">
        <v>419</v>
      </c>
      <c r="B213" s="70" t="s">
        <v>1191</v>
      </c>
      <c r="C213" s="79">
        <v>3.7100000000000001E-2</v>
      </c>
      <c r="D213" s="79">
        <v>3.8100000000000002E-2</v>
      </c>
    </row>
    <row r="214" spans="1:4">
      <c r="A214" s="65" t="s">
        <v>421</v>
      </c>
      <c r="B214" s="70" t="s">
        <v>1192</v>
      </c>
      <c r="C214" s="79">
        <v>3.0200000000000001E-2</v>
      </c>
      <c r="D214" s="79">
        <v>1.7899999999999999E-2</v>
      </c>
    </row>
    <row r="215" spans="1:4">
      <c r="A215" s="65" t="s">
        <v>423</v>
      </c>
      <c r="B215" s="1" t="s">
        <v>1193</v>
      </c>
      <c r="C215" s="79">
        <v>9.5799999999999996E-2</v>
      </c>
      <c r="D215" s="79">
        <v>6.6799999999999998E-2</v>
      </c>
    </row>
    <row r="216" spans="1:4">
      <c r="A216" s="65" t="s">
        <v>425</v>
      </c>
      <c r="B216" s="70" t="s">
        <v>1194</v>
      </c>
      <c r="C216" s="79">
        <v>2.63E-2</v>
      </c>
      <c r="D216" s="79">
        <v>4.1599999999999998E-2</v>
      </c>
    </row>
    <row r="217" spans="1:4">
      <c r="A217" s="65" t="s">
        <v>427</v>
      </c>
      <c r="B217" s="70" t="s">
        <v>1195</v>
      </c>
      <c r="C217" s="79">
        <v>4.8500000000000001E-2</v>
      </c>
      <c r="D217" s="79">
        <v>4.3999999999999997E-2</v>
      </c>
    </row>
    <row r="218" spans="1:4">
      <c r="A218" s="65" t="s">
        <v>429</v>
      </c>
      <c r="B218" s="70" t="s">
        <v>1196</v>
      </c>
      <c r="C218" s="79">
        <v>3.5000000000000003E-2</v>
      </c>
      <c r="D218" s="79"/>
    </row>
    <row r="219" spans="1:4">
      <c r="A219" s="65" t="s">
        <v>431</v>
      </c>
      <c r="B219" s="70" t="s">
        <v>1197</v>
      </c>
      <c r="C219" s="79">
        <v>4.1099999999999998E-2</v>
      </c>
      <c r="D219" s="79">
        <v>4.4600000000000001E-2</v>
      </c>
    </row>
    <row r="220" spans="1:4">
      <c r="A220" s="65" t="s">
        <v>433</v>
      </c>
      <c r="B220" s="70" t="s">
        <v>1198</v>
      </c>
      <c r="C220" s="79">
        <v>8.6599999999999996E-2</v>
      </c>
      <c r="D220" s="79">
        <v>6.1699999999999998E-2</v>
      </c>
    </row>
    <row r="221" spans="1:4">
      <c r="A221" s="65" t="s">
        <v>435</v>
      </c>
      <c r="B221" s="70" t="s">
        <v>1199</v>
      </c>
      <c r="C221" s="79">
        <v>3.7100000000000001E-2</v>
      </c>
      <c r="D221" s="79">
        <v>3.9899999999999998E-2</v>
      </c>
    </row>
    <row r="222" spans="1:4">
      <c r="A222" s="65" t="s">
        <v>437</v>
      </c>
      <c r="B222" s="70" t="s">
        <v>1200</v>
      </c>
      <c r="C222" s="79">
        <v>1.8100000000000002E-2</v>
      </c>
      <c r="D222" s="79">
        <v>1.6299999999999999E-2</v>
      </c>
    </row>
    <row r="223" spans="1:4">
      <c r="A223" s="72" t="s">
        <v>766</v>
      </c>
      <c r="B223" s="70" t="s">
        <v>1201</v>
      </c>
      <c r="C223" s="79">
        <v>3.5000000000000003E-2</v>
      </c>
      <c r="D223" s="79">
        <v>3.8670244752706612E-2</v>
      </c>
    </row>
    <row r="224" spans="1:4">
      <c r="A224" s="65" t="s">
        <v>259</v>
      </c>
      <c r="B224" s="70" t="s">
        <v>1202</v>
      </c>
      <c r="C224" s="79">
        <v>2.93E-2</v>
      </c>
      <c r="D224" s="79">
        <v>5.3600000000000002E-2</v>
      </c>
    </row>
    <row r="225" spans="1:4">
      <c r="A225" s="65" t="s">
        <v>439</v>
      </c>
      <c r="B225" s="70" t="s">
        <v>1203</v>
      </c>
      <c r="C225" s="79">
        <v>5.6899999999999999E-2</v>
      </c>
      <c r="D225" s="79">
        <v>5.5E-2</v>
      </c>
    </row>
    <row r="226" spans="1:4">
      <c r="A226" s="65" t="s">
        <v>441</v>
      </c>
      <c r="B226" s="70" t="s">
        <v>1204</v>
      </c>
      <c r="C226" s="79">
        <v>3.1099999999999999E-2</v>
      </c>
      <c r="D226" s="79">
        <v>3.1800000000000002E-2</v>
      </c>
    </row>
    <row r="227" spans="1:4">
      <c r="A227" s="65" t="s">
        <v>443</v>
      </c>
      <c r="B227" s="1" t="s">
        <v>1205</v>
      </c>
      <c r="C227" s="79">
        <v>3.0599999999999999E-2</v>
      </c>
      <c r="D227" s="79">
        <v>0</v>
      </c>
    </row>
    <row r="228" spans="1:4">
      <c r="A228" s="65" t="s">
        <v>447</v>
      </c>
      <c r="B228" s="70" t="s">
        <v>1206</v>
      </c>
      <c r="C228" s="79">
        <v>2.9600000000000001E-2</v>
      </c>
      <c r="D228" s="79">
        <v>1.8800000000000001E-2</v>
      </c>
    </row>
    <row r="229" spans="1:4">
      <c r="A229" s="65" t="s">
        <v>449</v>
      </c>
      <c r="B229" s="70" t="s">
        <v>1207</v>
      </c>
      <c r="C229" s="79">
        <v>4.6300000000000001E-2</v>
      </c>
      <c r="D229" s="79">
        <v>0.04</v>
      </c>
    </row>
    <row r="230" spans="1:4">
      <c r="A230" s="65" t="s">
        <v>451</v>
      </c>
      <c r="B230" s="70" t="s">
        <v>1208</v>
      </c>
      <c r="C230" s="79">
        <v>2.4799999999999999E-2</v>
      </c>
      <c r="D230" s="79">
        <v>2.9100000000000001E-2</v>
      </c>
    </row>
    <row r="231" spans="1:4">
      <c r="A231" s="65" t="s">
        <v>453</v>
      </c>
      <c r="B231" s="70" t="s">
        <v>1209</v>
      </c>
      <c r="C231" s="79">
        <v>7.5300000000000006E-2</v>
      </c>
      <c r="D231" s="79">
        <v>5.1799999999999999E-2</v>
      </c>
    </row>
    <row r="232" spans="1:4">
      <c r="A232" s="65" t="s">
        <v>455</v>
      </c>
      <c r="B232" s="70" t="s">
        <v>1210</v>
      </c>
      <c r="C232" s="79">
        <v>4.2099999999999999E-2</v>
      </c>
      <c r="D232" s="79">
        <v>3.95E-2</v>
      </c>
    </row>
    <row r="233" spans="1:4">
      <c r="A233" s="65" t="s">
        <v>457</v>
      </c>
      <c r="B233" s="70" t="s">
        <v>1211</v>
      </c>
      <c r="C233" s="79">
        <v>5.8799999999999998E-2</v>
      </c>
      <c r="D233" s="79">
        <v>4.5999999999999999E-2</v>
      </c>
    </row>
    <row r="234" spans="1:4">
      <c r="A234" s="65" t="s">
        <v>459</v>
      </c>
      <c r="B234" s="70" t="s">
        <v>1212</v>
      </c>
      <c r="C234" s="79">
        <v>5.4399999999999997E-2</v>
      </c>
      <c r="D234" s="79">
        <v>5.5399999999999998E-2</v>
      </c>
    </row>
    <row r="235" spans="1:4">
      <c r="A235" s="65" t="s">
        <v>461</v>
      </c>
      <c r="B235" s="70" t="s">
        <v>1213</v>
      </c>
      <c r="C235" s="79">
        <v>4.3299999999999998E-2</v>
      </c>
      <c r="D235" s="79">
        <v>3.6400000000000002E-2</v>
      </c>
    </row>
    <row r="236" spans="1:4">
      <c r="A236" s="65" t="s">
        <v>463</v>
      </c>
      <c r="B236" s="70" t="s">
        <v>1214</v>
      </c>
      <c r="C236" s="79">
        <v>3.95E-2</v>
      </c>
      <c r="D236" s="79">
        <v>9.3600000000000003E-2</v>
      </c>
    </row>
    <row r="237" spans="1:4">
      <c r="A237" s="65" t="s">
        <v>465</v>
      </c>
      <c r="B237" s="70" t="s">
        <v>1215</v>
      </c>
      <c r="C237" s="79">
        <v>1.9599999999999999E-2</v>
      </c>
      <c r="D237" s="79">
        <v>2.35E-2</v>
      </c>
    </row>
    <row r="238" spans="1:4">
      <c r="A238" s="65" t="s">
        <v>467</v>
      </c>
      <c r="B238" s="70" t="s">
        <v>1216</v>
      </c>
      <c r="C238" s="79">
        <v>8.2600000000000007E-2</v>
      </c>
      <c r="D238" s="79">
        <v>0.15459999999999999</v>
      </c>
    </row>
    <row r="239" spans="1:4">
      <c r="A239" s="71" t="s">
        <v>699</v>
      </c>
      <c r="B239" s="70" t="s">
        <v>1398</v>
      </c>
      <c r="C239" s="79">
        <v>3.5000000000000003E-2</v>
      </c>
      <c r="D239" s="79">
        <v>3.8670244752706612E-2</v>
      </c>
    </row>
    <row r="240" spans="1:4">
      <c r="A240" s="65" t="s">
        <v>469</v>
      </c>
      <c r="B240" s="70" t="s">
        <v>1217</v>
      </c>
      <c r="C240" s="79">
        <v>5.6000000000000001E-2</v>
      </c>
      <c r="D240" s="79">
        <v>5.2299999999999999E-2</v>
      </c>
    </row>
    <row r="241" spans="1:4">
      <c r="A241" s="65" t="s">
        <v>471</v>
      </c>
      <c r="B241" s="70" t="s">
        <v>1218</v>
      </c>
      <c r="C241" s="79">
        <v>4.6300000000000001E-2</v>
      </c>
      <c r="D241" s="79">
        <v>5.1900000000000002E-2</v>
      </c>
    </row>
    <row r="242" spans="1:4">
      <c r="A242" s="65" t="s">
        <v>475</v>
      </c>
      <c r="B242" s="70" t="s">
        <v>1219</v>
      </c>
      <c r="C242" s="79">
        <v>6.9099999999999995E-2</v>
      </c>
      <c r="D242" s="79">
        <v>6.7299999999999999E-2</v>
      </c>
    </row>
    <row r="243" spans="1:4">
      <c r="A243" s="65" t="s">
        <v>477</v>
      </c>
      <c r="B243" s="70" t="s">
        <v>1220</v>
      </c>
      <c r="C243" s="79">
        <v>7.3700000000000002E-2</v>
      </c>
      <c r="D243" s="79">
        <v>0.10050000000000001</v>
      </c>
    </row>
    <row r="244" spans="1:4">
      <c r="A244" s="65" t="s">
        <v>479</v>
      </c>
      <c r="B244" s="70" t="s">
        <v>1221</v>
      </c>
      <c r="C244" s="79">
        <v>4.3400000000000001E-2</v>
      </c>
      <c r="D244" s="79">
        <v>4.7100000000000003E-2</v>
      </c>
    </row>
    <row r="245" spans="1:4">
      <c r="A245" s="65" t="s">
        <v>481</v>
      </c>
      <c r="B245" s="70" t="s">
        <v>1222</v>
      </c>
      <c r="C245" s="79">
        <v>2.8400000000000002E-2</v>
      </c>
      <c r="D245" s="79">
        <v>3.4700000000000002E-2</v>
      </c>
    </row>
    <row r="246" spans="1:4">
      <c r="A246" s="65" t="s">
        <v>483</v>
      </c>
      <c r="B246" s="70" t="s">
        <v>1223</v>
      </c>
      <c r="C246" s="79">
        <v>3.5999999999999997E-2</v>
      </c>
      <c r="D246" s="79">
        <v>5.2600000000000001E-2</v>
      </c>
    </row>
    <row r="247" spans="1:4">
      <c r="A247" s="65" t="s">
        <v>485</v>
      </c>
      <c r="B247" s="70" t="s">
        <v>1224</v>
      </c>
      <c r="C247" s="79">
        <v>6.5299999999999997E-2</v>
      </c>
      <c r="D247" s="79">
        <v>4.7100000000000003E-2</v>
      </c>
    </row>
    <row r="248" spans="1:4">
      <c r="A248" s="65" t="s">
        <v>487</v>
      </c>
      <c r="B248" s="70" t="s">
        <v>1225</v>
      </c>
      <c r="C248" s="79">
        <v>4.82E-2</v>
      </c>
      <c r="D248" s="79">
        <v>6.1800000000000001E-2</v>
      </c>
    </row>
    <row r="249" spans="1:4">
      <c r="A249" s="65" t="s">
        <v>489</v>
      </c>
      <c r="B249" s="70" t="s">
        <v>1226</v>
      </c>
      <c r="C249" s="79">
        <v>0.16250000000000001</v>
      </c>
      <c r="D249" s="79">
        <v>0.27589999999999998</v>
      </c>
    </row>
    <row r="250" spans="1:4">
      <c r="A250" s="65" t="s">
        <v>491</v>
      </c>
      <c r="B250" s="70" t="s">
        <v>1227</v>
      </c>
      <c r="C250" s="79">
        <v>2.86E-2</v>
      </c>
      <c r="D250" s="79">
        <v>2.7699999999999999E-2</v>
      </c>
    </row>
    <row r="251" spans="1:4">
      <c r="A251" s="65" t="s">
        <v>493</v>
      </c>
      <c r="B251" s="70" t="s">
        <v>1228</v>
      </c>
      <c r="C251" s="79">
        <v>3.2099999999999997E-2</v>
      </c>
      <c r="D251" s="79">
        <v>2.93E-2</v>
      </c>
    </row>
    <row r="252" spans="1:4">
      <c r="A252" s="65" t="s">
        <v>495</v>
      </c>
      <c r="B252" s="70" t="s">
        <v>1229</v>
      </c>
      <c r="C252" s="79">
        <v>0.1573</v>
      </c>
      <c r="D252" s="79">
        <v>0.1109</v>
      </c>
    </row>
    <row r="253" spans="1:4">
      <c r="A253" s="65" t="s">
        <v>497</v>
      </c>
      <c r="B253" s="70" t="s">
        <v>1230</v>
      </c>
      <c r="C253" s="79">
        <v>7.4899999999999994E-2</v>
      </c>
      <c r="D253" s="79">
        <v>4.2799999999999998E-2</v>
      </c>
    </row>
    <row r="254" spans="1:4">
      <c r="A254" s="65" t="s">
        <v>499</v>
      </c>
      <c r="B254" s="70" t="s">
        <v>1231</v>
      </c>
      <c r="C254" s="79">
        <v>4.7699999999999999E-2</v>
      </c>
      <c r="D254" s="79">
        <v>5.11E-2</v>
      </c>
    </row>
    <row r="255" spans="1:4">
      <c r="A255" s="65" t="s">
        <v>501</v>
      </c>
      <c r="B255" s="70" t="s">
        <v>1232</v>
      </c>
      <c r="C255" s="79">
        <v>4.0399999999999998E-2</v>
      </c>
      <c r="D255" s="79">
        <v>3.7900000000000003E-2</v>
      </c>
    </row>
    <row r="256" spans="1:4">
      <c r="A256" s="65" t="s">
        <v>503</v>
      </c>
      <c r="B256" s="70" t="s">
        <v>1233</v>
      </c>
      <c r="C256" s="79">
        <v>4.1599999999999998E-2</v>
      </c>
      <c r="D256" s="79">
        <v>5.33E-2</v>
      </c>
    </row>
    <row r="257" spans="1:4">
      <c r="A257" s="65" t="s">
        <v>505</v>
      </c>
      <c r="B257" s="70" t="s">
        <v>1234</v>
      </c>
      <c r="C257" s="79">
        <v>2.1999999999999999E-2</v>
      </c>
      <c r="D257" s="79">
        <v>3.5400000000000001E-2</v>
      </c>
    </row>
    <row r="258" spans="1:4">
      <c r="A258" s="65" t="s">
        <v>507</v>
      </c>
      <c r="B258" s="70" t="s">
        <v>1235</v>
      </c>
      <c r="C258" s="79">
        <v>1.78E-2</v>
      </c>
      <c r="D258" s="79">
        <v>3.4799999999999998E-2</v>
      </c>
    </row>
    <row r="259" spans="1:4">
      <c r="A259" s="65" t="s">
        <v>509</v>
      </c>
      <c r="B259" s="70" t="s">
        <v>1236</v>
      </c>
      <c r="C259" s="79">
        <v>3.3000000000000002E-2</v>
      </c>
      <c r="D259" s="79">
        <v>5.0799999999999998E-2</v>
      </c>
    </row>
    <row r="260" spans="1:4">
      <c r="A260" s="65" t="s">
        <v>511</v>
      </c>
      <c r="B260" s="70" t="s">
        <v>1237</v>
      </c>
      <c r="C260" s="79">
        <v>5.5599999999999997E-2</v>
      </c>
      <c r="D260" s="79">
        <v>6.83E-2</v>
      </c>
    </row>
    <row r="261" spans="1:4">
      <c r="A261" s="65" t="s">
        <v>513</v>
      </c>
      <c r="B261" s="70" t="s">
        <v>1238</v>
      </c>
      <c r="C261" s="79">
        <v>1.7600000000000001E-2</v>
      </c>
      <c r="D261" s="79">
        <v>2.9899999999999999E-2</v>
      </c>
    </row>
    <row r="262" spans="1:4">
      <c r="A262" s="65" t="s">
        <v>515</v>
      </c>
      <c r="B262" s="1" t="s">
        <v>1239</v>
      </c>
      <c r="C262" s="79">
        <v>5.1299999999999998E-2</v>
      </c>
      <c r="D262" s="79">
        <v>5.8599999999999999E-2</v>
      </c>
    </row>
    <row r="263" spans="1:4">
      <c r="A263" s="65" t="s">
        <v>517</v>
      </c>
      <c r="B263" s="70" t="s">
        <v>1240</v>
      </c>
      <c r="C263" s="79">
        <v>6.4899999999999999E-2</v>
      </c>
      <c r="D263" s="79">
        <v>5.2400000000000002E-2</v>
      </c>
    </row>
    <row r="264" spans="1:4">
      <c r="A264" s="65" t="s">
        <v>473</v>
      </c>
      <c r="B264" s="70" t="s">
        <v>1241</v>
      </c>
      <c r="C264" s="79">
        <v>4.8399999999999999E-2</v>
      </c>
      <c r="D264" s="79">
        <v>0.12280000000000001</v>
      </c>
    </row>
    <row r="265" spans="1:4">
      <c r="A265" s="65" t="s">
        <v>519</v>
      </c>
      <c r="B265" s="70" t="s">
        <v>1242</v>
      </c>
      <c r="C265" s="79">
        <v>4.87E-2</v>
      </c>
      <c r="D265" s="79">
        <v>4.6800000000000001E-2</v>
      </c>
    </row>
    <row r="266" spans="1:4">
      <c r="A266" s="65" t="s">
        <v>521</v>
      </c>
      <c r="B266" s="70" t="s">
        <v>1243</v>
      </c>
      <c r="C266" s="79">
        <v>9.0399999999999994E-2</v>
      </c>
      <c r="D266" s="79">
        <v>5.21E-2</v>
      </c>
    </row>
    <row r="267" spans="1:4">
      <c r="A267" s="65" t="s">
        <v>523</v>
      </c>
      <c r="B267" s="70" t="s">
        <v>1244</v>
      </c>
      <c r="C267" s="79">
        <v>0</v>
      </c>
      <c r="D267" s="79">
        <v>7.4300000000000005E-2</v>
      </c>
    </row>
    <row r="268" spans="1:4">
      <c r="A268" s="65" t="s">
        <v>525</v>
      </c>
      <c r="B268" s="70" t="s">
        <v>1245</v>
      </c>
      <c r="C268" s="79">
        <v>0.27879999999999999</v>
      </c>
      <c r="D268" s="79">
        <v>0.1666</v>
      </c>
    </row>
    <row r="269" spans="1:4">
      <c r="A269" s="65" t="s">
        <v>527</v>
      </c>
      <c r="B269" s="70" t="s">
        <v>1246</v>
      </c>
      <c r="C269" s="79">
        <v>8.0500000000000002E-2</v>
      </c>
      <c r="D269" s="79">
        <v>6.5299999999999997E-2</v>
      </c>
    </row>
    <row r="270" spans="1:4">
      <c r="A270" s="65" t="s">
        <v>529</v>
      </c>
      <c r="B270" s="70" t="s">
        <v>1247</v>
      </c>
      <c r="C270" s="79">
        <v>8.72E-2</v>
      </c>
      <c r="D270" s="79">
        <v>9.9599999999999994E-2</v>
      </c>
    </row>
    <row r="271" spans="1:4">
      <c r="A271" s="65" t="s">
        <v>531</v>
      </c>
      <c r="B271" s="70" t="s">
        <v>1248</v>
      </c>
      <c r="C271" s="79">
        <v>4.1399999999999999E-2</v>
      </c>
      <c r="D271" s="79">
        <v>1.4200000000000001E-2</v>
      </c>
    </row>
    <row r="272" spans="1:4">
      <c r="A272" s="65" t="s">
        <v>533</v>
      </c>
      <c r="B272" s="70" t="s">
        <v>1249</v>
      </c>
      <c r="C272" s="79">
        <v>1.8599999999999998E-2</v>
      </c>
      <c r="D272" s="79">
        <v>3.7999999999999999E-2</v>
      </c>
    </row>
    <row r="273" spans="1:4">
      <c r="A273" s="72" t="s">
        <v>535</v>
      </c>
      <c r="B273" s="1" t="s">
        <v>1250</v>
      </c>
      <c r="C273" s="79">
        <v>0.1767</v>
      </c>
      <c r="D273" s="79">
        <v>0.18190000000000001</v>
      </c>
    </row>
    <row r="274" spans="1:4">
      <c r="A274" s="65" t="s">
        <v>537</v>
      </c>
      <c r="B274" s="1" t="s">
        <v>1251</v>
      </c>
      <c r="C274" s="79">
        <v>0.14069999999999999</v>
      </c>
      <c r="D274" s="79">
        <v>0.1827</v>
      </c>
    </row>
    <row r="275" spans="1:4">
      <c r="A275" s="65" t="s">
        <v>539</v>
      </c>
      <c r="B275" s="1" t="s">
        <v>1252</v>
      </c>
      <c r="C275" s="79">
        <v>0.16220000000000001</v>
      </c>
      <c r="D275" s="79">
        <v>0.15129999999999999</v>
      </c>
    </row>
    <row r="276" spans="1:4">
      <c r="A276" s="65" t="s">
        <v>541</v>
      </c>
      <c r="B276" s="70" t="s">
        <v>1253</v>
      </c>
      <c r="C276" s="79">
        <v>9.0300000000000005E-2</v>
      </c>
      <c r="D276" s="79">
        <v>9.2799999999999994E-2</v>
      </c>
    </row>
    <row r="277" spans="1:4">
      <c r="A277" s="65" t="s">
        <v>543</v>
      </c>
      <c r="B277" s="70" t="s">
        <v>1254</v>
      </c>
      <c r="C277" s="79">
        <v>4.5400000000000003E-2</v>
      </c>
      <c r="D277" s="79">
        <v>3.4299999999999997E-2</v>
      </c>
    </row>
    <row r="278" spans="1:4">
      <c r="A278" s="65" t="s">
        <v>545</v>
      </c>
      <c r="B278" s="70" t="s">
        <v>1255</v>
      </c>
      <c r="C278" s="79">
        <v>5.1799999999999999E-2</v>
      </c>
      <c r="D278" s="79">
        <v>4.4999999999999998E-2</v>
      </c>
    </row>
    <row r="279" spans="1:4">
      <c r="A279" s="65" t="s">
        <v>836</v>
      </c>
      <c r="B279" s="1" t="s">
        <v>1256</v>
      </c>
      <c r="C279" s="79">
        <v>3.5000000000000003E-2</v>
      </c>
      <c r="D279" s="79">
        <v>3.8670244752706612E-2</v>
      </c>
    </row>
    <row r="280" spans="1:4">
      <c r="A280" s="65" t="s">
        <v>549</v>
      </c>
      <c r="B280" s="70" t="s">
        <v>1257</v>
      </c>
      <c r="C280" s="79">
        <v>3.04E-2</v>
      </c>
      <c r="D280" s="79">
        <v>2.4299999999999999E-2</v>
      </c>
    </row>
    <row r="281" spans="1:4">
      <c r="A281" s="65" t="s">
        <v>551</v>
      </c>
      <c r="B281" s="70" t="s">
        <v>1258</v>
      </c>
      <c r="C281" s="79">
        <v>0.16239999999999999</v>
      </c>
      <c r="D281" s="79">
        <v>0.14879999999999999</v>
      </c>
    </row>
    <row r="282" spans="1:4">
      <c r="A282" s="65" t="s">
        <v>553</v>
      </c>
      <c r="B282" s="70" t="s">
        <v>1259</v>
      </c>
      <c r="C282" s="79">
        <v>2.9100000000000001E-2</v>
      </c>
      <c r="D282" s="79">
        <v>4.4000000000000003E-3</v>
      </c>
    </row>
    <row r="283" spans="1:4">
      <c r="A283" s="65" t="s">
        <v>555</v>
      </c>
      <c r="B283" s="70" t="s">
        <v>1260</v>
      </c>
      <c r="C283" s="79">
        <v>6.0400000000000002E-2</v>
      </c>
      <c r="D283" s="79">
        <v>4.9200000000000001E-2</v>
      </c>
    </row>
    <row r="284" spans="1:4">
      <c r="A284" s="65" t="s">
        <v>557</v>
      </c>
      <c r="B284" s="70" t="s">
        <v>1261</v>
      </c>
      <c r="C284" s="79">
        <v>1.6500000000000001E-2</v>
      </c>
      <c r="D284" s="79">
        <v>1.29E-2</v>
      </c>
    </row>
    <row r="285" spans="1:4">
      <c r="A285" s="65" t="s">
        <v>559</v>
      </c>
      <c r="B285" s="70" t="s">
        <v>1262</v>
      </c>
      <c r="C285" s="79">
        <v>5.2200000000000003E-2</v>
      </c>
      <c r="D285" s="79">
        <v>7.8600000000000003E-2</v>
      </c>
    </row>
    <row r="286" spans="1:4">
      <c r="A286" s="65" t="s">
        <v>561</v>
      </c>
      <c r="B286" s="70" t="s">
        <v>1263</v>
      </c>
      <c r="C286" s="79">
        <v>6.7999999999999996E-3</v>
      </c>
      <c r="D286" s="79">
        <v>2.1100000000000001E-2</v>
      </c>
    </row>
    <row r="287" spans="1:4">
      <c r="A287" s="65" t="s">
        <v>563</v>
      </c>
      <c r="B287" s="70" t="s">
        <v>1264</v>
      </c>
      <c r="C287" s="79">
        <v>1.84E-2</v>
      </c>
      <c r="D287" s="79">
        <v>2.7699999999999999E-2</v>
      </c>
    </row>
    <row r="288" spans="1:4">
      <c r="A288" s="65" t="s">
        <v>565</v>
      </c>
      <c r="B288" s="70" t="s">
        <v>1265</v>
      </c>
      <c r="C288" s="79">
        <v>6.2E-2</v>
      </c>
      <c r="D288" s="79">
        <v>6.5500000000000003E-2</v>
      </c>
    </row>
    <row r="289" spans="1:4">
      <c r="A289" s="65" t="s">
        <v>567</v>
      </c>
      <c r="B289" s="70" t="s">
        <v>1266</v>
      </c>
      <c r="C289" s="79">
        <v>3.3399999999999999E-2</v>
      </c>
      <c r="D289" s="79">
        <v>5.7500000000000002E-2</v>
      </c>
    </row>
    <row r="290" spans="1:4">
      <c r="A290" s="65" t="s">
        <v>569</v>
      </c>
      <c r="B290" s="70" t="s">
        <v>1267</v>
      </c>
      <c r="C290" s="79">
        <v>1.95E-2</v>
      </c>
      <c r="D290" s="79">
        <v>1.9599999999999999E-2</v>
      </c>
    </row>
    <row r="291" spans="1:4">
      <c r="A291" s="65" t="s">
        <v>571</v>
      </c>
      <c r="B291" s="70" t="s">
        <v>1268</v>
      </c>
      <c r="C291" s="79">
        <v>3.7699999999999997E-2</v>
      </c>
      <c r="D291" s="79">
        <v>3.5499999999999997E-2</v>
      </c>
    </row>
    <row r="292" spans="1:4">
      <c r="A292" s="65" t="s">
        <v>573</v>
      </c>
      <c r="B292" s="70" t="s">
        <v>1269</v>
      </c>
      <c r="C292" s="79">
        <v>1.95E-2</v>
      </c>
      <c r="D292" s="79">
        <v>3.1300000000000001E-2</v>
      </c>
    </row>
    <row r="293" spans="1:4">
      <c r="A293" s="65" t="s">
        <v>575</v>
      </c>
      <c r="B293" s="70" t="s">
        <v>1270</v>
      </c>
      <c r="C293" s="79">
        <v>3.3799999999999997E-2</v>
      </c>
      <c r="D293" s="79">
        <v>4.4699999999999997E-2</v>
      </c>
    </row>
    <row r="294" spans="1:4">
      <c r="A294" s="65" t="s">
        <v>577</v>
      </c>
      <c r="B294" s="70" t="s">
        <v>1271</v>
      </c>
      <c r="C294" s="79">
        <v>2.5600000000000001E-2</v>
      </c>
      <c r="D294" s="79">
        <v>4.5999999999999999E-2</v>
      </c>
    </row>
    <row r="295" spans="1:4">
      <c r="A295" s="65" t="s">
        <v>579</v>
      </c>
      <c r="B295" s="70" t="s">
        <v>1272</v>
      </c>
      <c r="C295" s="79">
        <v>3.8199999999999998E-2</v>
      </c>
      <c r="D295" s="79">
        <v>3.95E-2</v>
      </c>
    </row>
    <row r="296" spans="1:4">
      <c r="A296" s="65" t="s">
        <v>581</v>
      </c>
      <c r="B296" s="70" t="s">
        <v>1273</v>
      </c>
      <c r="C296" s="79">
        <v>7.1300000000000002E-2</v>
      </c>
      <c r="D296" s="79">
        <v>6.7400000000000002E-2</v>
      </c>
    </row>
    <row r="297" spans="1:4">
      <c r="A297" s="65" t="s">
        <v>583</v>
      </c>
      <c r="B297" s="70" t="s">
        <v>1274</v>
      </c>
      <c r="C297" s="79">
        <v>4.3900000000000002E-2</v>
      </c>
      <c r="D297" s="79">
        <v>5.9400000000000001E-2</v>
      </c>
    </row>
    <row r="298" spans="1:4">
      <c r="A298" s="65" t="s">
        <v>585</v>
      </c>
      <c r="B298" s="70" t="s">
        <v>1275</v>
      </c>
      <c r="C298" s="79">
        <v>2.53E-2</v>
      </c>
      <c r="D298" s="79">
        <v>4.3999999999999997E-2</v>
      </c>
    </row>
    <row r="299" spans="1:4">
      <c r="A299" s="65" t="s">
        <v>589</v>
      </c>
      <c r="B299" s="70" t="s">
        <v>1276</v>
      </c>
      <c r="C299" s="79">
        <v>0.112</v>
      </c>
      <c r="D299" s="79">
        <v>6.3399999999999998E-2</v>
      </c>
    </row>
    <row r="300" spans="1:4">
      <c r="A300" s="65" t="s">
        <v>591</v>
      </c>
      <c r="B300" s="70" t="s">
        <v>1277</v>
      </c>
      <c r="C300" s="79">
        <v>3.7999999999999999E-2</v>
      </c>
      <c r="D300" s="79">
        <v>4.8300000000000003E-2</v>
      </c>
    </row>
    <row r="301" spans="1:4">
      <c r="A301" s="65" t="s">
        <v>593</v>
      </c>
      <c r="B301" s="70" t="s">
        <v>1278</v>
      </c>
      <c r="C301" s="79">
        <v>6.5299999999999997E-2</v>
      </c>
      <c r="D301" s="79">
        <v>5.5599999999999997E-2</v>
      </c>
    </row>
    <row r="302" spans="1:4">
      <c r="A302" s="65" t="s">
        <v>595</v>
      </c>
      <c r="B302" s="70" t="s">
        <v>1279</v>
      </c>
      <c r="C302" s="79">
        <v>4.3499999999999997E-2</v>
      </c>
      <c r="D302" s="79">
        <v>6.3600000000000004E-2</v>
      </c>
    </row>
    <row r="303" spans="1:4">
      <c r="A303" s="65" t="s">
        <v>597</v>
      </c>
      <c r="B303" s="70" t="s">
        <v>1280</v>
      </c>
      <c r="C303" s="79">
        <v>3.3500000000000002E-2</v>
      </c>
      <c r="D303" s="79">
        <v>3.4500000000000003E-2</v>
      </c>
    </row>
    <row r="304" spans="1:4">
      <c r="A304" s="65" t="s">
        <v>599</v>
      </c>
      <c r="B304" s="70" t="s">
        <v>1281</v>
      </c>
      <c r="C304" s="79">
        <v>3.8100000000000002E-2</v>
      </c>
      <c r="D304" s="79">
        <v>4.41E-2</v>
      </c>
    </row>
    <row r="305" spans="1:4">
      <c r="A305" s="65" t="s">
        <v>601</v>
      </c>
      <c r="B305" s="70" t="s">
        <v>1282</v>
      </c>
      <c r="C305" s="79">
        <v>2.2599999999999999E-2</v>
      </c>
      <c r="D305" s="79">
        <v>3.6299999999999999E-2</v>
      </c>
    </row>
    <row r="306" spans="1:4">
      <c r="A306" s="65" t="s">
        <v>603</v>
      </c>
      <c r="B306" s="70" t="s">
        <v>1283</v>
      </c>
      <c r="C306" s="79">
        <v>4.2900000000000001E-2</v>
      </c>
      <c r="D306" s="79">
        <v>4.0599999999999997E-2</v>
      </c>
    </row>
    <row r="307" spans="1:4">
      <c r="A307" s="65" t="s">
        <v>605</v>
      </c>
      <c r="B307" s="70" t="s">
        <v>1284</v>
      </c>
      <c r="C307" s="79">
        <v>7.5899999999999995E-2</v>
      </c>
      <c r="D307" s="79">
        <v>7.5300000000000006E-2</v>
      </c>
    </row>
    <row r="308" spans="1:4">
      <c r="A308" s="72" t="s">
        <v>937</v>
      </c>
      <c r="B308" s="70" t="s">
        <v>1285</v>
      </c>
      <c r="C308" s="79">
        <v>3.5000000000000003E-2</v>
      </c>
      <c r="D308" s="79">
        <v>3.8670244752706612E-2</v>
      </c>
    </row>
    <row r="309" spans="1:4">
      <c r="A309" s="65" t="s">
        <v>607</v>
      </c>
      <c r="B309" s="70" t="s">
        <v>1286</v>
      </c>
      <c r="C309" s="79">
        <v>6.9800000000000001E-2</v>
      </c>
      <c r="D309" s="79">
        <v>7.1999999999999995E-2</v>
      </c>
    </row>
    <row r="310" spans="1:4">
      <c r="A310" s="65" t="s">
        <v>609</v>
      </c>
      <c r="B310" s="70" t="s">
        <v>1287</v>
      </c>
      <c r="C310" s="79">
        <v>3.1600000000000003E-2</v>
      </c>
      <c r="D310" s="79">
        <v>2.87E-2</v>
      </c>
    </row>
    <row r="311" spans="1:4">
      <c r="A311" s="65" t="s">
        <v>613</v>
      </c>
      <c r="B311" s="70" t="s">
        <v>1288</v>
      </c>
      <c r="C311" s="79">
        <v>4.7399999999999998E-2</v>
      </c>
      <c r="D311" s="79">
        <v>4.5600000000000002E-2</v>
      </c>
    </row>
    <row r="312" spans="1:4">
      <c r="A312" s="65" t="s">
        <v>611</v>
      </c>
      <c r="B312" s="70" t="s">
        <v>1289</v>
      </c>
      <c r="C312" s="79">
        <v>6.2300000000000001E-2</v>
      </c>
      <c r="D312" s="79">
        <v>4.9299999999999997E-2</v>
      </c>
    </row>
    <row r="313" spans="1:4">
      <c r="A313" s="65" t="s">
        <v>615</v>
      </c>
      <c r="B313" s="70" t="s">
        <v>1290</v>
      </c>
      <c r="C313" s="79">
        <v>3.5000000000000003E-2</v>
      </c>
      <c r="D313" s="79">
        <v>3.8670244752706612E-2</v>
      </c>
    </row>
    <row r="314" spans="1:4">
      <c r="A314" s="65" t="s">
        <v>617</v>
      </c>
      <c r="B314" s="70" t="s">
        <v>1291</v>
      </c>
      <c r="C314" s="79">
        <v>6.9000000000000006E-2</v>
      </c>
      <c r="D314" s="79">
        <v>5.21E-2</v>
      </c>
    </row>
    <row r="315" spans="1:4">
      <c r="A315" s="65" t="s">
        <v>619</v>
      </c>
      <c r="B315" s="70" t="s">
        <v>1292</v>
      </c>
      <c r="C315" s="79">
        <v>4.4499999999999998E-2</v>
      </c>
      <c r="D315" s="79">
        <v>5.4399999999999997E-2</v>
      </c>
    </row>
    <row r="316" spans="1:4">
      <c r="A316" s="65" t="s">
        <v>621</v>
      </c>
      <c r="B316" s="70" t="s">
        <v>1293</v>
      </c>
      <c r="C316" s="79">
        <v>3.61E-2</v>
      </c>
      <c r="D316" s="79">
        <v>4.3200000000000002E-2</v>
      </c>
    </row>
    <row r="317" spans="1:4">
      <c r="A317" s="65" t="s">
        <v>625</v>
      </c>
      <c r="B317" s="70" t="s">
        <v>1294</v>
      </c>
      <c r="C317" s="79">
        <v>2.7900000000000001E-2</v>
      </c>
      <c r="D317" s="79">
        <v>4.1099999999999998E-2</v>
      </c>
    </row>
    <row r="318" spans="1:4">
      <c r="A318" s="65" t="s">
        <v>627</v>
      </c>
      <c r="B318" s="70" t="s">
        <v>1295</v>
      </c>
      <c r="C318" s="79">
        <v>3.39E-2</v>
      </c>
      <c r="D318" s="79">
        <v>1.9199999999999998E-2</v>
      </c>
    </row>
    <row r="319" spans="1:4">
      <c r="A319" s="72" t="s">
        <v>227</v>
      </c>
      <c r="B319" s="70" t="s">
        <v>1296</v>
      </c>
      <c r="C319" s="79"/>
      <c r="D319" s="79"/>
    </row>
    <row r="320" spans="1:4">
      <c r="A320" s="65" t="s">
        <v>629</v>
      </c>
      <c r="B320" s="70" t="s">
        <v>1297</v>
      </c>
      <c r="C320" s="79">
        <v>2.0199999999999999E-2</v>
      </c>
      <c r="D320" s="79">
        <v>6.0299999999999999E-2</v>
      </c>
    </row>
    <row r="321" spans="1:4">
      <c r="A321" s="65" t="s">
        <v>631</v>
      </c>
      <c r="B321" s="70" t="s">
        <v>1298</v>
      </c>
      <c r="C321" s="79">
        <v>6.3799999999999996E-2</v>
      </c>
      <c r="D321" s="79">
        <v>4.3900000000000002E-2</v>
      </c>
    </row>
    <row r="322" spans="1:4">
      <c r="A322" s="65" t="s">
        <v>633</v>
      </c>
      <c r="B322" s="70" t="s">
        <v>1299</v>
      </c>
      <c r="C322" s="79">
        <v>7.8899999999999998E-2</v>
      </c>
      <c r="D322" s="79">
        <v>8.77E-2</v>
      </c>
    </row>
    <row r="323" spans="1:4">
      <c r="A323" s="65" t="s">
        <v>635</v>
      </c>
      <c r="B323" s="70" t="s">
        <v>1300</v>
      </c>
      <c r="C323" s="79">
        <v>2.5499999999999998E-2</v>
      </c>
      <c r="D323" s="79">
        <v>9.6600000000000005E-2</v>
      </c>
    </row>
    <row r="324" spans="1:4">
      <c r="A324" s="65" t="s">
        <v>637</v>
      </c>
      <c r="B324" s="70" t="s">
        <v>1301</v>
      </c>
      <c r="C324" s="79">
        <v>9.7000000000000003E-3</v>
      </c>
      <c r="D324" s="79">
        <v>2.12E-2</v>
      </c>
    </row>
    <row r="325" spans="1:4">
      <c r="A325" s="65" t="s">
        <v>639</v>
      </c>
      <c r="B325" s="70" t="s">
        <v>1302</v>
      </c>
      <c r="C325" s="79">
        <v>2.29E-2</v>
      </c>
      <c r="D325" s="79">
        <v>5.8999999999999997E-2</v>
      </c>
    </row>
    <row r="326" spans="1:4">
      <c r="A326" s="65" t="s">
        <v>623</v>
      </c>
      <c r="B326" s="70" t="s">
        <v>1303</v>
      </c>
      <c r="C326" s="79">
        <v>3.5000000000000003E-2</v>
      </c>
      <c r="D326" s="79">
        <v>3.8670244752706612E-2</v>
      </c>
    </row>
    <row r="327" spans="1:4">
      <c r="A327" s="72" t="s">
        <v>982</v>
      </c>
      <c r="B327" s="70" t="s">
        <v>1304</v>
      </c>
      <c r="C327" s="79">
        <v>3.5000000000000003E-2</v>
      </c>
      <c r="D327" s="79">
        <v>3.8670244752706612E-2</v>
      </c>
    </row>
    <row r="328" spans="1:4">
      <c r="A328" s="65" t="s">
        <v>641</v>
      </c>
      <c r="B328" s="70" t="s">
        <v>1305</v>
      </c>
      <c r="C328" s="79">
        <v>3.0099999999999998E-2</v>
      </c>
      <c r="D328" s="79">
        <v>1.8599999999999998E-2</v>
      </c>
    </row>
    <row r="329" spans="1:4">
      <c r="A329" s="80" t="s">
        <v>643</v>
      </c>
      <c r="B329" s="81" t="s">
        <v>1306</v>
      </c>
      <c r="C329" s="82">
        <v>7.2300000000000003E-2</v>
      </c>
      <c r="D329" s="82">
        <v>6.4600000000000005E-2</v>
      </c>
    </row>
  </sheetData>
  <autoFilter ref="A6:C326" xr:uid="{00000000-0001-0000-1000-000000000000}"/>
  <customSheetViews>
    <customSheetView guid="{258DC0F9-B8C5-4A47-B911-FC6C1B128653}" showAutoFilter="1" state="hidden">
      <selection activeCell="K86" sqref="K86"/>
      <pageMargins left="0" right="0" top="0" bottom="0" header="0" footer="0"/>
      <pageSetup orientation="portrait" r:id="rId1"/>
      <autoFilter ref="B1" xr:uid="{52F3D0C6-27E7-4E27-86E1-6A2144E38383}"/>
    </customSheetView>
    <customSheetView guid="{6D4FF6D6-C66D-4B43-9B4E-7985B86B1BBC}" showAutoFilter="1" state="hidden">
      <selection activeCell="K86" sqref="K86"/>
      <pageMargins left="0" right="0" top="0" bottom="0" header="0" footer="0"/>
      <pageSetup orientation="portrait" r:id="rId2"/>
      <autoFilter ref="B1" xr:uid="{E2B06FB2-D1C1-4C27-ACFB-2794EB539788}"/>
    </customSheetView>
    <customSheetView guid="{3391497B-85F4-4817-B669-10F463F3A207}" showAutoFilter="1" state="hidden">
      <selection activeCell="K86" sqref="K86"/>
      <pageMargins left="0" right="0" top="0" bottom="0" header="0" footer="0"/>
      <pageSetup orientation="portrait" r:id="rId3"/>
      <autoFilter ref="B1" xr:uid="{47474F68-5D93-4122-B428-91C778E4740D}"/>
    </customSheetView>
  </customSheetViews>
  <hyperlinks>
    <hyperlink ref="F1" r:id="rId4" xr:uid="{A0A35065-F4A0-43ED-B406-531FB88629CF}"/>
  </hyperlinks>
  <pageMargins left="0.7" right="0.7" top="0.75" bottom="0.75" header="0.3" footer="0.3"/>
  <pageSetup orientation="portrait"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197A-4807-43DC-9EEC-7A05BB166021}">
  <sheetPr>
    <tabColor rgb="FF92D050"/>
  </sheetPr>
  <dimension ref="A1:D289"/>
  <sheetViews>
    <sheetView workbookViewId="0">
      <selection activeCell="I16" sqref="I16"/>
    </sheetView>
  </sheetViews>
  <sheetFormatPr defaultRowHeight="12.75"/>
  <cols>
    <col min="1" max="1" width="8.85546875" bestFit="1" customWidth="1"/>
    <col min="2" max="2" width="13.85546875" bestFit="1" customWidth="1"/>
    <col min="3" max="3" width="13.5703125" bestFit="1" customWidth="1"/>
    <col min="4" max="4" width="18.85546875" bestFit="1" customWidth="1"/>
  </cols>
  <sheetData>
    <row r="1" spans="1:4" ht="15">
      <c r="B1" s="113" t="s">
        <v>1432</v>
      </c>
      <c r="C1" s="114" t="s">
        <v>1433</v>
      </c>
    </row>
    <row r="4" spans="1:4">
      <c r="A4" t="s">
        <v>1307</v>
      </c>
      <c r="B4" t="s">
        <v>1399</v>
      </c>
      <c r="C4" t="s">
        <v>1400</v>
      </c>
      <c r="D4" t="s">
        <v>1401</v>
      </c>
    </row>
    <row r="5" spans="1:4">
      <c r="A5" t="s">
        <v>603</v>
      </c>
      <c r="B5">
        <v>20954</v>
      </c>
      <c r="C5">
        <v>1063</v>
      </c>
      <c r="D5">
        <v>22017</v>
      </c>
    </row>
    <row r="6" spans="1:4">
      <c r="A6" t="s">
        <v>34</v>
      </c>
      <c r="B6">
        <v>2543</v>
      </c>
      <c r="C6">
        <v>41</v>
      </c>
      <c r="D6">
        <v>2584</v>
      </c>
    </row>
    <row r="7" spans="1:4">
      <c r="A7" t="s">
        <v>395</v>
      </c>
      <c r="B7">
        <v>937714</v>
      </c>
      <c r="C7">
        <v>16440</v>
      </c>
      <c r="D7">
        <v>954154</v>
      </c>
    </row>
    <row r="8" spans="1:4">
      <c r="A8" t="s">
        <v>271</v>
      </c>
      <c r="B8">
        <v>52274</v>
      </c>
      <c r="C8">
        <v>3162</v>
      </c>
      <c r="D8">
        <v>55436</v>
      </c>
    </row>
    <row r="9" spans="1:4">
      <c r="A9" t="s">
        <v>459</v>
      </c>
      <c r="B9">
        <v>83771</v>
      </c>
      <c r="C9">
        <v>4266</v>
      </c>
      <c r="D9">
        <v>88037</v>
      </c>
    </row>
    <row r="10" spans="1:4">
      <c r="A10" t="s">
        <v>87</v>
      </c>
      <c r="B10">
        <v>613815</v>
      </c>
      <c r="C10">
        <v>23326</v>
      </c>
      <c r="D10">
        <v>637141</v>
      </c>
    </row>
    <row r="11" spans="1:4">
      <c r="A11" t="s">
        <v>19</v>
      </c>
      <c r="B11">
        <v>147780</v>
      </c>
      <c r="C11">
        <v>4407</v>
      </c>
      <c r="D11">
        <v>152187</v>
      </c>
    </row>
    <row r="12" spans="1:4">
      <c r="A12" t="s">
        <v>239</v>
      </c>
      <c r="B12">
        <v>4017609</v>
      </c>
      <c r="C12">
        <v>70369</v>
      </c>
      <c r="D12">
        <v>4087978</v>
      </c>
    </row>
    <row r="13" spans="1:4">
      <c r="A13" t="s">
        <v>405</v>
      </c>
      <c r="B13">
        <v>27422</v>
      </c>
      <c r="C13">
        <v>635</v>
      </c>
      <c r="D13">
        <v>28057</v>
      </c>
    </row>
    <row r="14" spans="1:4">
      <c r="A14" t="s">
        <v>245</v>
      </c>
      <c r="B14">
        <v>338699</v>
      </c>
      <c r="C14">
        <v>20413</v>
      </c>
      <c r="D14">
        <v>359112</v>
      </c>
    </row>
    <row r="15" spans="1:4">
      <c r="A15" t="s">
        <v>177</v>
      </c>
      <c r="B15">
        <v>239766</v>
      </c>
      <c r="C15">
        <v>8650</v>
      </c>
      <c r="D15">
        <v>248416</v>
      </c>
    </row>
    <row r="16" spans="1:4">
      <c r="A16" t="s">
        <v>425</v>
      </c>
      <c r="B16">
        <v>547155</v>
      </c>
      <c r="C16">
        <v>19322</v>
      </c>
      <c r="D16">
        <v>566477</v>
      </c>
    </row>
    <row r="17" spans="1:4">
      <c r="A17" t="s">
        <v>455</v>
      </c>
      <c r="B17">
        <v>2825594</v>
      </c>
      <c r="C17">
        <v>60989</v>
      </c>
      <c r="D17">
        <v>2886583</v>
      </c>
    </row>
    <row r="18" spans="1:4">
      <c r="A18" t="s">
        <v>525</v>
      </c>
      <c r="B18">
        <v>1408</v>
      </c>
      <c r="C18">
        <v>28</v>
      </c>
      <c r="D18">
        <v>1436</v>
      </c>
    </row>
    <row r="19" spans="1:4">
      <c r="A19" t="s">
        <v>257</v>
      </c>
      <c r="B19">
        <v>295688</v>
      </c>
      <c r="C19">
        <v>11460</v>
      </c>
      <c r="D19">
        <v>307148</v>
      </c>
    </row>
    <row r="20" spans="1:4">
      <c r="A20" t="s">
        <v>65</v>
      </c>
      <c r="B20">
        <v>328407</v>
      </c>
      <c r="C20">
        <v>20486</v>
      </c>
      <c r="D20">
        <v>348893</v>
      </c>
    </row>
    <row r="21" spans="1:4">
      <c r="A21" t="s">
        <v>609</v>
      </c>
      <c r="B21">
        <v>1608194</v>
      </c>
      <c r="C21">
        <v>58604</v>
      </c>
      <c r="D21">
        <v>1666798</v>
      </c>
    </row>
    <row r="22" spans="1:4">
      <c r="A22" t="s">
        <v>411</v>
      </c>
      <c r="B22">
        <v>39821</v>
      </c>
      <c r="C22">
        <v>0</v>
      </c>
      <c r="D22">
        <v>39821</v>
      </c>
    </row>
    <row r="23" spans="1:4">
      <c r="A23" t="s">
        <v>417</v>
      </c>
      <c r="B23">
        <v>960646</v>
      </c>
      <c r="C23">
        <v>32148</v>
      </c>
      <c r="D23">
        <v>992794</v>
      </c>
    </row>
    <row r="24" spans="1:4">
      <c r="A24" t="s">
        <v>115</v>
      </c>
      <c r="B24">
        <v>76477</v>
      </c>
      <c r="C24">
        <v>1304</v>
      </c>
      <c r="D24">
        <v>77781</v>
      </c>
    </row>
    <row r="25" spans="1:4">
      <c r="A25" t="s">
        <v>487</v>
      </c>
      <c r="B25">
        <v>549803</v>
      </c>
      <c r="C25">
        <v>12987</v>
      </c>
      <c r="D25">
        <v>562790</v>
      </c>
    </row>
    <row r="26" spans="1:4">
      <c r="A26" t="s">
        <v>59</v>
      </c>
      <c r="B26">
        <v>121250</v>
      </c>
      <c r="C26">
        <v>5341</v>
      </c>
      <c r="D26">
        <v>126591</v>
      </c>
    </row>
    <row r="27" spans="1:4">
      <c r="A27" t="s">
        <v>437</v>
      </c>
      <c r="B27">
        <v>657969</v>
      </c>
      <c r="C27">
        <v>15645</v>
      </c>
      <c r="D27">
        <v>673614</v>
      </c>
    </row>
    <row r="28" spans="1:4">
      <c r="A28" t="s">
        <v>583</v>
      </c>
      <c r="B28">
        <v>4985093</v>
      </c>
      <c r="C28">
        <v>117356</v>
      </c>
      <c r="D28">
        <v>5102449</v>
      </c>
    </row>
    <row r="29" spans="1:4">
      <c r="A29" t="s">
        <v>211</v>
      </c>
      <c r="B29">
        <v>344146</v>
      </c>
      <c r="C29">
        <v>9804</v>
      </c>
      <c r="D29">
        <v>353950</v>
      </c>
    </row>
    <row r="30" spans="1:4">
      <c r="A30" t="s">
        <v>251</v>
      </c>
      <c r="B30">
        <v>325646</v>
      </c>
      <c r="C30">
        <v>6748</v>
      </c>
      <c r="D30">
        <v>332394</v>
      </c>
    </row>
    <row r="31" spans="1:4">
      <c r="A31" t="s">
        <v>601</v>
      </c>
      <c r="B31">
        <v>592155</v>
      </c>
      <c r="C31">
        <v>29194</v>
      </c>
      <c r="D31">
        <v>621349</v>
      </c>
    </row>
    <row r="32" spans="1:4">
      <c r="A32" t="s">
        <v>167</v>
      </c>
      <c r="B32">
        <v>4660419</v>
      </c>
      <c r="C32">
        <v>102768</v>
      </c>
      <c r="D32">
        <v>4763187</v>
      </c>
    </row>
    <row r="33" spans="1:4">
      <c r="A33" t="s">
        <v>57</v>
      </c>
      <c r="B33">
        <v>1279790</v>
      </c>
      <c r="C33">
        <v>26705</v>
      </c>
      <c r="D33">
        <v>1306495</v>
      </c>
    </row>
    <row r="34" spans="1:4">
      <c r="A34" t="s">
        <v>27</v>
      </c>
      <c r="B34">
        <v>2842868</v>
      </c>
      <c r="C34">
        <v>102866</v>
      </c>
      <c r="D34">
        <v>2945734</v>
      </c>
    </row>
    <row r="35" spans="1:4">
      <c r="A35" t="s">
        <v>457</v>
      </c>
      <c r="B35">
        <v>691766</v>
      </c>
      <c r="C35">
        <v>8905</v>
      </c>
      <c r="D35">
        <v>700671</v>
      </c>
    </row>
    <row r="36" spans="1:4">
      <c r="A36" t="s">
        <v>1309</v>
      </c>
      <c r="B36">
        <v>3161741</v>
      </c>
      <c r="C36">
        <v>112955</v>
      </c>
      <c r="D36">
        <v>3274696</v>
      </c>
    </row>
    <row r="37" spans="1:4">
      <c r="A37" t="s">
        <v>699</v>
      </c>
      <c r="B37">
        <v>6329</v>
      </c>
      <c r="C37">
        <v>0</v>
      </c>
      <c r="D37">
        <v>6329</v>
      </c>
    </row>
    <row r="38" spans="1:4">
      <c r="A38" t="s">
        <v>523</v>
      </c>
      <c r="B38">
        <v>7345</v>
      </c>
      <c r="C38">
        <v>1016</v>
      </c>
      <c r="D38">
        <v>8361</v>
      </c>
    </row>
    <row r="39" spans="1:4">
      <c r="A39" t="s">
        <v>273</v>
      </c>
      <c r="B39">
        <v>1664065</v>
      </c>
      <c r="C39">
        <v>73760</v>
      </c>
      <c r="D39">
        <v>1737825</v>
      </c>
    </row>
    <row r="40" spans="1:4">
      <c r="A40" t="s">
        <v>67</v>
      </c>
      <c r="B40">
        <v>309706</v>
      </c>
      <c r="C40">
        <v>10059</v>
      </c>
      <c r="D40">
        <v>319765</v>
      </c>
    </row>
    <row r="41" spans="1:4">
      <c r="A41" t="s">
        <v>637</v>
      </c>
      <c r="B41">
        <v>456036</v>
      </c>
      <c r="C41">
        <v>15131</v>
      </c>
      <c r="D41">
        <v>471167</v>
      </c>
    </row>
    <row r="42" spans="1:4">
      <c r="A42" t="s">
        <v>237</v>
      </c>
      <c r="B42">
        <v>1129879</v>
      </c>
      <c r="C42">
        <v>27775</v>
      </c>
      <c r="D42">
        <v>1157654</v>
      </c>
    </row>
    <row r="43" spans="1:4">
      <c r="A43" t="s">
        <v>51</v>
      </c>
      <c r="B43">
        <v>177774</v>
      </c>
      <c r="C43">
        <v>6585</v>
      </c>
      <c r="D43">
        <v>184359</v>
      </c>
    </row>
    <row r="44" spans="1:4">
      <c r="A44" t="s">
        <v>397</v>
      </c>
      <c r="B44">
        <v>7958</v>
      </c>
      <c r="C44">
        <v>1017</v>
      </c>
      <c r="D44">
        <v>8975</v>
      </c>
    </row>
    <row r="45" spans="1:4">
      <c r="A45" t="s">
        <v>141</v>
      </c>
      <c r="B45">
        <v>1273263</v>
      </c>
      <c r="C45">
        <v>30054</v>
      </c>
      <c r="D45">
        <v>1303317</v>
      </c>
    </row>
    <row r="46" spans="1:4">
      <c r="A46" t="s">
        <v>235</v>
      </c>
      <c r="B46">
        <v>11934</v>
      </c>
      <c r="C46">
        <v>1035</v>
      </c>
      <c r="D46">
        <v>12969</v>
      </c>
    </row>
    <row r="47" spans="1:4">
      <c r="A47" t="s">
        <v>119</v>
      </c>
      <c r="B47">
        <v>48773</v>
      </c>
      <c r="C47">
        <v>1173</v>
      </c>
      <c r="D47">
        <v>49946</v>
      </c>
    </row>
    <row r="48" spans="1:4">
      <c r="A48" t="s">
        <v>387</v>
      </c>
      <c r="B48">
        <v>11855</v>
      </c>
      <c r="C48">
        <v>544</v>
      </c>
      <c r="D48">
        <v>12399</v>
      </c>
    </row>
    <row r="49" spans="1:4">
      <c r="A49" t="s">
        <v>223</v>
      </c>
      <c r="B49">
        <v>55594</v>
      </c>
      <c r="C49">
        <v>1160</v>
      </c>
      <c r="D49">
        <v>56754</v>
      </c>
    </row>
    <row r="50" spans="1:4">
      <c r="A50" t="s">
        <v>453</v>
      </c>
      <c r="B50">
        <v>102074</v>
      </c>
      <c r="C50">
        <v>1385</v>
      </c>
      <c r="D50">
        <v>103459</v>
      </c>
    </row>
    <row r="51" spans="1:4">
      <c r="A51" t="s">
        <v>401</v>
      </c>
      <c r="B51">
        <v>3739437</v>
      </c>
      <c r="C51">
        <v>61390</v>
      </c>
      <c r="D51">
        <v>3800827</v>
      </c>
    </row>
    <row r="52" spans="1:4">
      <c r="A52" t="s">
        <v>347</v>
      </c>
      <c r="B52">
        <v>451406</v>
      </c>
      <c r="C52">
        <v>16062</v>
      </c>
      <c r="D52">
        <v>467468</v>
      </c>
    </row>
    <row r="53" spans="1:4">
      <c r="A53" t="s">
        <v>521</v>
      </c>
      <c r="B53">
        <v>1800</v>
      </c>
      <c r="C53">
        <v>1002</v>
      </c>
      <c r="D53">
        <v>2802</v>
      </c>
    </row>
    <row r="54" spans="1:4">
      <c r="A54" t="s">
        <v>415</v>
      </c>
      <c r="B54">
        <v>82752</v>
      </c>
      <c r="C54">
        <v>3733</v>
      </c>
      <c r="D54">
        <v>86485</v>
      </c>
    </row>
    <row r="55" spans="1:4">
      <c r="A55" t="s">
        <v>591</v>
      </c>
      <c r="B55">
        <v>514499</v>
      </c>
      <c r="C55">
        <v>17536</v>
      </c>
      <c r="D55">
        <v>532035</v>
      </c>
    </row>
    <row r="56" spans="1:4">
      <c r="A56" t="s">
        <v>439</v>
      </c>
      <c r="B56">
        <v>654448</v>
      </c>
      <c r="C56">
        <v>17094</v>
      </c>
      <c r="D56">
        <v>671542</v>
      </c>
    </row>
    <row r="57" spans="1:4">
      <c r="A57" t="s">
        <v>599</v>
      </c>
      <c r="B57">
        <v>216227</v>
      </c>
      <c r="C57">
        <v>12142</v>
      </c>
      <c r="D57">
        <v>228369</v>
      </c>
    </row>
    <row r="58" spans="1:4">
      <c r="A58" t="s">
        <v>111</v>
      </c>
      <c r="B58">
        <v>47944</v>
      </c>
      <c r="C58">
        <v>1134</v>
      </c>
      <c r="D58">
        <v>49078</v>
      </c>
    </row>
    <row r="59" spans="1:4">
      <c r="A59" t="s">
        <v>503</v>
      </c>
      <c r="B59">
        <v>124083</v>
      </c>
      <c r="C59">
        <v>2460</v>
      </c>
      <c r="D59">
        <v>126543</v>
      </c>
    </row>
    <row r="60" spans="1:4">
      <c r="A60" t="s">
        <v>471</v>
      </c>
      <c r="B60">
        <v>356474</v>
      </c>
      <c r="C60">
        <v>16295</v>
      </c>
      <c r="D60">
        <v>372769</v>
      </c>
    </row>
    <row r="61" spans="1:4">
      <c r="A61" t="s">
        <v>317</v>
      </c>
      <c r="B61">
        <v>1855428</v>
      </c>
      <c r="C61">
        <v>68705</v>
      </c>
      <c r="D61">
        <v>1924133</v>
      </c>
    </row>
    <row r="62" spans="1:4">
      <c r="A62" t="s">
        <v>159</v>
      </c>
      <c r="B62">
        <v>608368</v>
      </c>
      <c r="C62">
        <v>17735</v>
      </c>
      <c r="D62">
        <v>626103</v>
      </c>
    </row>
    <row r="63" spans="1:4">
      <c r="A63" t="s">
        <v>629</v>
      </c>
      <c r="B63">
        <v>24137</v>
      </c>
      <c r="C63">
        <v>1076</v>
      </c>
      <c r="D63">
        <v>25213</v>
      </c>
    </row>
    <row r="64" spans="1:4">
      <c r="A64" t="s">
        <v>189</v>
      </c>
      <c r="B64">
        <v>186056</v>
      </c>
      <c r="C64">
        <v>6531</v>
      </c>
      <c r="D64">
        <v>192587</v>
      </c>
    </row>
    <row r="65" spans="1:4">
      <c r="A65" t="s">
        <v>6</v>
      </c>
      <c r="B65">
        <v>861461</v>
      </c>
      <c r="C65">
        <v>43771</v>
      </c>
      <c r="D65">
        <v>905232</v>
      </c>
    </row>
    <row r="66" spans="1:4">
      <c r="A66" t="s">
        <v>215</v>
      </c>
      <c r="B66">
        <v>429851</v>
      </c>
      <c r="C66">
        <v>17147</v>
      </c>
      <c r="D66">
        <v>446998</v>
      </c>
    </row>
    <row r="67" spans="1:4">
      <c r="A67" t="s">
        <v>345</v>
      </c>
      <c r="B67">
        <v>159633</v>
      </c>
      <c r="C67">
        <v>3071</v>
      </c>
      <c r="D67">
        <v>162704</v>
      </c>
    </row>
    <row r="68" spans="1:4">
      <c r="A68" t="s">
        <v>297</v>
      </c>
      <c r="B68">
        <v>70444</v>
      </c>
      <c r="C68">
        <v>3734</v>
      </c>
      <c r="D68">
        <v>74178</v>
      </c>
    </row>
    <row r="69" spans="1:4">
      <c r="A69" t="s">
        <v>313</v>
      </c>
      <c r="B69">
        <v>314607</v>
      </c>
      <c r="C69">
        <v>4555</v>
      </c>
      <c r="D69">
        <v>319162</v>
      </c>
    </row>
    <row r="70" spans="1:4">
      <c r="A70" t="s">
        <v>151</v>
      </c>
      <c r="B70">
        <v>446917</v>
      </c>
      <c r="C70">
        <v>20679</v>
      </c>
      <c r="D70">
        <v>467596</v>
      </c>
    </row>
    <row r="71" spans="1:4">
      <c r="A71" t="s">
        <v>551</v>
      </c>
      <c r="B71">
        <v>51373</v>
      </c>
      <c r="C71">
        <v>2131</v>
      </c>
      <c r="D71">
        <v>53504</v>
      </c>
    </row>
    <row r="72" spans="1:4">
      <c r="A72" t="s">
        <v>109</v>
      </c>
      <c r="B72">
        <v>42149</v>
      </c>
      <c r="C72">
        <v>3092</v>
      </c>
      <c r="D72">
        <v>45241</v>
      </c>
    </row>
    <row r="73" spans="1:4">
      <c r="A73" t="s">
        <v>477</v>
      </c>
      <c r="B73">
        <v>15714</v>
      </c>
      <c r="C73">
        <v>557</v>
      </c>
      <c r="D73">
        <v>16271</v>
      </c>
    </row>
    <row r="74" spans="1:4">
      <c r="A74" t="s">
        <v>633</v>
      </c>
      <c r="B74">
        <v>39755</v>
      </c>
      <c r="C74">
        <v>3104</v>
      </c>
      <c r="D74">
        <v>42859</v>
      </c>
    </row>
    <row r="75" spans="1:4">
      <c r="A75" t="s">
        <v>369</v>
      </c>
      <c r="B75">
        <v>171439</v>
      </c>
      <c r="C75">
        <v>8397</v>
      </c>
      <c r="D75">
        <v>179836</v>
      </c>
    </row>
    <row r="76" spans="1:4">
      <c r="A76" t="s">
        <v>365</v>
      </c>
      <c r="B76">
        <v>75952</v>
      </c>
      <c r="C76">
        <v>2764</v>
      </c>
      <c r="D76">
        <v>78716</v>
      </c>
    </row>
    <row r="77" spans="1:4">
      <c r="A77" t="s">
        <v>361</v>
      </c>
      <c r="B77">
        <v>1277566</v>
      </c>
      <c r="C77">
        <v>56810</v>
      </c>
      <c r="D77">
        <v>1334376</v>
      </c>
    </row>
    <row r="78" spans="1:4">
      <c r="A78" t="s">
        <v>113</v>
      </c>
      <c r="B78">
        <v>212544</v>
      </c>
      <c r="C78">
        <v>5207</v>
      </c>
      <c r="D78">
        <v>217751</v>
      </c>
    </row>
    <row r="79" spans="1:4">
      <c r="A79" t="s">
        <v>509</v>
      </c>
      <c r="B79">
        <v>365005</v>
      </c>
      <c r="C79">
        <v>10478</v>
      </c>
      <c r="D79">
        <v>375483</v>
      </c>
    </row>
    <row r="80" spans="1:4">
      <c r="A80" t="s">
        <v>433</v>
      </c>
      <c r="B80">
        <v>10012</v>
      </c>
      <c r="C80">
        <v>552</v>
      </c>
      <c r="D80">
        <v>10564</v>
      </c>
    </row>
    <row r="81" spans="1:4">
      <c r="A81" t="s">
        <v>53</v>
      </c>
      <c r="B81">
        <v>22744</v>
      </c>
      <c r="C81">
        <v>581</v>
      </c>
      <c r="D81">
        <v>23325</v>
      </c>
    </row>
    <row r="82" spans="1:4">
      <c r="A82" t="s">
        <v>435</v>
      </c>
      <c r="B82">
        <v>101613</v>
      </c>
      <c r="C82">
        <v>1875</v>
      </c>
      <c r="D82">
        <v>103488</v>
      </c>
    </row>
    <row r="83" spans="1:4">
      <c r="A83" t="s">
        <v>85</v>
      </c>
      <c r="B83">
        <v>233644</v>
      </c>
      <c r="C83">
        <v>7600</v>
      </c>
      <c r="D83">
        <v>241244</v>
      </c>
    </row>
    <row r="84" spans="1:4">
      <c r="A84" t="s">
        <v>419</v>
      </c>
      <c r="B84">
        <v>293576</v>
      </c>
      <c r="C84">
        <v>17711</v>
      </c>
      <c r="D84">
        <v>311287</v>
      </c>
    </row>
    <row r="85" spans="1:4">
      <c r="A85" t="s">
        <v>479</v>
      </c>
      <c r="B85">
        <v>12307993</v>
      </c>
      <c r="C85">
        <v>293019</v>
      </c>
      <c r="D85">
        <v>12601012</v>
      </c>
    </row>
    <row r="86" spans="1:4">
      <c r="A86" t="s">
        <v>171</v>
      </c>
      <c r="B86">
        <v>4891316</v>
      </c>
      <c r="C86">
        <v>126971</v>
      </c>
      <c r="D86">
        <v>5018287</v>
      </c>
    </row>
    <row r="87" spans="1:4">
      <c r="A87" t="s">
        <v>157</v>
      </c>
      <c r="B87">
        <v>997123</v>
      </c>
      <c r="C87">
        <v>31436</v>
      </c>
      <c r="D87">
        <v>1028559</v>
      </c>
    </row>
    <row r="88" spans="1:4">
      <c r="A88" t="s">
        <v>303</v>
      </c>
      <c r="B88">
        <v>797024</v>
      </c>
      <c r="C88">
        <v>8625</v>
      </c>
      <c r="D88">
        <v>805649</v>
      </c>
    </row>
    <row r="89" spans="1:4">
      <c r="A89" t="s">
        <v>209</v>
      </c>
      <c r="B89">
        <v>4444082</v>
      </c>
      <c r="C89">
        <v>98930</v>
      </c>
      <c r="D89">
        <v>4543012</v>
      </c>
    </row>
    <row r="90" spans="1:4">
      <c r="A90" t="s">
        <v>585</v>
      </c>
      <c r="B90">
        <v>309876</v>
      </c>
      <c r="C90">
        <v>8046</v>
      </c>
      <c r="D90">
        <v>317922</v>
      </c>
    </row>
    <row r="91" spans="1:4">
      <c r="A91" t="s">
        <v>451</v>
      </c>
      <c r="B91">
        <v>3285241</v>
      </c>
      <c r="C91">
        <v>86828</v>
      </c>
      <c r="D91">
        <v>3372069</v>
      </c>
    </row>
    <row r="92" spans="1:4">
      <c r="A92" t="s">
        <v>497</v>
      </c>
      <c r="B92">
        <v>12912</v>
      </c>
      <c r="C92">
        <v>1034</v>
      </c>
      <c r="D92">
        <v>13946</v>
      </c>
    </row>
    <row r="93" spans="1:4">
      <c r="A93" t="s">
        <v>30</v>
      </c>
      <c r="B93">
        <v>4240202</v>
      </c>
      <c r="C93">
        <v>78530</v>
      </c>
      <c r="D93">
        <v>4318732</v>
      </c>
    </row>
    <row r="94" spans="1:4">
      <c r="A94" t="s">
        <v>573</v>
      </c>
      <c r="B94">
        <v>614526</v>
      </c>
      <c r="C94">
        <v>19597</v>
      </c>
      <c r="D94">
        <v>634123</v>
      </c>
    </row>
    <row r="95" spans="1:4">
      <c r="A95" t="s">
        <v>463</v>
      </c>
      <c r="B95">
        <v>587178</v>
      </c>
      <c r="C95">
        <v>13985</v>
      </c>
      <c r="D95">
        <v>601163</v>
      </c>
    </row>
    <row r="96" spans="1:4">
      <c r="A96" t="s">
        <v>22</v>
      </c>
      <c r="B96">
        <v>3619734</v>
      </c>
      <c r="C96">
        <v>64231</v>
      </c>
      <c r="D96">
        <v>3683965</v>
      </c>
    </row>
    <row r="97" spans="1:4">
      <c r="A97" t="s">
        <v>553</v>
      </c>
      <c r="B97">
        <v>1683628</v>
      </c>
      <c r="C97">
        <v>41913</v>
      </c>
      <c r="D97">
        <v>1725541</v>
      </c>
    </row>
    <row r="98" spans="1:4">
      <c r="A98" t="s">
        <v>501</v>
      </c>
      <c r="B98">
        <v>1214085</v>
      </c>
      <c r="C98">
        <v>30519</v>
      </c>
      <c r="D98">
        <v>1244604</v>
      </c>
    </row>
    <row r="99" spans="1:4">
      <c r="A99" t="s">
        <v>229</v>
      </c>
      <c r="B99">
        <v>3646489</v>
      </c>
      <c r="C99">
        <v>79850</v>
      </c>
      <c r="D99">
        <v>3726339</v>
      </c>
    </row>
    <row r="100" spans="1:4">
      <c r="A100" t="s">
        <v>493</v>
      </c>
      <c r="B100">
        <v>2512194</v>
      </c>
      <c r="C100">
        <v>77505</v>
      </c>
      <c r="D100">
        <v>2589699</v>
      </c>
    </row>
    <row r="101" spans="1:4">
      <c r="A101" t="s">
        <v>263</v>
      </c>
      <c r="B101">
        <v>5866298</v>
      </c>
      <c r="C101">
        <v>106395</v>
      </c>
      <c r="D101">
        <v>5972693</v>
      </c>
    </row>
    <row r="102" spans="1:4">
      <c r="A102" t="s">
        <v>241</v>
      </c>
      <c r="B102">
        <v>5580671</v>
      </c>
      <c r="C102">
        <v>135630</v>
      </c>
      <c r="D102">
        <v>5716301</v>
      </c>
    </row>
    <row r="103" spans="1:4">
      <c r="A103" t="s">
        <v>359</v>
      </c>
      <c r="B103">
        <v>4837385</v>
      </c>
      <c r="C103">
        <v>96405</v>
      </c>
      <c r="D103">
        <v>4933790</v>
      </c>
    </row>
    <row r="104" spans="1:4">
      <c r="A104" t="s">
        <v>539</v>
      </c>
      <c r="B104">
        <v>42357</v>
      </c>
      <c r="C104">
        <v>0</v>
      </c>
      <c r="D104">
        <v>42357</v>
      </c>
    </row>
    <row r="105" spans="1:4">
      <c r="A105" t="s">
        <v>535</v>
      </c>
      <c r="B105">
        <v>161223</v>
      </c>
      <c r="C105">
        <v>0</v>
      </c>
      <c r="D105">
        <v>161223</v>
      </c>
    </row>
    <row r="106" spans="1:4">
      <c r="A106" t="s">
        <v>443</v>
      </c>
      <c r="B106">
        <v>64312</v>
      </c>
      <c r="C106">
        <v>0</v>
      </c>
      <c r="D106">
        <v>64312</v>
      </c>
    </row>
    <row r="107" spans="1:4">
      <c r="A107" t="s">
        <v>445</v>
      </c>
      <c r="B107">
        <v>96016</v>
      </c>
      <c r="C107">
        <v>0</v>
      </c>
      <c r="D107">
        <v>96016</v>
      </c>
    </row>
    <row r="108" spans="1:4">
      <c r="A108" t="s">
        <v>219</v>
      </c>
      <c r="B108">
        <v>88077</v>
      </c>
      <c r="C108">
        <v>1163</v>
      </c>
      <c r="D108">
        <v>89240</v>
      </c>
    </row>
    <row r="109" spans="1:4">
      <c r="A109" t="s">
        <v>221</v>
      </c>
      <c r="B109">
        <v>51669</v>
      </c>
      <c r="C109">
        <v>563</v>
      </c>
      <c r="D109">
        <v>52232</v>
      </c>
    </row>
    <row r="110" spans="1:4">
      <c r="A110" t="s">
        <v>623</v>
      </c>
      <c r="B110">
        <v>45543</v>
      </c>
      <c r="C110">
        <v>0</v>
      </c>
      <c r="D110">
        <v>45543</v>
      </c>
    </row>
    <row r="111" spans="1:4">
      <c r="A111" t="s">
        <v>829</v>
      </c>
      <c r="B111">
        <v>22774</v>
      </c>
      <c r="C111">
        <v>602</v>
      </c>
      <c r="D111">
        <v>23376</v>
      </c>
    </row>
    <row r="112" spans="1:4">
      <c r="A112" t="s">
        <v>45</v>
      </c>
      <c r="B112">
        <v>1120108</v>
      </c>
      <c r="C112">
        <v>43480</v>
      </c>
      <c r="D112">
        <v>1163588</v>
      </c>
    </row>
    <row r="113" spans="1:4">
      <c r="A113" t="s">
        <v>25</v>
      </c>
      <c r="B113">
        <v>757416</v>
      </c>
      <c r="C113">
        <v>28345</v>
      </c>
      <c r="D113">
        <v>785761</v>
      </c>
    </row>
    <row r="114" spans="1:4">
      <c r="A114" t="s">
        <v>349</v>
      </c>
      <c r="B114">
        <v>1217588</v>
      </c>
      <c r="C114">
        <v>36224</v>
      </c>
      <c r="D114">
        <v>1253812</v>
      </c>
    </row>
    <row r="115" spans="1:4">
      <c r="A115" t="s">
        <v>73</v>
      </c>
      <c r="B115">
        <v>2630567</v>
      </c>
      <c r="C115">
        <v>110437</v>
      </c>
      <c r="D115">
        <v>2741004</v>
      </c>
    </row>
    <row r="116" spans="1:4">
      <c r="A116" t="s">
        <v>507</v>
      </c>
      <c r="B116">
        <v>2180116</v>
      </c>
      <c r="C116">
        <v>52938</v>
      </c>
      <c r="D116">
        <v>2233054</v>
      </c>
    </row>
    <row r="117" spans="1:4">
      <c r="A117" t="s">
        <v>69</v>
      </c>
      <c r="B117">
        <v>85844</v>
      </c>
      <c r="C117">
        <v>0</v>
      </c>
      <c r="D117">
        <v>85844</v>
      </c>
    </row>
    <row r="118" spans="1:4">
      <c r="A118" t="s">
        <v>836</v>
      </c>
      <c r="B118">
        <v>60965</v>
      </c>
      <c r="C118">
        <v>0</v>
      </c>
      <c r="D118">
        <v>60965</v>
      </c>
    </row>
    <row r="119" spans="1:4">
      <c r="A119" t="s">
        <v>123</v>
      </c>
      <c r="B119">
        <v>6148</v>
      </c>
      <c r="C119">
        <v>555</v>
      </c>
      <c r="D119">
        <v>6703</v>
      </c>
    </row>
    <row r="120" spans="1:4">
      <c r="A120" t="s">
        <v>143</v>
      </c>
      <c r="B120">
        <v>22082</v>
      </c>
      <c r="C120">
        <v>596</v>
      </c>
      <c r="D120">
        <v>22678</v>
      </c>
    </row>
    <row r="121" spans="1:4">
      <c r="A121" t="s">
        <v>559</v>
      </c>
      <c r="B121">
        <v>52380</v>
      </c>
      <c r="C121">
        <v>2176</v>
      </c>
      <c r="D121">
        <v>54556</v>
      </c>
    </row>
    <row r="122" spans="1:4">
      <c r="A122" t="s">
        <v>149</v>
      </c>
      <c r="B122">
        <v>697700</v>
      </c>
      <c r="C122">
        <v>23874</v>
      </c>
      <c r="D122">
        <v>721574</v>
      </c>
    </row>
    <row r="123" spans="1:4">
      <c r="A123" t="s">
        <v>247</v>
      </c>
      <c r="B123">
        <v>120490</v>
      </c>
      <c r="C123">
        <v>2921</v>
      </c>
      <c r="D123">
        <v>123411</v>
      </c>
    </row>
    <row r="124" spans="1:4">
      <c r="A124" t="s">
        <v>89</v>
      </c>
      <c r="B124">
        <v>208591</v>
      </c>
      <c r="C124">
        <v>10101</v>
      </c>
      <c r="D124">
        <v>218692</v>
      </c>
    </row>
    <row r="125" spans="1:4">
      <c r="A125" t="s">
        <v>333</v>
      </c>
      <c r="B125">
        <v>171691</v>
      </c>
      <c r="C125">
        <v>10973</v>
      </c>
      <c r="D125">
        <v>182664</v>
      </c>
    </row>
    <row r="126" spans="1:4">
      <c r="A126" t="s">
        <v>163</v>
      </c>
      <c r="B126">
        <v>10774</v>
      </c>
      <c r="C126">
        <v>565</v>
      </c>
      <c r="D126">
        <v>11339</v>
      </c>
    </row>
    <row r="127" spans="1:4">
      <c r="A127" t="s">
        <v>319</v>
      </c>
      <c r="B127">
        <v>145139</v>
      </c>
      <c r="C127">
        <v>5436</v>
      </c>
      <c r="D127">
        <v>150575</v>
      </c>
    </row>
    <row r="128" spans="1:4">
      <c r="A128" t="s">
        <v>315</v>
      </c>
      <c r="B128">
        <v>120542</v>
      </c>
      <c r="C128">
        <v>7785</v>
      </c>
      <c r="D128">
        <v>128327</v>
      </c>
    </row>
    <row r="129" spans="1:4">
      <c r="A129" t="s">
        <v>9</v>
      </c>
      <c r="B129">
        <v>127317</v>
      </c>
      <c r="C129">
        <v>7365</v>
      </c>
      <c r="D129">
        <v>134682</v>
      </c>
    </row>
    <row r="130" spans="1:4">
      <c r="A130" t="s">
        <v>631</v>
      </c>
      <c r="B130">
        <v>199833</v>
      </c>
      <c r="C130">
        <v>10070</v>
      </c>
      <c r="D130">
        <v>209903</v>
      </c>
    </row>
    <row r="131" spans="1:4">
      <c r="A131" t="s">
        <v>43</v>
      </c>
      <c r="B131">
        <v>63863</v>
      </c>
      <c r="C131">
        <v>4709</v>
      </c>
      <c r="D131">
        <v>68572</v>
      </c>
    </row>
    <row r="132" spans="1:4">
      <c r="A132" t="s">
        <v>561</v>
      </c>
      <c r="B132">
        <v>207698</v>
      </c>
      <c r="C132">
        <v>6589</v>
      </c>
      <c r="D132">
        <v>214287</v>
      </c>
    </row>
    <row r="133" spans="1:4">
      <c r="A133" t="s">
        <v>379</v>
      </c>
      <c r="B133">
        <v>204075</v>
      </c>
      <c r="C133">
        <v>9103</v>
      </c>
      <c r="D133">
        <v>213178</v>
      </c>
    </row>
    <row r="134" spans="1:4">
      <c r="A134" t="s">
        <v>407</v>
      </c>
      <c r="B134">
        <v>64009</v>
      </c>
      <c r="C134">
        <v>3191</v>
      </c>
      <c r="D134">
        <v>67200</v>
      </c>
    </row>
    <row r="135" spans="1:4">
      <c r="A135" t="s">
        <v>79</v>
      </c>
      <c r="B135">
        <v>686648</v>
      </c>
      <c r="C135">
        <v>16406</v>
      </c>
      <c r="D135">
        <v>703054</v>
      </c>
    </row>
    <row r="136" spans="1:4">
      <c r="A136" t="s">
        <v>617</v>
      </c>
      <c r="B136">
        <v>130335</v>
      </c>
      <c r="C136">
        <v>6230</v>
      </c>
      <c r="D136">
        <v>136565</v>
      </c>
    </row>
    <row r="137" spans="1:4">
      <c r="A137" t="s">
        <v>77</v>
      </c>
      <c r="B137">
        <v>871370</v>
      </c>
      <c r="C137">
        <v>39604</v>
      </c>
      <c r="D137">
        <v>910974</v>
      </c>
    </row>
    <row r="138" spans="1:4">
      <c r="A138" t="s">
        <v>517</v>
      </c>
      <c r="B138">
        <v>20383</v>
      </c>
      <c r="C138">
        <v>567</v>
      </c>
      <c r="D138">
        <v>20950</v>
      </c>
    </row>
    <row r="139" spans="1:4">
      <c r="A139" t="s">
        <v>449</v>
      </c>
      <c r="B139">
        <v>168035</v>
      </c>
      <c r="C139">
        <v>2183</v>
      </c>
      <c r="D139">
        <v>170218</v>
      </c>
    </row>
    <row r="140" spans="1:4">
      <c r="A140" t="s">
        <v>11</v>
      </c>
      <c r="B140">
        <v>23301</v>
      </c>
      <c r="C140">
        <v>617</v>
      </c>
      <c r="D140">
        <v>23918</v>
      </c>
    </row>
    <row r="141" spans="1:4">
      <c r="A141" t="s">
        <v>117</v>
      </c>
      <c r="B141">
        <v>20126</v>
      </c>
      <c r="C141">
        <v>1069</v>
      </c>
      <c r="D141">
        <v>21195</v>
      </c>
    </row>
    <row r="142" spans="1:4">
      <c r="A142" t="s">
        <v>371</v>
      </c>
      <c r="B142">
        <v>53722</v>
      </c>
      <c r="C142">
        <v>2156</v>
      </c>
      <c r="D142">
        <v>55878</v>
      </c>
    </row>
    <row r="143" spans="1:4">
      <c r="A143" t="s">
        <v>625</v>
      </c>
      <c r="B143">
        <v>51797</v>
      </c>
      <c r="C143">
        <v>660</v>
      </c>
      <c r="D143">
        <v>52457</v>
      </c>
    </row>
    <row r="144" spans="1:4">
      <c r="A144" t="s">
        <v>205</v>
      </c>
      <c r="B144">
        <v>26024</v>
      </c>
      <c r="C144">
        <v>614</v>
      </c>
      <c r="D144">
        <v>26638</v>
      </c>
    </row>
    <row r="145" spans="1:4">
      <c r="A145" t="s">
        <v>127</v>
      </c>
      <c r="B145">
        <v>122886</v>
      </c>
      <c r="C145">
        <v>2989</v>
      </c>
      <c r="D145">
        <v>125875</v>
      </c>
    </row>
    <row r="146" spans="1:4">
      <c r="A146" t="s">
        <v>511</v>
      </c>
      <c r="B146">
        <v>46753</v>
      </c>
      <c r="C146">
        <v>1157</v>
      </c>
      <c r="D146">
        <v>47910</v>
      </c>
    </row>
    <row r="147" spans="1:4">
      <c r="A147" t="s">
        <v>197</v>
      </c>
      <c r="B147">
        <v>45121</v>
      </c>
      <c r="C147">
        <v>686</v>
      </c>
      <c r="D147">
        <v>45807</v>
      </c>
    </row>
    <row r="148" spans="1:4">
      <c r="A148" t="s">
        <v>491</v>
      </c>
      <c r="B148">
        <v>1005602</v>
      </c>
      <c r="C148">
        <v>34473</v>
      </c>
      <c r="D148">
        <v>1040075</v>
      </c>
    </row>
    <row r="149" spans="1:4">
      <c r="A149" t="s">
        <v>291</v>
      </c>
      <c r="B149">
        <v>134432</v>
      </c>
      <c r="C149">
        <v>2607</v>
      </c>
      <c r="D149">
        <v>137039</v>
      </c>
    </row>
    <row r="150" spans="1:4">
      <c r="A150" t="s">
        <v>413</v>
      </c>
      <c r="B150">
        <v>134202</v>
      </c>
      <c r="C150">
        <v>9198</v>
      </c>
      <c r="D150">
        <v>143400</v>
      </c>
    </row>
    <row r="151" spans="1:4">
      <c r="A151" t="s">
        <v>351</v>
      </c>
      <c r="B151">
        <v>530258</v>
      </c>
      <c r="C151">
        <v>14186</v>
      </c>
      <c r="D151">
        <v>544444</v>
      </c>
    </row>
    <row r="152" spans="1:4">
      <c r="A152" t="s">
        <v>213</v>
      </c>
      <c r="B152">
        <v>81238</v>
      </c>
      <c r="C152">
        <v>6207</v>
      </c>
      <c r="D152">
        <v>87445</v>
      </c>
    </row>
    <row r="153" spans="1:4">
      <c r="A153" t="s">
        <v>337</v>
      </c>
      <c r="B153">
        <v>48942</v>
      </c>
      <c r="C153">
        <v>8009</v>
      </c>
      <c r="D153">
        <v>56951</v>
      </c>
    </row>
    <row r="154" spans="1:4">
      <c r="A154" t="s">
        <v>377</v>
      </c>
      <c r="B154">
        <v>1101367</v>
      </c>
      <c r="C154">
        <v>35361</v>
      </c>
      <c r="D154">
        <v>1136728</v>
      </c>
    </row>
    <row r="155" spans="1:4">
      <c r="A155" t="s">
        <v>373</v>
      </c>
      <c r="B155">
        <v>245976</v>
      </c>
      <c r="C155">
        <v>8804</v>
      </c>
      <c r="D155">
        <v>254780</v>
      </c>
    </row>
    <row r="156" spans="1:4">
      <c r="A156" t="s">
        <v>48</v>
      </c>
      <c r="B156">
        <v>259988</v>
      </c>
      <c r="C156">
        <v>7417</v>
      </c>
      <c r="D156">
        <v>267405</v>
      </c>
    </row>
    <row r="157" spans="1:4">
      <c r="A157" t="s">
        <v>403</v>
      </c>
      <c r="B157">
        <v>49616</v>
      </c>
      <c r="C157">
        <v>1190</v>
      </c>
      <c r="D157">
        <v>50806</v>
      </c>
    </row>
    <row r="158" spans="1:4">
      <c r="A158" t="s">
        <v>563</v>
      </c>
      <c r="B158">
        <v>267032</v>
      </c>
      <c r="C158">
        <v>10852</v>
      </c>
      <c r="D158">
        <v>277884</v>
      </c>
    </row>
    <row r="159" spans="1:4">
      <c r="A159" t="s">
        <v>391</v>
      </c>
      <c r="B159">
        <v>137503</v>
      </c>
      <c r="C159">
        <v>8321</v>
      </c>
      <c r="D159">
        <v>145824</v>
      </c>
    </row>
    <row r="160" spans="1:4">
      <c r="A160" t="s">
        <v>447</v>
      </c>
      <c r="B160">
        <v>136740</v>
      </c>
      <c r="C160">
        <v>5851</v>
      </c>
      <c r="D160">
        <v>142591</v>
      </c>
    </row>
    <row r="161" spans="1:4">
      <c r="A161" t="s">
        <v>505</v>
      </c>
      <c r="B161">
        <v>138895</v>
      </c>
      <c r="C161">
        <v>3010</v>
      </c>
      <c r="D161">
        <v>141905</v>
      </c>
    </row>
    <row r="162" spans="1:4">
      <c r="A162" t="s">
        <v>627</v>
      </c>
      <c r="B162">
        <v>80827</v>
      </c>
      <c r="C162">
        <v>2251</v>
      </c>
      <c r="D162">
        <v>83078</v>
      </c>
    </row>
    <row r="163" spans="1:4">
      <c r="A163" t="s">
        <v>353</v>
      </c>
      <c r="B163">
        <v>11218</v>
      </c>
      <c r="C163">
        <v>557</v>
      </c>
      <c r="D163">
        <v>11775</v>
      </c>
    </row>
    <row r="164" spans="1:4">
      <c r="A164" t="s">
        <v>339</v>
      </c>
      <c r="B164">
        <v>296498</v>
      </c>
      <c r="C164">
        <v>31972</v>
      </c>
      <c r="D164">
        <v>328470</v>
      </c>
    </row>
    <row r="165" spans="1:4">
      <c r="A165" t="s">
        <v>121</v>
      </c>
      <c r="B165">
        <v>83338</v>
      </c>
      <c r="C165">
        <v>1797</v>
      </c>
      <c r="D165">
        <v>85135</v>
      </c>
    </row>
    <row r="166" spans="1:4">
      <c r="A166" t="s">
        <v>485</v>
      </c>
      <c r="B166">
        <v>75073</v>
      </c>
      <c r="C166">
        <v>7605</v>
      </c>
      <c r="D166">
        <v>82678</v>
      </c>
    </row>
    <row r="167" spans="1:4">
      <c r="A167" t="s">
        <v>527</v>
      </c>
      <c r="B167">
        <v>544190</v>
      </c>
      <c r="C167">
        <v>19445</v>
      </c>
      <c r="D167">
        <v>563635</v>
      </c>
    </row>
    <row r="168" spans="1:4">
      <c r="A168" t="s">
        <v>431</v>
      </c>
      <c r="B168">
        <v>4847886</v>
      </c>
      <c r="C168">
        <v>120298</v>
      </c>
      <c r="D168">
        <v>4968184</v>
      </c>
    </row>
    <row r="169" spans="1:4">
      <c r="A169" t="s">
        <v>549</v>
      </c>
      <c r="B169">
        <v>7291274</v>
      </c>
      <c r="C169">
        <v>238779</v>
      </c>
      <c r="D169">
        <v>7530053</v>
      </c>
    </row>
    <row r="170" spans="1:4">
      <c r="A170" t="s">
        <v>61</v>
      </c>
      <c r="B170">
        <v>40946</v>
      </c>
      <c r="C170">
        <v>2115</v>
      </c>
      <c r="D170">
        <v>43061</v>
      </c>
    </row>
    <row r="171" spans="1:4">
      <c r="A171" t="s">
        <v>579</v>
      </c>
      <c r="B171">
        <v>1198214</v>
      </c>
      <c r="C171">
        <v>28452</v>
      </c>
      <c r="D171">
        <v>1226666</v>
      </c>
    </row>
    <row r="172" spans="1:4">
      <c r="A172" t="s">
        <v>543</v>
      </c>
      <c r="B172">
        <v>2064812</v>
      </c>
      <c r="C172">
        <v>46630</v>
      </c>
      <c r="D172">
        <v>2111442</v>
      </c>
    </row>
    <row r="173" spans="1:4">
      <c r="A173" t="s">
        <v>133</v>
      </c>
      <c r="B173">
        <v>238922</v>
      </c>
      <c r="C173">
        <v>5943</v>
      </c>
      <c r="D173">
        <v>244865</v>
      </c>
    </row>
    <row r="174" spans="1:4">
      <c r="A174" t="s">
        <v>393</v>
      </c>
      <c r="B174">
        <v>517434</v>
      </c>
      <c r="C174">
        <v>11446</v>
      </c>
      <c r="D174">
        <v>528880</v>
      </c>
    </row>
    <row r="175" spans="1:4">
      <c r="A175" t="s">
        <v>91</v>
      </c>
      <c r="B175">
        <v>2872483</v>
      </c>
      <c r="C175">
        <v>109295</v>
      </c>
      <c r="D175">
        <v>2981778</v>
      </c>
    </row>
    <row r="176" spans="1:4">
      <c r="A176" t="s">
        <v>409</v>
      </c>
      <c r="B176">
        <v>1979415</v>
      </c>
      <c r="C176">
        <v>60755</v>
      </c>
      <c r="D176">
        <v>2040170</v>
      </c>
    </row>
    <row r="177" spans="1:4">
      <c r="A177" t="s">
        <v>179</v>
      </c>
      <c r="B177">
        <v>1644892</v>
      </c>
      <c r="C177">
        <v>51512</v>
      </c>
      <c r="D177">
        <v>1696404</v>
      </c>
    </row>
    <row r="178" spans="1:4">
      <c r="A178" t="s">
        <v>36</v>
      </c>
      <c r="B178">
        <v>4284531</v>
      </c>
      <c r="C178">
        <v>106648</v>
      </c>
      <c r="D178">
        <v>4391179</v>
      </c>
    </row>
    <row r="179" spans="1:4">
      <c r="A179" t="s">
        <v>145</v>
      </c>
      <c r="B179">
        <v>408991</v>
      </c>
      <c r="C179">
        <v>12857</v>
      </c>
      <c r="D179">
        <v>421848</v>
      </c>
    </row>
    <row r="180" spans="1:4">
      <c r="A180" t="s">
        <v>619</v>
      </c>
      <c r="B180">
        <v>904108</v>
      </c>
      <c r="C180">
        <v>22521</v>
      </c>
      <c r="D180">
        <v>926629</v>
      </c>
    </row>
    <row r="181" spans="1:4">
      <c r="A181" t="s">
        <v>175</v>
      </c>
      <c r="B181">
        <v>791652</v>
      </c>
      <c r="C181">
        <v>35569</v>
      </c>
      <c r="D181">
        <v>827221</v>
      </c>
    </row>
    <row r="182" spans="1:4">
      <c r="A182" t="s">
        <v>217</v>
      </c>
      <c r="B182">
        <v>48901</v>
      </c>
      <c r="C182">
        <v>645</v>
      </c>
      <c r="D182">
        <v>49546</v>
      </c>
    </row>
    <row r="183" spans="1:4">
      <c r="A183" t="s">
        <v>537</v>
      </c>
      <c r="B183">
        <v>38544</v>
      </c>
      <c r="C183">
        <v>0</v>
      </c>
      <c r="D183">
        <v>38544</v>
      </c>
    </row>
    <row r="184" spans="1:4">
      <c r="A184" t="s">
        <v>489</v>
      </c>
      <c r="B184">
        <v>1800</v>
      </c>
      <c r="C184">
        <v>523</v>
      </c>
      <c r="D184">
        <v>2323</v>
      </c>
    </row>
    <row r="185" spans="1:4">
      <c r="A185" t="s">
        <v>383</v>
      </c>
      <c r="B185">
        <v>168181</v>
      </c>
      <c r="C185">
        <v>2643</v>
      </c>
      <c r="D185">
        <v>170824</v>
      </c>
    </row>
    <row r="186" spans="1:4">
      <c r="A186" t="s">
        <v>277</v>
      </c>
      <c r="B186">
        <v>60061</v>
      </c>
      <c r="C186">
        <v>1169</v>
      </c>
      <c r="D186">
        <v>61230</v>
      </c>
    </row>
    <row r="187" spans="1:4">
      <c r="A187" t="s">
        <v>475</v>
      </c>
      <c r="B187">
        <v>199929</v>
      </c>
      <c r="C187">
        <v>6621</v>
      </c>
      <c r="D187">
        <v>206550</v>
      </c>
    </row>
    <row r="188" spans="1:4">
      <c r="A188" t="s">
        <v>105</v>
      </c>
      <c r="B188">
        <v>149861</v>
      </c>
      <c r="C188">
        <v>8336</v>
      </c>
      <c r="D188">
        <v>158197</v>
      </c>
    </row>
    <row r="189" spans="1:4">
      <c r="A189" t="s">
        <v>55</v>
      </c>
      <c r="B189">
        <v>784883</v>
      </c>
      <c r="C189">
        <v>31810</v>
      </c>
      <c r="D189">
        <v>816693</v>
      </c>
    </row>
    <row r="190" spans="1:4">
      <c r="A190" t="s">
        <v>481</v>
      </c>
      <c r="B190">
        <v>995378</v>
      </c>
      <c r="C190">
        <v>46430</v>
      </c>
      <c r="D190">
        <v>1041808</v>
      </c>
    </row>
    <row r="191" spans="1:4">
      <c r="A191" t="s">
        <v>14</v>
      </c>
      <c r="B191">
        <v>570287</v>
      </c>
      <c r="C191">
        <v>16253</v>
      </c>
      <c r="D191">
        <v>586540</v>
      </c>
    </row>
    <row r="192" spans="1:4">
      <c r="A192" t="s">
        <v>253</v>
      </c>
      <c r="B192">
        <v>128761</v>
      </c>
      <c r="C192">
        <v>6333</v>
      </c>
      <c r="D192">
        <v>135094</v>
      </c>
    </row>
    <row r="193" spans="1:4">
      <c r="A193" t="s">
        <v>107</v>
      </c>
      <c r="B193">
        <v>77581</v>
      </c>
      <c r="C193">
        <v>1307</v>
      </c>
      <c r="D193">
        <v>78888</v>
      </c>
    </row>
    <row r="194" spans="1:4">
      <c r="A194" t="s">
        <v>327</v>
      </c>
      <c r="B194">
        <v>1531559</v>
      </c>
      <c r="C194">
        <v>52771</v>
      </c>
      <c r="D194">
        <v>1584330</v>
      </c>
    </row>
    <row r="195" spans="1:4">
      <c r="A195" t="s">
        <v>165</v>
      </c>
      <c r="B195">
        <v>4383256</v>
      </c>
      <c r="C195">
        <v>147671</v>
      </c>
      <c r="D195">
        <v>4530927</v>
      </c>
    </row>
    <row r="196" spans="1:4">
      <c r="A196" t="s">
        <v>261</v>
      </c>
      <c r="B196">
        <v>1736651</v>
      </c>
      <c r="C196">
        <v>50623</v>
      </c>
      <c r="D196">
        <v>1787274</v>
      </c>
    </row>
    <row r="197" spans="1:4">
      <c r="A197" t="s">
        <v>329</v>
      </c>
      <c r="B197">
        <v>3233315</v>
      </c>
      <c r="C197">
        <v>111353</v>
      </c>
      <c r="D197">
        <v>3344668</v>
      </c>
    </row>
    <row r="198" spans="1:4">
      <c r="A198" t="s">
        <v>147</v>
      </c>
      <c r="B198">
        <v>4488668</v>
      </c>
      <c r="C198">
        <v>134702</v>
      </c>
      <c r="D198">
        <v>4623370</v>
      </c>
    </row>
    <row r="199" spans="1:4">
      <c r="A199" t="s">
        <v>17</v>
      </c>
      <c r="B199">
        <v>1159473</v>
      </c>
      <c r="C199">
        <v>32940</v>
      </c>
      <c r="D199">
        <v>1192413</v>
      </c>
    </row>
    <row r="200" spans="1:4">
      <c r="A200" t="s">
        <v>295</v>
      </c>
      <c r="B200">
        <v>2367490</v>
      </c>
      <c r="C200">
        <v>70615</v>
      </c>
      <c r="D200">
        <v>2438105</v>
      </c>
    </row>
    <row r="201" spans="1:4">
      <c r="A201" t="s">
        <v>225</v>
      </c>
      <c r="B201">
        <v>8217</v>
      </c>
      <c r="C201">
        <v>534</v>
      </c>
      <c r="D201">
        <v>8751</v>
      </c>
    </row>
    <row r="202" spans="1:4">
      <c r="A202" t="s">
        <v>311</v>
      </c>
      <c r="B202">
        <v>1179710</v>
      </c>
      <c r="C202">
        <v>29709</v>
      </c>
      <c r="D202">
        <v>1209419</v>
      </c>
    </row>
    <row r="203" spans="1:4">
      <c r="A203" t="s">
        <v>499</v>
      </c>
      <c r="B203">
        <v>1864680</v>
      </c>
      <c r="C203">
        <v>72920</v>
      </c>
      <c r="D203">
        <v>1937600</v>
      </c>
    </row>
    <row r="204" spans="1:4">
      <c r="A204" t="s">
        <v>265</v>
      </c>
      <c r="B204">
        <v>543736</v>
      </c>
      <c r="C204">
        <v>9468</v>
      </c>
      <c r="D204">
        <v>553204</v>
      </c>
    </row>
    <row r="205" spans="1:4">
      <c r="A205" t="s">
        <v>533</v>
      </c>
      <c r="B205">
        <v>501648</v>
      </c>
      <c r="C205">
        <v>23825</v>
      </c>
      <c r="D205">
        <v>525473</v>
      </c>
    </row>
    <row r="206" spans="1:4">
      <c r="A206" t="s">
        <v>125</v>
      </c>
      <c r="B206">
        <v>109070</v>
      </c>
      <c r="C206">
        <v>3825</v>
      </c>
      <c r="D206">
        <v>112895</v>
      </c>
    </row>
    <row r="207" spans="1:4">
      <c r="A207" t="s">
        <v>195</v>
      </c>
      <c r="B207">
        <v>466520</v>
      </c>
      <c r="C207">
        <v>9706</v>
      </c>
      <c r="D207">
        <v>476226</v>
      </c>
    </row>
    <row r="208" spans="1:4">
      <c r="A208" t="s">
        <v>519</v>
      </c>
      <c r="B208">
        <v>976226</v>
      </c>
      <c r="C208">
        <v>36062</v>
      </c>
      <c r="D208">
        <v>1012288</v>
      </c>
    </row>
    <row r="209" spans="1:4">
      <c r="A209" t="s">
        <v>513</v>
      </c>
      <c r="B209">
        <v>7119313</v>
      </c>
      <c r="C209">
        <v>176507</v>
      </c>
      <c r="D209">
        <v>7295820</v>
      </c>
    </row>
    <row r="210" spans="1:4">
      <c r="A210" t="s">
        <v>385</v>
      </c>
      <c r="B210">
        <v>40506</v>
      </c>
      <c r="C210">
        <v>2163</v>
      </c>
      <c r="D210">
        <v>42669</v>
      </c>
    </row>
    <row r="211" spans="1:4">
      <c r="A211" t="s">
        <v>199</v>
      </c>
      <c r="B211">
        <v>8616</v>
      </c>
      <c r="C211">
        <v>557</v>
      </c>
      <c r="D211">
        <v>9173</v>
      </c>
    </row>
    <row r="212" spans="1:4">
      <c r="A212" t="s">
        <v>341</v>
      </c>
      <c r="B212">
        <v>308120</v>
      </c>
      <c r="C212">
        <v>10389</v>
      </c>
      <c r="D212">
        <v>318509</v>
      </c>
    </row>
    <row r="213" spans="1:4">
      <c r="A213" t="s">
        <v>301</v>
      </c>
      <c r="B213">
        <v>411639</v>
      </c>
      <c r="C213">
        <v>22076</v>
      </c>
      <c r="D213">
        <v>433715</v>
      </c>
    </row>
    <row r="214" spans="1:4">
      <c r="A214" t="s">
        <v>299</v>
      </c>
      <c r="B214">
        <v>2085764</v>
      </c>
      <c r="C214">
        <v>33871</v>
      </c>
      <c r="D214">
        <v>2119635</v>
      </c>
    </row>
    <row r="215" spans="1:4">
      <c r="A215" t="s">
        <v>75</v>
      </c>
      <c r="B215">
        <v>3013475</v>
      </c>
      <c r="C215">
        <v>56282</v>
      </c>
      <c r="D215">
        <v>3069757</v>
      </c>
    </row>
    <row r="216" spans="1:4">
      <c r="A216" t="s">
        <v>181</v>
      </c>
      <c r="B216">
        <v>153321</v>
      </c>
      <c r="C216">
        <v>2607</v>
      </c>
      <c r="D216">
        <v>155928</v>
      </c>
    </row>
    <row r="217" spans="1:4">
      <c r="A217" t="s">
        <v>81</v>
      </c>
      <c r="B217">
        <v>1075566</v>
      </c>
      <c r="C217">
        <v>25092</v>
      </c>
      <c r="D217">
        <v>1100658</v>
      </c>
    </row>
    <row r="218" spans="1:4">
      <c r="A218" t="s">
        <v>137</v>
      </c>
      <c r="B218">
        <v>840913</v>
      </c>
      <c r="C218">
        <v>22605</v>
      </c>
      <c r="D218">
        <v>863518</v>
      </c>
    </row>
    <row r="219" spans="1:4">
      <c r="A219" t="s">
        <v>269</v>
      </c>
      <c r="B219">
        <v>161764</v>
      </c>
      <c r="C219">
        <v>4601</v>
      </c>
      <c r="D219">
        <v>166365</v>
      </c>
    </row>
    <row r="220" spans="1:4">
      <c r="A220" t="s">
        <v>613</v>
      </c>
      <c r="B220">
        <v>758624</v>
      </c>
      <c r="C220">
        <v>31293</v>
      </c>
      <c r="D220">
        <v>789917</v>
      </c>
    </row>
    <row r="221" spans="1:4">
      <c r="A221" t="s">
        <v>131</v>
      </c>
      <c r="B221">
        <v>576733</v>
      </c>
      <c r="C221">
        <v>22865</v>
      </c>
      <c r="D221">
        <v>599598</v>
      </c>
    </row>
    <row r="222" spans="1:4">
      <c r="A222" t="s">
        <v>461</v>
      </c>
      <c r="B222">
        <v>412242</v>
      </c>
      <c r="C222">
        <v>17022</v>
      </c>
      <c r="D222">
        <v>429264</v>
      </c>
    </row>
    <row r="223" spans="1:4">
      <c r="A223" t="s">
        <v>515</v>
      </c>
      <c r="B223">
        <v>125855</v>
      </c>
      <c r="C223">
        <v>957</v>
      </c>
      <c r="D223">
        <v>126812</v>
      </c>
    </row>
    <row r="224" spans="1:4">
      <c r="A224" t="s">
        <v>279</v>
      </c>
      <c r="B224">
        <v>8022</v>
      </c>
      <c r="C224">
        <v>0</v>
      </c>
      <c r="D224">
        <v>8022</v>
      </c>
    </row>
    <row r="225" spans="1:4">
      <c r="A225" t="s">
        <v>423</v>
      </c>
      <c r="B225">
        <v>90313</v>
      </c>
      <c r="C225">
        <v>0</v>
      </c>
      <c r="D225">
        <v>90313</v>
      </c>
    </row>
    <row r="226" spans="1:4">
      <c r="A226" t="s">
        <v>381</v>
      </c>
      <c r="B226">
        <v>10677</v>
      </c>
      <c r="C226">
        <v>1033</v>
      </c>
      <c r="D226">
        <v>11710</v>
      </c>
    </row>
    <row r="227" spans="1:4">
      <c r="A227" t="s">
        <v>83</v>
      </c>
      <c r="B227">
        <v>208866</v>
      </c>
      <c r="C227">
        <v>5126</v>
      </c>
      <c r="D227">
        <v>213992</v>
      </c>
    </row>
    <row r="228" spans="1:4">
      <c r="A228" t="s">
        <v>607</v>
      </c>
      <c r="B228">
        <v>96889</v>
      </c>
      <c r="C228">
        <v>1358</v>
      </c>
      <c r="D228">
        <v>98247</v>
      </c>
    </row>
    <row r="229" spans="1:4">
      <c r="A229" t="s">
        <v>581</v>
      </c>
      <c r="B229">
        <v>162043</v>
      </c>
      <c r="C229">
        <v>1779</v>
      </c>
      <c r="D229">
        <v>163822</v>
      </c>
    </row>
    <row r="230" spans="1:4">
      <c r="A230" t="s">
        <v>103</v>
      </c>
      <c r="B230">
        <v>441390</v>
      </c>
      <c r="C230">
        <v>13269</v>
      </c>
      <c r="D230">
        <v>454659</v>
      </c>
    </row>
    <row r="231" spans="1:4">
      <c r="A231" t="s">
        <v>275</v>
      </c>
      <c r="B231">
        <v>63004</v>
      </c>
      <c r="C231">
        <v>3675</v>
      </c>
      <c r="D231">
        <v>66679</v>
      </c>
    </row>
    <row r="232" spans="1:4">
      <c r="A232" t="s">
        <v>541</v>
      </c>
      <c r="B232">
        <v>19986</v>
      </c>
      <c r="C232">
        <v>584</v>
      </c>
      <c r="D232">
        <v>20570</v>
      </c>
    </row>
    <row r="233" spans="1:4">
      <c r="A233" t="s">
        <v>169</v>
      </c>
      <c r="B233">
        <v>9294</v>
      </c>
      <c r="C233">
        <v>553</v>
      </c>
      <c r="D233">
        <v>9847</v>
      </c>
    </row>
    <row r="234" spans="1:4">
      <c r="A234" t="s">
        <v>99</v>
      </c>
      <c r="B234">
        <v>31495</v>
      </c>
      <c r="C234">
        <v>1588</v>
      </c>
      <c r="D234">
        <v>33083</v>
      </c>
    </row>
    <row r="235" spans="1:4">
      <c r="A235" t="s">
        <v>293</v>
      </c>
      <c r="B235">
        <v>136946</v>
      </c>
      <c r="C235">
        <v>8304</v>
      </c>
      <c r="D235">
        <v>145250</v>
      </c>
    </row>
    <row r="236" spans="1:4">
      <c r="A236" t="s">
        <v>357</v>
      </c>
      <c r="B236">
        <v>52334</v>
      </c>
      <c r="C236">
        <v>729</v>
      </c>
      <c r="D236">
        <v>53063</v>
      </c>
    </row>
    <row r="237" spans="1:4">
      <c r="A237" t="s">
        <v>243</v>
      </c>
      <c r="B237">
        <v>226441</v>
      </c>
      <c r="C237">
        <v>6330</v>
      </c>
      <c r="D237">
        <v>232771</v>
      </c>
    </row>
    <row r="238" spans="1:4">
      <c r="A238" t="s">
        <v>641</v>
      </c>
      <c r="B238">
        <v>1180056</v>
      </c>
      <c r="C238">
        <v>27767</v>
      </c>
      <c r="D238">
        <v>1207823</v>
      </c>
    </row>
    <row r="239" spans="1:4">
      <c r="A239" t="s">
        <v>355</v>
      </c>
      <c r="B239">
        <v>3227381</v>
      </c>
      <c r="C239">
        <v>91191</v>
      </c>
      <c r="D239">
        <v>3318572</v>
      </c>
    </row>
    <row r="240" spans="1:4">
      <c r="A240" t="s">
        <v>575</v>
      </c>
      <c r="B240">
        <v>1331548</v>
      </c>
      <c r="C240">
        <v>44153</v>
      </c>
      <c r="D240">
        <v>1375701</v>
      </c>
    </row>
    <row r="241" spans="1:4">
      <c r="A241" t="s">
        <v>375</v>
      </c>
      <c r="B241">
        <v>2120041</v>
      </c>
      <c r="C241">
        <v>69857</v>
      </c>
      <c r="D241">
        <v>2189898</v>
      </c>
    </row>
    <row r="242" spans="1:4">
      <c r="A242" t="s">
        <v>441</v>
      </c>
      <c r="B242">
        <v>204915</v>
      </c>
      <c r="C242">
        <v>3220</v>
      </c>
      <c r="D242">
        <v>208135</v>
      </c>
    </row>
    <row r="243" spans="1:4">
      <c r="A243" t="s">
        <v>203</v>
      </c>
      <c r="B243">
        <v>102083</v>
      </c>
      <c r="C243">
        <v>3369</v>
      </c>
      <c r="D243">
        <v>105452</v>
      </c>
    </row>
    <row r="244" spans="1:4">
      <c r="A244" t="s">
        <v>465</v>
      </c>
      <c r="B244">
        <v>530274</v>
      </c>
      <c r="C244">
        <v>17448</v>
      </c>
      <c r="D244">
        <v>547722</v>
      </c>
    </row>
    <row r="245" spans="1:4">
      <c r="A245" t="s">
        <v>557</v>
      </c>
      <c r="B245">
        <v>306387</v>
      </c>
      <c r="C245">
        <v>10867</v>
      </c>
      <c r="D245">
        <v>317254</v>
      </c>
    </row>
    <row r="246" spans="1:4">
      <c r="A246" t="s">
        <v>701</v>
      </c>
      <c r="B246">
        <v>42597</v>
      </c>
      <c r="C246">
        <v>1034</v>
      </c>
      <c r="D246">
        <v>43631</v>
      </c>
    </row>
    <row r="247" spans="1:4">
      <c r="A247" t="s">
        <v>702</v>
      </c>
      <c r="B247">
        <v>110651</v>
      </c>
      <c r="C247">
        <v>1093</v>
      </c>
      <c r="D247">
        <v>111744</v>
      </c>
    </row>
    <row r="248" spans="1:4">
      <c r="A248" t="s">
        <v>595</v>
      </c>
      <c r="B248">
        <v>1288137</v>
      </c>
      <c r="C248">
        <v>29850</v>
      </c>
      <c r="D248">
        <v>1317987</v>
      </c>
    </row>
    <row r="249" spans="1:4">
      <c r="A249" t="s">
        <v>95</v>
      </c>
      <c r="B249">
        <v>395516</v>
      </c>
      <c r="C249">
        <v>8651</v>
      </c>
      <c r="D249">
        <v>404167</v>
      </c>
    </row>
    <row r="250" spans="1:4">
      <c r="A250" t="s">
        <v>567</v>
      </c>
      <c r="B250">
        <v>51112</v>
      </c>
      <c r="C250">
        <v>1177</v>
      </c>
      <c r="D250">
        <v>52289</v>
      </c>
    </row>
    <row r="251" spans="1:4">
      <c r="A251" t="s">
        <v>101</v>
      </c>
      <c r="B251">
        <v>172852</v>
      </c>
      <c r="C251">
        <v>2125</v>
      </c>
      <c r="D251">
        <v>174977</v>
      </c>
    </row>
    <row r="252" spans="1:4">
      <c r="A252" t="s">
        <v>593</v>
      </c>
      <c r="B252">
        <v>52890</v>
      </c>
      <c r="C252">
        <v>635</v>
      </c>
      <c r="D252">
        <v>53525</v>
      </c>
    </row>
    <row r="253" spans="1:4">
      <c r="A253" t="s">
        <v>421</v>
      </c>
      <c r="B253">
        <v>53071</v>
      </c>
      <c r="C253">
        <v>1679</v>
      </c>
      <c r="D253">
        <v>54750</v>
      </c>
    </row>
    <row r="254" spans="1:4">
      <c r="A254" t="s">
        <v>32</v>
      </c>
      <c r="B254">
        <v>2542497</v>
      </c>
      <c r="C254">
        <v>66717</v>
      </c>
      <c r="D254">
        <v>2609214</v>
      </c>
    </row>
    <row r="255" spans="1:4">
      <c r="A255" t="s">
        <v>173</v>
      </c>
      <c r="B255">
        <v>1067368</v>
      </c>
      <c r="C255">
        <v>32870</v>
      </c>
      <c r="D255">
        <v>1100238</v>
      </c>
    </row>
    <row r="256" spans="1:4">
      <c r="A256" t="s">
        <v>41</v>
      </c>
      <c r="B256">
        <v>414729</v>
      </c>
      <c r="C256">
        <v>9000</v>
      </c>
      <c r="D256">
        <v>423729</v>
      </c>
    </row>
    <row r="257" spans="1:4">
      <c r="A257" t="s">
        <v>283</v>
      </c>
      <c r="B257">
        <v>878328</v>
      </c>
      <c r="C257">
        <v>21010</v>
      </c>
      <c r="D257">
        <v>899338</v>
      </c>
    </row>
    <row r="258" spans="1:4">
      <c r="A258" t="s">
        <v>305</v>
      </c>
      <c r="B258">
        <v>353762</v>
      </c>
      <c r="C258">
        <v>10733</v>
      </c>
      <c r="D258">
        <v>364495</v>
      </c>
    </row>
    <row r="259" spans="1:4">
      <c r="A259" t="s">
        <v>343</v>
      </c>
      <c r="B259">
        <v>421484</v>
      </c>
      <c r="C259">
        <v>12884</v>
      </c>
      <c r="D259">
        <v>434368</v>
      </c>
    </row>
    <row r="260" spans="1:4">
      <c r="A260" t="s">
        <v>323</v>
      </c>
      <c r="B260">
        <v>387979</v>
      </c>
      <c r="C260">
        <v>14096</v>
      </c>
      <c r="D260">
        <v>402075</v>
      </c>
    </row>
    <row r="261" spans="1:4">
      <c r="A261" t="s">
        <v>615</v>
      </c>
      <c r="B261">
        <v>15868</v>
      </c>
      <c r="C261">
        <v>0</v>
      </c>
      <c r="D261">
        <v>15868</v>
      </c>
    </row>
    <row r="262" spans="1:4">
      <c r="A262" t="s">
        <v>255</v>
      </c>
      <c r="B262">
        <v>18524</v>
      </c>
      <c r="C262">
        <v>1052</v>
      </c>
      <c r="D262">
        <v>19576</v>
      </c>
    </row>
    <row r="263" spans="1:4">
      <c r="A263" t="s">
        <v>267</v>
      </c>
      <c r="B263">
        <v>5327</v>
      </c>
      <c r="C263">
        <v>0</v>
      </c>
      <c r="D263">
        <v>5327</v>
      </c>
    </row>
    <row r="264" spans="1:4">
      <c r="A264" t="s">
        <v>555</v>
      </c>
      <c r="B264">
        <v>40881</v>
      </c>
      <c r="C264">
        <v>1162</v>
      </c>
      <c r="D264">
        <v>42043</v>
      </c>
    </row>
    <row r="265" spans="1:4">
      <c r="A265" t="s">
        <v>427</v>
      </c>
      <c r="B265">
        <v>514834</v>
      </c>
      <c r="C265">
        <v>9975</v>
      </c>
      <c r="D265">
        <v>524809</v>
      </c>
    </row>
    <row r="266" spans="1:4">
      <c r="A266" t="s">
        <v>93</v>
      </c>
      <c r="B266">
        <v>114581</v>
      </c>
      <c r="C266">
        <v>4352</v>
      </c>
      <c r="D266">
        <v>118933</v>
      </c>
    </row>
    <row r="267" spans="1:4">
      <c r="A267" t="s">
        <v>399</v>
      </c>
      <c r="B267">
        <v>46033</v>
      </c>
      <c r="C267">
        <v>2114</v>
      </c>
      <c r="D267">
        <v>48147</v>
      </c>
    </row>
    <row r="268" spans="1:4">
      <c r="A268" t="s">
        <v>183</v>
      </c>
      <c r="B268">
        <v>33679</v>
      </c>
      <c r="C268">
        <v>1584</v>
      </c>
      <c r="D268">
        <v>35263</v>
      </c>
    </row>
    <row r="269" spans="1:4">
      <c r="A269" t="s">
        <v>529</v>
      </c>
      <c r="B269">
        <v>8227</v>
      </c>
      <c r="C269">
        <v>540</v>
      </c>
      <c r="D269">
        <v>8767</v>
      </c>
    </row>
    <row r="270" spans="1:4">
      <c r="A270" t="s">
        <v>97</v>
      </c>
      <c r="B270">
        <v>38742</v>
      </c>
      <c r="C270">
        <v>2117</v>
      </c>
      <c r="D270">
        <v>40859</v>
      </c>
    </row>
    <row r="271" spans="1:4">
      <c r="A271" t="s">
        <v>153</v>
      </c>
      <c r="B271">
        <v>19969</v>
      </c>
      <c r="C271">
        <v>594</v>
      </c>
      <c r="D271">
        <v>20563</v>
      </c>
    </row>
    <row r="272" spans="1:4">
      <c r="A272" t="s">
        <v>469</v>
      </c>
      <c r="B272">
        <v>44397</v>
      </c>
      <c r="C272">
        <v>1625</v>
      </c>
      <c r="D272">
        <v>46022</v>
      </c>
    </row>
    <row r="273" spans="1:4">
      <c r="A273" t="s">
        <v>473</v>
      </c>
      <c r="B273">
        <v>32034</v>
      </c>
      <c r="C273">
        <v>2582</v>
      </c>
      <c r="D273">
        <v>34616</v>
      </c>
    </row>
    <row r="274" spans="1:4">
      <c r="A274" t="s">
        <v>363</v>
      </c>
      <c r="B274">
        <v>32097</v>
      </c>
      <c r="C274">
        <v>1615</v>
      </c>
      <c r="D274">
        <v>33712</v>
      </c>
    </row>
    <row r="275" spans="1:4">
      <c r="A275" t="s">
        <v>577</v>
      </c>
      <c r="B275">
        <v>146887</v>
      </c>
      <c r="C275">
        <v>12831</v>
      </c>
      <c r="D275">
        <v>159718</v>
      </c>
    </row>
    <row r="276" spans="1:4">
      <c r="A276" t="s">
        <v>331</v>
      </c>
      <c r="B276">
        <v>291729</v>
      </c>
      <c r="C276">
        <v>10416</v>
      </c>
      <c r="D276">
        <v>302145</v>
      </c>
    </row>
    <row r="277" spans="1:4">
      <c r="A277" t="s">
        <v>639</v>
      </c>
      <c r="B277">
        <v>3615314</v>
      </c>
      <c r="C277">
        <v>118094</v>
      </c>
      <c r="D277">
        <v>3733408</v>
      </c>
    </row>
    <row r="278" spans="1:4">
      <c r="A278" t="s">
        <v>139</v>
      </c>
      <c r="B278">
        <v>735528</v>
      </c>
      <c r="C278">
        <v>16390</v>
      </c>
      <c r="D278">
        <v>751918</v>
      </c>
    </row>
    <row r="279" spans="1:4">
      <c r="A279" t="s">
        <v>483</v>
      </c>
      <c r="B279">
        <v>851710</v>
      </c>
      <c r="C279">
        <v>17350</v>
      </c>
      <c r="D279">
        <v>869060</v>
      </c>
    </row>
    <row r="280" spans="1:4">
      <c r="A280" t="s">
        <v>285</v>
      </c>
      <c r="B280">
        <v>188275</v>
      </c>
      <c r="C280">
        <v>7112</v>
      </c>
      <c r="D280">
        <v>195387</v>
      </c>
    </row>
    <row r="281" spans="1:4">
      <c r="A281" t="s">
        <v>191</v>
      </c>
      <c r="B281">
        <v>794576</v>
      </c>
      <c r="C281">
        <v>29795</v>
      </c>
      <c r="D281">
        <v>824371</v>
      </c>
    </row>
    <row r="282" spans="1:4">
      <c r="A282" t="s">
        <v>545</v>
      </c>
      <c r="B282">
        <v>1413505</v>
      </c>
      <c r="C282">
        <v>39498</v>
      </c>
      <c r="D282">
        <v>1453003</v>
      </c>
    </row>
    <row r="283" spans="1:4">
      <c r="A283" t="s">
        <v>565</v>
      </c>
      <c r="B283">
        <v>862834</v>
      </c>
      <c r="C283">
        <v>24108</v>
      </c>
      <c r="D283">
        <v>886942</v>
      </c>
    </row>
    <row r="284" spans="1:4">
      <c r="A284" t="s">
        <v>207</v>
      </c>
      <c r="B284">
        <v>263065</v>
      </c>
      <c r="C284">
        <v>13759</v>
      </c>
      <c r="D284">
        <v>276824</v>
      </c>
    </row>
    <row r="285" spans="1:4">
      <c r="A285" t="s">
        <v>193</v>
      </c>
      <c r="B285">
        <v>319625</v>
      </c>
      <c r="C285">
        <v>11599</v>
      </c>
      <c r="D285">
        <v>331224</v>
      </c>
    </row>
    <row r="286" spans="1:4">
      <c r="A286" t="s">
        <v>643</v>
      </c>
      <c r="B286">
        <v>272216</v>
      </c>
      <c r="C286">
        <v>7042</v>
      </c>
      <c r="D286">
        <v>279258</v>
      </c>
    </row>
    <row r="287" spans="1:4">
      <c r="A287" t="s">
        <v>597</v>
      </c>
      <c r="B287">
        <v>760810</v>
      </c>
      <c r="C287">
        <v>37829</v>
      </c>
      <c r="D287">
        <v>798639</v>
      </c>
    </row>
    <row r="288" spans="1:4">
      <c r="A288" t="s">
        <v>611</v>
      </c>
      <c r="B288">
        <v>1185791</v>
      </c>
      <c r="C288">
        <v>34063</v>
      </c>
      <c r="D288">
        <v>1219854</v>
      </c>
    </row>
    <row r="289" spans="1:4">
      <c r="A289" t="s">
        <v>321</v>
      </c>
      <c r="B289">
        <v>245282</v>
      </c>
      <c r="C289">
        <v>10673</v>
      </c>
      <c r="D289">
        <v>255955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3F322D9-FF95-4831-A4CD-9E5627D6F9E5}">
  <ds:schemaRefs>
    <ds:schemaRef ds:uri="http://schemas.microsoft.com/sharepoint/v3/contenttype/forms"/>
  </ds:schemaRefs>
</ds:datastoreItem>
</file>

<file path=customXml/itemProps2.xml><?xml version="1.0" encoding="utf-8"?>
<ds:datastoreItem xmlns:ds="http://schemas.openxmlformats.org/officeDocument/2006/customXml" ds:itemID="{36619EE4-8BFD-4003-A376-DF73261179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40D9D9B-BC65-46D0-A93D-802BFD91A36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Copyright</vt:lpstr>
      <vt:lpstr>LEA List</vt:lpstr>
      <vt:lpstr>Instructions</vt:lpstr>
      <vt:lpstr>2025–26 Worksheet A</vt:lpstr>
      <vt:lpstr>2025–26 Budget Reconciliation</vt:lpstr>
      <vt:lpstr>F-195 ExpendPivot</vt:lpstr>
      <vt:lpstr>F-195 All Expend Data</vt:lpstr>
      <vt:lpstr>Indirects</vt:lpstr>
      <vt:lpstr>Previous Year Allocations</vt:lpstr>
      <vt:lpstr>F-196 Expenditures</vt:lpstr>
      <vt:lpstr>F-196 Revenues</vt:lpstr>
      <vt:lpstr>Previous Year Supplementals</vt:lpstr>
      <vt:lpstr>Previous Year Carryover</vt:lpstr>
      <vt:lpstr>Previous Year Safety Net</vt:lpstr>
      <vt:lpstr>F-195 Expenditures</vt:lpstr>
      <vt:lpstr>F-195 Revenues</vt:lpstr>
      <vt:lpstr>Current Year Supplementals</vt:lpstr>
      <vt:lpstr>Current Year Allocations</vt:lpstr>
      <vt:lpstr>Current Year Carryover</vt:lpstr>
      <vt:lpstr>CCEIS</vt:lpstr>
      <vt:lpstr>'2025–26 Worksheet A'!Print_Area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Worksheet A</dc:title>
  <dc:subject>Potential Safety Net Capacity</dc:subject>
  <dc:creator>OSPI, Special Education</dc:creator>
  <cp:keywords>Safety Net, Worksheet A</cp:keywords>
  <dc:description/>
  <cp:lastModifiedBy>Amber O’Donnell</cp:lastModifiedBy>
  <cp:revision/>
  <cp:lastPrinted>2025-12-19T18:33:55Z</cp:lastPrinted>
  <dcterms:created xsi:type="dcterms:W3CDTF">1998-10-05T21:32:02Z</dcterms:created>
  <dcterms:modified xsi:type="dcterms:W3CDTF">2026-01-08T18:37:43Z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145f431-4c8c-42c6-a5a5-ba6d3bdea585_Enabled">
    <vt:lpwstr>true</vt:lpwstr>
  </property>
  <property fmtid="{D5CDD505-2E9C-101B-9397-08002B2CF9AE}" pid="3" name="MSIP_Label_9145f431-4c8c-42c6-a5a5-ba6d3bdea585_SetDate">
    <vt:lpwstr>2024-06-06T15:28:08Z</vt:lpwstr>
  </property>
  <property fmtid="{D5CDD505-2E9C-101B-9397-08002B2CF9AE}" pid="4" name="MSIP_Label_9145f431-4c8c-42c6-a5a5-ba6d3bdea585_Method">
    <vt:lpwstr>Standard</vt:lpwstr>
  </property>
  <property fmtid="{D5CDD505-2E9C-101B-9397-08002B2CF9AE}" pid="5" name="MSIP_Label_9145f431-4c8c-42c6-a5a5-ba6d3bdea585_Name">
    <vt:lpwstr>defa4170-0d19-0005-0004-bc88714345d2</vt:lpwstr>
  </property>
  <property fmtid="{D5CDD505-2E9C-101B-9397-08002B2CF9AE}" pid="6" name="MSIP_Label_9145f431-4c8c-42c6-a5a5-ba6d3bdea585_SiteId">
    <vt:lpwstr>b2fe5ccf-10a5-46fe-ae45-a0267412af7a</vt:lpwstr>
  </property>
  <property fmtid="{D5CDD505-2E9C-101B-9397-08002B2CF9AE}" pid="7" name="MSIP_Label_9145f431-4c8c-42c6-a5a5-ba6d3bdea585_ActionId">
    <vt:lpwstr>53f299c2-e6a7-4458-aa19-5fad120f5792</vt:lpwstr>
  </property>
  <property fmtid="{D5CDD505-2E9C-101B-9397-08002B2CF9AE}" pid="8" name="MSIP_Label_9145f431-4c8c-42c6-a5a5-ba6d3bdea585_ContentBits">
    <vt:lpwstr>0</vt:lpwstr>
  </property>
</Properties>
</file>