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waospi-my.sharepoint.com/personal/carrie_hert_k12_wa_us/Documents/Desktop/Mike S Files to Post/"/>
    </mc:Choice>
  </mc:AlternateContent>
  <xr:revisionPtr revIDLastSave="0" documentId="8_{7547E53A-E8C2-4CB6-9477-113AA404D2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-26 vs. 24-25 Fed CC Template" sheetId="10" r:id="rId1"/>
    <sheet name="CCDDD" sheetId="8" r:id="rId2"/>
    <sheet name="TEST" sheetId="15" r:id="rId3"/>
    <sheet name="Detail" sheetId="6" r:id="rId4"/>
    <sheet name="Items" sheetId="22" r:id="rId5"/>
    <sheet name="EXP" sheetId="23" r:id="rId6"/>
    <sheet name="REV" sheetId="24" r:id="rId7"/>
    <sheet name="Enroll" sheetId="25" r:id="rId8"/>
  </sheets>
  <definedNames>
    <definedName name="_xlnm.Print_Area" localSheetId="0">'25-26 vs. 24-25 Fed CC Template'!$A$1:$M$68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6" i="10" l="1"/>
  <c r="E6" i="15"/>
  <c r="H7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6" i="6"/>
  <c r="BL326" i="6"/>
  <c r="BK326" i="6"/>
  <c r="BJ326" i="6"/>
  <c r="BI326" i="6"/>
  <c r="BH326" i="6"/>
  <c r="BG326" i="6"/>
  <c r="BF326" i="6"/>
  <c r="BE326" i="6"/>
  <c r="BD326" i="6"/>
  <c r="BL325" i="6"/>
  <c r="BK325" i="6"/>
  <c r="BJ325" i="6"/>
  <c r="BI325" i="6"/>
  <c r="BH325" i="6"/>
  <c r="BG325" i="6"/>
  <c r="BF325" i="6"/>
  <c r="BE325" i="6"/>
  <c r="BD325" i="6"/>
  <c r="BL324" i="6"/>
  <c r="BK324" i="6"/>
  <c r="BJ324" i="6"/>
  <c r="BI324" i="6"/>
  <c r="BH324" i="6"/>
  <c r="BG324" i="6"/>
  <c r="BF324" i="6"/>
  <c r="BE324" i="6"/>
  <c r="BD324" i="6"/>
  <c r="BL323" i="6"/>
  <c r="BK323" i="6"/>
  <c r="BJ323" i="6"/>
  <c r="BI323" i="6"/>
  <c r="BH323" i="6"/>
  <c r="BG323" i="6"/>
  <c r="BF323" i="6"/>
  <c r="BE323" i="6"/>
  <c r="BD323" i="6"/>
  <c r="BL322" i="6"/>
  <c r="BK322" i="6"/>
  <c r="BJ322" i="6"/>
  <c r="BI322" i="6"/>
  <c r="BH322" i="6"/>
  <c r="BG322" i="6"/>
  <c r="BF322" i="6"/>
  <c r="BE322" i="6"/>
  <c r="BD322" i="6"/>
  <c r="BL321" i="6"/>
  <c r="BK321" i="6"/>
  <c r="BJ321" i="6"/>
  <c r="BI321" i="6"/>
  <c r="BH321" i="6"/>
  <c r="BG321" i="6"/>
  <c r="BF321" i="6"/>
  <c r="BE321" i="6"/>
  <c r="BD321" i="6"/>
  <c r="BL320" i="6"/>
  <c r="BK320" i="6"/>
  <c r="BJ320" i="6"/>
  <c r="BI320" i="6"/>
  <c r="BH320" i="6"/>
  <c r="BG320" i="6"/>
  <c r="BF320" i="6"/>
  <c r="BE320" i="6"/>
  <c r="BD320" i="6"/>
  <c r="BL319" i="6"/>
  <c r="BK319" i="6"/>
  <c r="BJ319" i="6"/>
  <c r="BI319" i="6"/>
  <c r="BH319" i="6"/>
  <c r="BG319" i="6"/>
  <c r="BF319" i="6"/>
  <c r="BE319" i="6"/>
  <c r="BD319" i="6"/>
  <c r="BL318" i="6"/>
  <c r="BK318" i="6"/>
  <c r="BJ318" i="6"/>
  <c r="BI318" i="6"/>
  <c r="BH318" i="6"/>
  <c r="BG318" i="6"/>
  <c r="BF318" i="6"/>
  <c r="BE318" i="6"/>
  <c r="BD318" i="6"/>
  <c r="BL317" i="6"/>
  <c r="BK317" i="6"/>
  <c r="BJ317" i="6"/>
  <c r="BI317" i="6"/>
  <c r="BH317" i="6"/>
  <c r="BG317" i="6"/>
  <c r="BF317" i="6"/>
  <c r="BE317" i="6"/>
  <c r="BD317" i="6"/>
  <c r="BL316" i="6"/>
  <c r="BK316" i="6"/>
  <c r="BJ316" i="6"/>
  <c r="BI316" i="6"/>
  <c r="BH316" i="6"/>
  <c r="BG316" i="6"/>
  <c r="BF316" i="6"/>
  <c r="BE316" i="6"/>
  <c r="BD316" i="6"/>
  <c r="BL315" i="6"/>
  <c r="BK315" i="6"/>
  <c r="BJ315" i="6"/>
  <c r="BI315" i="6"/>
  <c r="BH315" i="6"/>
  <c r="BG315" i="6"/>
  <c r="BF315" i="6"/>
  <c r="BE315" i="6"/>
  <c r="BD315" i="6"/>
  <c r="BL314" i="6"/>
  <c r="BK314" i="6"/>
  <c r="BJ314" i="6"/>
  <c r="BI314" i="6"/>
  <c r="BH314" i="6"/>
  <c r="BG314" i="6"/>
  <c r="BF314" i="6"/>
  <c r="BE314" i="6"/>
  <c r="BD314" i="6"/>
  <c r="BL313" i="6"/>
  <c r="BK313" i="6"/>
  <c r="BJ313" i="6"/>
  <c r="BI313" i="6"/>
  <c r="BH313" i="6"/>
  <c r="BG313" i="6"/>
  <c r="BF313" i="6"/>
  <c r="BE313" i="6"/>
  <c r="BD313" i="6"/>
  <c r="BL312" i="6"/>
  <c r="BK312" i="6"/>
  <c r="BJ312" i="6"/>
  <c r="BI312" i="6"/>
  <c r="BH312" i="6"/>
  <c r="BG312" i="6"/>
  <c r="BF312" i="6"/>
  <c r="BE312" i="6"/>
  <c r="BD312" i="6"/>
  <c r="BL311" i="6"/>
  <c r="BK311" i="6"/>
  <c r="BJ311" i="6"/>
  <c r="BI311" i="6"/>
  <c r="BH311" i="6"/>
  <c r="BG311" i="6"/>
  <c r="BF311" i="6"/>
  <c r="BE311" i="6"/>
  <c r="BD311" i="6"/>
  <c r="BL310" i="6"/>
  <c r="BK310" i="6"/>
  <c r="BJ310" i="6"/>
  <c r="BI310" i="6"/>
  <c r="BH310" i="6"/>
  <c r="BG310" i="6"/>
  <c r="BF310" i="6"/>
  <c r="BE310" i="6"/>
  <c r="BD310" i="6"/>
  <c r="BL309" i="6"/>
  <c r="BK309" i="6"/>
  <c r="BJ309" i="6"/>
  <c r="BI309" i="6"/>
  <c r="BH309" i="6"/>
  <c r="BG309" i="6"/>
  <c r="BF309" i="6"/>
  <c r="BE309" i="6"/>
  <c r="BD309" i="6"/>
  <c r="BL308" i="6"/>
  <c r="BK308" i="6"/>
  <c r="BJ308" i="6"/>
  <c r="BI308" i="6"/>
  <c r="BH308" i="6"/>
  <c r="BG308" i="6"/>
  <c r="BF308" i="6"/>
  <c r="BE308" i="6"/>
  <c r="BD308" i="6"/>
  <c r="BL307" i="6"/>
  <c r="BK307" i="6"/>
  <c r="BJ307" i="6"/>
  <c r="BI307" i="6"/>
  <c r="BH307" i="6"/>
  <c r="BG307" i="6"/>
  <c r="BF307" i="6"/>
  <c r="BE307" i="6"/>
  <c r="BD307" i="6"/>
  <c r="BL306" i="6"/>
  <c r="BK306" i="6"/>
  <c r="BJ306" i="6"/>
  <c r="BI306" i="6"/>
  <c r="BH306" i="6"/>
  <c r="BG306" i="6"/>
  <c r="BF306" i="6"/>
  <c r="BE306" i="6"/>
  <c r="BD306" i="6"/>
  <c r="BL305" i="6"/>
  <c r="BK305" i="6"/>
  <c r="BJ305" i="6"/>
  <c r="BI305" i="6"/>
  <c r="BH305" i="6"/>
  <c r="BG305" i="6"/>
  <c r="BF305" i="6"/>
  <c r="BE305" i="6"/>
  <c r="BD305" i="6"/>
  <c r="BL304" i="6"/>
  <c r="BK304" i="6"/>
  <c r="BJ304" i="6"/>
  <c r="BI304" i="6"/>
  <c r="BH304" i="6"/>
  <c r="BG304" i="6"/>
  <c r="BF304" i="6"/>
  <c r="BE304" i="6"/>
  <c r="BD304" i="6"/>
  <c r="BL303" i="6"/>
  <c r="BK303" i="6"/>
  <c r="BJ303" i="6"/>
  <c r="BI303" i="6"/>
  <c r="BH303" i="6"/>
  <c r="BG303" i="6"/>
  <c r="BF303" i="6"/>
  <c r="BE303" i="6"/>
  <c r="BD303" i="6"/>
  <c r="BL302" i="6"/>
  <c r="BK302" i="6"/>
  <c r="BJ302" i="6"/>
  <c r="BI302" i="6"/>
  <c r="BH302" i="6"/>
  <c r="BG302" i="6"/>
  <c r="BF302" i="6"/>
  <c r="BE302" i="6"/>
  <c r="BD302" i="6"/>
  <c r="BL301" i="6"/>
  <c r="BK301" i="6"/>
  <c r="BJ301" i="6"/>
  <c r="BI301" i="6"/>
  <c r="BH301" i="6"/>
  <c r="BG301" i="6"/>
  <c r="BF301" i="6"/>
  <c r="BE301" i="6"/>
  <c r="BD301" i="6"/>
  <c r="BL300" i="6"/>
  <c r="BK300" i="6"/>
  <c r="BJ300" i="6"/>
  <c r="BI300" i="6"/>
  <c r="BH300" i="6"/>
  <c r="BG300" i="6"/>
  <c r="BF300" i="6"/>
  <c r="BE300" i="6"/>
  <c r="BD300" i="6"/>
  <c r="BL299" i="6"/>
  <c r="BK299" i="6"/>
  <c r="BJ299" i="6"/>
  <c r="BI299" i="6"/>
  <c r="BH299" i="6"/>
  <c r="BG299" i="6"/>
  <c r="BF299" i="6"/>
  <c r="BE299" i="6"/>
  <c r="BD299" i="6"/>
  <c r="BL298" i="6"/>
  <c r="BK298" i="6"/>
  <c r="BJ298" i="6"/>
  <c r="BI298" i="6"/>
  <c r="BH298" i="6"/>
  <c r="BG298" i="6"/>
  <c r="BF298" i="6"/>
  <c r="BE298" i="6"/>
  <c r="BD298" i="6"/>
  <c r="BL297" i="6"/>
  <c r="BK297" i="6"/>
  <c r="BJ297" i="6"/>
  <c r="BI297" i="6"/>
  <c r="BH297" i="6"/>
  <c r="BG297" i="6"/>
  <c r="BF297" i="6"/>
  <c r="BE297" i="6"/>
  <c r="BD297" i="6"/>
  <c r="BL296" i="6"/>
  <c r="BK296" i="6"/>
  <c r="BJ296" i="6"/>
  <c r="BI296" i="6"/>
  <c r="BH296" i="6"/>
  <c r="BG296" i="6"/>
  <c r="BF296" i="6"/>
  <c r="BE296" i="6"/>
  <c r="BD296" i="6"/>
  <c r="BL295" i="6"/>
  <c r="BK295" i="6"/>
  <c r="BJ295" i="6"/>
  <c r="BI295" i="6"/>
  <c r="BH295" i="6"/>
  <c r="BG295" i="6"/>
  <c r="BF295" i="6"/>
  <c r="BE295" i="6"/>
  <c r="BD295" i="6"/>
  <c r="BL294" i="6"/>
  <c r="BK294" i="6"/>
  <c r="BJ294" i="6"/>
  <c r="BI294" i="6"/>
  <c r="BH294" i="6"/>
  <c r="BG294" i="6"/>
  <c r="BF294" i="6"/>
  <c r="BE294" i="6"/>
  <c r="BD294" i="6"/>
  <c r="BL293" i="6"/>
  <c r="BK293" i="6"/>
  <c r="BJ293" i="6"/>
  <c r="BI293" i="6"/>
  <c r="BH293" i="6"/>
  <c r="BG293" i="6"/>
  <c r="BF293" i="6"/>
  <c r="BE293" i="6"/>
  <c r="BD293" i="6"/>
  <c r="BL292" i="6"/>
  <c r="BK292" i="6"/>
  <c r="BJ292" i="6"/>
  <c r="BI292" i="6"/>
  <c r="BH292" i="6"/>
  <c r="BG292" i="6"/>
  <c r="BF292" i="6"/>
  <c r="BE292" i="6"/>
  <c r="BD292" i="6"/>
  <c r="BL291" i="6"/>
  <c r="BK291" i="6"/>
  <c r="BJ291" i="6"/>
  <c r="BI291" i="6"/>
  <c r="BH291" i="6"/>
  <c r="BG291" i="6"/>
  <c r="BF291" i="6"/>
  <c r="BE291" i="6"/>
  <c r="BD291" i="6"/>
  <c r="BL290" i="6"/>
  <c r="BK290" i="6"/>
  <c r="BJ290" i="6"/>
  <c r="BI290" i="6"/>
  <c r="BH290" i="6"/>
  <c r="BG290" i="6"/>
  <c r="BF290" i="6"/>
  <c r="BE290" i="6"/>
  <c r="BD290" i="6"/>
  <c r="BL289" i="6"/>
  <c r="BK289" i="6"/>
  <c r="BJ289" i="6"/>
  <c r="BI289" i="6"/>
  <c r="BH289" i="6"/>
  <c r="BG289" i="6"/>
  <c r="BF289" i="6"/>
  <c r="BE289" i="6"/>
  <c r="BD289" i="6"/>
  <c r="BL288" i="6"/>
  <c r="BK288" i="6"/>
  <c r="BJ288" i="6"/>
  <c r="BI288" i="6"/>
  <c r="BH288" i="6"/>
  <c r="BG288" i="6"/>
  <c r="BF288" i="6"/>
  <c r="BE288" i="6"/>
  <c r="BD288" i="6"/>
  <c r="BL287" i="6"/>
  <c r="BK287" i="6"/>
  <c r="BJ287" i="6"/>
  <c r="BI287" i="6"/>
  <c r="BH287" i="6"/>
  <c r="BG287" i="6"/>
  <c r="BF287" i="6"/>
  <c r="BE287" i="6"/>
  <c r="BD287" i="6"/>
  <c r="BL286" i="6"/>
  <c r="BK286" i="6"/>
  <c r="BJ286" i="6"/>
  <c r="BI286" i="6"/>
  <c r="BH286" i="6"/>
  <c r="BG286" i="6"/>
  <c r="BF286" i="6"/>
  <c r="BE286" i="6"/>
  <c r="BD286" i="6"/>
  <c r="BL285" i="6"/>
  <c r="BK285" i="6"/>
  <c r="BJ285" i="6"/>
  <c r="BI285" i="6"/>
  <c r="BH285" i="6"/>
  <c r="BG285" i="6"/>
  <c r="BF285" i="6"/>
  <c r="BE285" i="6"/>
  <c r="BD285" i="6"/>
  <c r="BL284" i="6"/>
  <c r="BK284" i="6"/>
  <c r="BJ284" i="6"/>
  <c r="BI284" i="6"/>
  <c r="BH284" i="6"/>
  <c r="BG284" i="6"/>
  <c r="BF284" i="6"/>
  <c r="BE284" i="6"/>
  <c r="BD284" i="6"/>
  <c r="BL283" i="6"/>
  <c r="BK283" i="6"/>
  <c r="BJ283" i="6"/>
  <c r="BI283" i="6"/>
  <c r="BH283" i="6"/>
  <c r="BG283" i="6"/>
  <c r="BF283" i="6"/>
  <c r="BE283" i="6"/>
  <c r="BD283" i="6"/>
  <c r="BL282" i="6"/>
  <c r="BK282" i="6"/>
  <c r="BJ282" i="6"/>
  <c r="BI282" i="6"/>
  <c r="BH282" i="6"/>
  <c r="BG282" i="6"/>
  <c r="BF282" i="6"/>
  <c r="BE282" i="6"/>
  <c r="BD282" i="6"/>
  <c r="BL281" i="6"/>
  <c r="BK281" i="6"/>
  <c r="BJ281" i="6"/>
  <c r="BI281" i="6"/>
  <c r="BH281" i="6"/>
  <c r="BG281" i="6"/>
  <c r="BF281" i="6"/>
  <c r="BE281" i="6"/>
  <c r="BD281" i="6"/>
  <c r="BL280" i="6"/>
  <c r="BK280" i="6"/>
  <c r="BJ280" i="6"/>
  <c r="BI280" i="6"/>
  <c r="BH280" i="6"/>
  <c r="BG280" i="6"/>
  <c r="BF280" i="6"/>
  <c r="BE280" i="6"/>
  <c r="BD280" i="6"/>
  <c r="BL279" i="6"/>
  <c r="BK279" i="6"/>
  <c r="BJ279" i="6"/>
  <c r="BI279" i="6"/>
  <c r="BH279" i="6"/>
  <c r="BG279" i="6"/>
  <c r="BF279" i="6"/>
  <c r="BE279" i="6"/>
  <c r="BD279" i="6"/>
  <c r="BL278" i="6"/>
  <c r="BK278" i="6"/>
  <c r="BJ278" i="6"/>
  <c r="BI278" i="6"/>
  <c r="BH278" i="6"/>
  <c r="BG278" i="6"/>
  <c r="BF278" i="6"/>
  <c r="BE278" i="6"/>
  <c r="BD278" i="6"/>
  <c r="BL277" i="6"/>
  <c r="BK277" i="6"/>
  <c r="BJ277" i="6"/>
  <c r="BI277" i="6"/>
  <c r="BH277" i="6"/>
  <c r="BG277" i="6"/>
  <c r="BF277" i="6"/>
  <c r="BE277" i="6"/>
  <c r="BD277" i="6"/>
  <c r="BL276" i="6"/>
  <c r="BK276" i="6"/>
  <c r="BJ276" i="6"/>
  <c r="BI276" i="6"/>
  <c r="BH276" i="6"/>
  <c r="BG276" i="6"/>
  <c r="BF276" i="6"/>
  <c r="BE276" i="6"/>
  <c r="BD276" i="6"/>
  <c r="BL275" i="6"/>
  <c r="BK275" i="6"/>
  <c r="BJ275" i="6"/>
  <c r="BI275" i="6"/>
  <c r="BH275" i="6"/>
  <c r="BG275" i="6"/>
  <c r="BF275" i="6"/>
  <c r="BE275" i="6"/>
  <c r="BD275" i="6"/>
  <c r="BL274" i="6"/>
  <c r="BK274" i="6"/>
  <c r="BJ274" i="6"/>
  <c r="BI274" i="6"/>
  <c r="BH274" i="6"/>
  <c r="BG274" i="6"/>
  <c r="BF274" i="6"/>
  <c r="BE274" i="6"/>
  <c r="BD274" i="6"/>
  <c r="BL273" i="6"/>
  <c r="BK273" i="6"/>
  <c r="BJ273" i="6"/>
  <c r="BI273" i="6"/>
  <c r="BH273" i="6"/>
  <c r="BG273" i="6"/>
  <c r="BF273" i="6"/>
  <c r="BE273" i="6"/>
  <c r="BD273" i="6"/>
  <c r="BL272" i="6"/>
  <c r="BK272" i="6"/>
  <c r="BJ272" i="6"/>
  <c r="BI272" i="6"/>
  <c r="BH272" i="6"/>
  <c r="BG272" i="6"/>
  <c r="BF272" i="6"/>
  <c r="BE272" i="6"/>
  <c r="BD272" i="6"/>
  <c r="BL271" i="6"/>
  <c r="BK271" i="6"/>
  <c r="BJ271" i="6"/>
  <c r="BI271" i="6"/>
  <c r="BH271" i="6"/>
  <c r="BG271" i="6"/>
  <c r="BF271" i="6"/>
  <c r="BE271" i="6"/>
  <c r="BD271" i="6"/>
  <c r="BL270" i="6"/>
  <c r="BK270" i="6"/>
  <c r="BJ270" i="6"/>
  <c r="BI270" i="6"/>
  <c r="BH270" i="6"/>
  <c r="BG270" i="6"/>
  <c r="BF270" i="6"/>
  <c r="BE270" i="6"/>
  <c r="BD270" i="6"/>
  <c r="BL269" i="6"/>
  <c r="BK269" i="6"/>
  <c r="BJ269" i="6"/>
  <c r="BI269" i="6"/>
  <c r="BH269" i="6"/>
  <c r="BG269" i="6"/>
  <c r="BF269" i="6"/>
  <c r="BE269" i="6"/>
  <c r="BD269" i="6"/>
  <c r="BL268" i="6"/>
  <c r="BK268" i="6"/>
  <c r="BJ268" i="6"/>
  <c r="BI268" i="6"/>
  <c r="BH268" i="6"/>
  <c r="BG268" i="6"/>
  <c r="BF268" i="6"/>
  <c r="BE268" i="6"/>
  <c r="BD268" i="6"/>
  <c r="BL267" i="6"/>
  <c r="BK267" i="6"/>
  <c r="BJ267" i="6"/>
  <c r="BI267" i="6"/>
  <c r="BH267" i="6"/>
  <c r="BG267" i="6"/>
  <c r="BF267" i="6"/>
  <c r="BE267" i="6"/>
  <c r="BD267" i="6"/>
  <c r="BL266" i="6"/>
  <c r="BK266" i="6"/>
  <c r="BJ266" i="6"/>
  <c r="BI266" i="6"/>
  <c r="BH266" i="6"/>
  <c r="BG266" i="6"/>
  <c r="BF266" i="6"/>
  <c r="BE266" i="6"/>
  <c r="BD266" i="6"/>
  <c r="BL265" i="6"/>
  <c r="BK265" i="6"/>
  <c r="BJ265" i="6"/>
  <c r="BI265" i="6"/>
  <c r="BH265" i="6"/>
  <c r="BG265" i="6"/>
  <c r="BF265" i="6"/>
  <c r="BE265" i="6"/>
  <c r="BD265" i="6"/>
  <c r="BL264" i="6"/>
  <c r="BK264" i="6"/>
  <c r="BJ264" i="6"/>
  <c r="BI264" i="6"/>
  <c r="BH264" i="6"/>
  <c r="BG264" i="6"/>
  <c r="BF264" i="6"/>
  <c r="BE264" i="6"/>
  <c r="BD264" i="6"/>
  <c r="BL263" i="6"/>
  <c r="BK263" i="6"/>
  <c r="BJ263" i="6"/>
  <c r="BI263" i="6"/>
  <c r="BH263" i="6"/>
  <c r="BG263" i="6"/>
  <c r="BF263" i="6"/>
  <c r="BE263" i="6"/>
  <c r="BD263" i="6"/>
  <c r="BL262" i="6"/>
  <c r="BK262" i="6"/>
  <c r="BJ262" i="6"/>
  <c r="BI262" i="6"/>
  <c r="BH262" i="6"/>
  <c r="BG262" i="6"/>
  <c r="BF262" i="6"/>
  <c r="BE262" i="6"/>
  <c r="BD262" i="6"/>
  <c r="BL261" i="6"/>
  <c r="BK261" i="6"/>
  <c r="BJ261" i="6"/>
  <c r="BI261" i="6"/>
  <c r="BH261" i="6"/>
  <c r="BG261" i="6"/>
  <c r="BF261" i="6"/>
  <c r="BE261" i="6"/>
  <c r="BD261" i="6"/>
  <c r="BL260" i="6"/>
  <c r="BK260" i="6"/>
  <c r="BJ260" i="6"/>
  <c r="BI260" i="6"/>
  <c r="BH260" i="6"/>
  <c r="BG260" i="6"/>
  <c r="BF260" i="6"/>
  <c r="BE260" i="6"/>
  <c r="BD260" i="6"/>
  <c r="BL259" i="6"/>
  <c r="BK259" i="6"/>
  <c r="BJ259" i="6"/>
  <c r="BI259" i="6"/>
  <c r="BH259" i="6"/>
  <c r="BG259" i="6"/>
  <c r="BF259" i="6"/>
  <c r="BE259" i="6"/>
  <c r="BD259" i="6"/>
  <c r="BL258" i="6"/>
  <c r="BK258" i="6"/>
  <c r="BJ258" i="6"/>
  <c r="BI258" i="6"/>
  <c r="BH258" i="6"/>
  <c r="BG258" i="6"/>
  <c r="BF258" i="6"/>
  <c r="BE258" i="6"/>
  <c r="BD258" i="6"/>
  <c r="BL257" i="6"/>
  <c r="BK257" i="6"/>
  <c r="BJ257" i="6"/>
  <c r="BI257" i="6"/>
  <c r="BH257" i="6"/>
  <c r="BG257" i="6"/>
  <c r="BF257" i="6"/>
  <c r="BE257" i="6"/>
  <c r="BD257" i="6"/>
  <c r="BL256" i="6"/>
  <c r="BK256" i="6"/>
  <c r="BJ256" i="6"/>
  <c r="BI256" i="6"/>
  <c r="BH256" i="6"/>
  <c r="BG256" i="6"/>
  <c r="BF256" i="6"/>
  <c r="BE256" i="6"/>
  <c r="BD256" i="6"/>
  <c r="BL255" i="6"/>
  <c r="BK255" i="6"/>
  <c r="BJ255" i="6"/>
  <c r="BI255" i="6"/>
  <c r="BH255" i="6"/>
  <c r="BG255" i="6"/>
  <c r="BF255" i="6"/>
  <c r="BE255" i="6"/>
  <c r="BD255" i="6"/>
  <c r="BL254" i="6"/>
  <c r="BK254" i="6"/>
  <c r="BJ254" i="6"/>
  <c r="BI254" i="6"/>
  <c r="BH254" i="6"/>
  <c r="BG254" i="6"/>
  <c r="BF254" i="6"/>
  <c r="BE254" i="6"/>
  <c r="BD254" i="6"/>
  <c r="BL253" i="6"/>
  <c r="BK253" i="6"/>
  <c r="BJ253" i="6"/>
  <c r="BI253" i="6"/>
  <c r="BH253" i="6"/>
  <c r="BG253" i="6"/>
  <c r="BF253" i="6"/>
  <c r="BE253" i="6"/>
  <c r="BD253" i="6"/>
  <c r="BL252" i="6"/>
  <c r="BK252" i="6"/>
  <c r="BJ252" i="6"/>
  <c r="BI252" i="6"/>
  <c r="BH252" i="6"/>
  <c r="BG252" i="6"/>
  <c r="BF252" i="6"/>
  <c r="BE252" i="6"/>
  <c r="BD252" i="6"/>
  <c r="BL251" i="6"/>
  <c r="BK251" i="6"/>
  <c r="BJ251" i="6"/>
  <c r="BI251" i="6"/>
  <c r="BH251" i="6"/>
  <c r="BG251" i="6"/>
  <c r="BF251" i="6"/>
  <c r="BE251" i="6"/>
  <c r="BD251" i="6"/>
  <c r="BL250" i="6"/>
  <c r="BK250" i="6"/>
  <c r="BJ250" i="6"/>
  <c r="BI250" i="6"/>
  <c r="BH250" i="6"/>
  <c r="BG250" i="6"/>
  <c r="BF250" i="6"/>
  <c r="BE250" i="6"/>
  <c r="BD250" i="6"/>
  <c r="BL249" i="6"/>
  <c r="BK249" i="6"/>
  <c r="BJ249" i="6"/>
  <c r="BI249" i="6"/>
  <c r="BH249" i="6"/>
  <c r="BG249" i="6"/>
  <c r="BF249" i="6"/>
  <c r="BE249" i="6"/>
  <c r="BD249" i="6"/>
  <c r="BL248" i="6"/>
  <c r="BK248" i="6"/>
  <c r="BJ248" i="6"/>
  <c r="BI248" i="6"/>
  <c r="BH248" i="6"/>
  <c r="BG248" i="6"/>
  <c r="BF248" i="6"/>
  <c r="BE248" i="6"/>
  <c r="BD248" i="6"/>
  <c r="BL247" i="6"/>
  <c r="BK247" i="6"/>
  <c r="BJ247" i="6"/>
  <c r="BI247" i="6"/>
  <c r="BH247" i="6"/>
  <c r="BG247" i="6"/>
  <c r="BF247" i="6"/>
  <c r="BE247" i="6"/>
  <c r="BD247" i="6"/>
  <c r="BL246" i="6"/>
  <c r="BK246" i="6"/>
  <c r="BJ246" i="6"/>
  <c r="BI246" i="6"/>
  <c r="BH246" i="6"/>
  <c r="BG246" i="6"/>
  <c r="BF246" i="6"/>
  <c r="BE246" i="6"/>
  <c r="BD246" i="6"/>
  <c r="BL245" i="6"/>
  <c r="BK245" i="6"/>
  <c r="BJ245" i="6"/>
  <c r="BI245" i="6"/>
  <c r="BH245" i="6"/>
  <c r="BG245" i="6"/>
  <c r="BF245" i="6"/>
  <c r="BE245" i="6"/>
  <c r="BD245" i="6"/>
  <c r="BL244" i="6"/>
  <c r="BK244" i="6"/>
  <c r="BJ244" i="6"/>
  <c r="BI244" i="6"/>
  <c r="BH244" i="6"/>
  <c r="BG244" i="6"/>
  <c r="BF244" i="6"/>
  <c r="BE244" i="6"/>
  <c r="BD244" i="6"/>
  <c r="BL243" i="6"/>
  <c r="BK243" i="6"/>
  <c r="BJ243" i="6"/>
  <c r="BI243" i="6"/>
  <c r="BH243" i="6"/>
  <c r="BG243" i="6"/>
  <c r="BF243" i="6"/>
  <c r="BE243" i="6"/>
  <c r="BD243" i="6"/>
  <c r="BL242" i="6"/>
  <c r="BK242" i="6"/>
  <c r="BJ242" i="6"/>
  <c r="BI242" i="6"/>
  <c r="BH242" i="6"/>
  <c r="BG242" i="6"/>
  <c r="BF242" i="6"/>
  <c r="BE242" i="6"/>
  <c r="BD242" i="6"/>
  <c r="BL241" i="6"/>
  <c r="BK241" i="6"/>
  <c r="BJ241" i="6"/>
  <c r="BI241" i="6"/>
  <c r="BH241" i="6"/>
  <c r="BG241" i="6"/>
  <c r="BF241" i="6"/>
  <c r="BE241" i="6"/>
  <c r="BD241" i="6"/>
  <c r="BL240" i="6"/>
  <c r="BK240" i="6"/>
  <c r="BJ240" i="6"/>
  <c r="BI240" i="6"/>
  <c r="BH240" i="6"/>
  <c r="BG240" i="6"/>
  <c r="BF240" i="6"/>
  <c r="BE240" i="6"/>
  <c r="BD240" i="6"/>
  <c r="BL239" i="6"/>
  <c r="BK239" i="6"/>
  <c r="BJ239" i="6"/>
  <c r="BI239" i="6"/>
  <c r="BH239" i="6"/>
  <c r="BG239" i="6"/>
  <c r="BF239" i="6"/>
  <c r="BE239" i="6"/>
  <c r="BD239" i="6"/>
  <c r="BL238" i="6"/>
  <c r="BK238" i="6"/>
  <c r="BJ238" i="6"/>
  <c r="BI238" i="6"/>
  <c r="BH238" i="6"/>
  <c r="BG238" i="6"/>
  <c r="BF238" i="6"/>
  <c r="BE238" i="6"/>
  <c r="BD238" i="6"/>
  <c r="BL237" i="6"/>
  <c r="BK237" i="6"/>
  <c r="BJ237" i="6"/>
  <c r="BI237" i="6"/>
  <c r="BH237" i="6"/>
  <c r="BG237" i="6"/>
  <c r="BF237" i="6"/>
  <c r="BE237" i="6"/>
  <c r="BD237" i="6"/>
  <c r="BL236" i="6"/>
  <c r="BK236" i="6"/>
  <c r="BJ236" i="6"/>
  <c r="BI236" i="6"/>
  <c r="BH236" i="6"/>
  <c r="BG236" i="6"/>
  <c r="BF236" i="6"/>
  <c r="BE236" i="6"/>
  <c r="BD236" i="6"/>
  <c r="BL235" i="6"/>
  <c r="BK235" i="6"/>
  <c r="BJ235" i="6"/>
  <c r="BI235" i="6"/>
  <c r="BH235" i="6"/>
  <c r="BG235" i="6"/>
  <c r="BF235" i="6"/>
  <c r="BE235" i="6"/>
  <c r="BD235" i="6"/>
  <c r="BL234" i="6"/>
  <c r="BK234" i="6"/>
  <c r="BJ234" i="6"/>
  <c r="BI234" i="6"/>
  <c r="BH234" i="6"/>
  <c r="BG234" i="6"/>
  <c r="BF234" i="6"/>
  <c r="BE234" i="6"/>
  <c r="BD234" i="6"/>
  <c r="BL233" i="6"/>
  <c r="BK233" i="6"/>
  <c r="BJ233" i="6"/>
  <c r="BI233" i="6"/>
  <c r="BH233" i="6"/>
  <c r="BG233" i="6"/>
  <c r="BF233" i="6"/>
  <c r="BE233" i="6"/>
  <c r="BD233" i="6"/>
  <c r="BL232" i="6"/>
  <c r="BK232" i="6"/>
  <c r="BJ232" i="6"/>
  <c r="BI232" i="6"/>
  <c r="BH232" i="6"/>
  <c r="BG232" i="6"/>
  <c r="BF232" i="6"/>
  <c r="BE232" i="6"/>
  <c r="BD232" i="6"/>
  <c r="BL231" i="6"/>
  <c r="BK231" i="6"/>
  <c r="BJ231" i="6"/>
  <c r="BI231" i="6"/>
  <c r="BH231" i="6"/>
  <c r="BG231" i="6"/>
  <c r="BF231" i="6"/>
  <c r="BE231" i="6"/>
  <c r="BD231" i="6"/>
  <c r="BL230" i="6"/>
  <c r="BK230" i="6"/>
  <c r="BJ230" i="6"/>
  <c r="BI230" i="6"/>
  <c r="BH230" i="6"/>
  <c r="BG230" i="6"/>
  <c r="BF230" i="6"/>
  <c r="BE230" i="6"/>
  <c r="BD230" i="6"/>
  <c r="BL229" i="6"/>
  <c r="BK229" i="6"/>
  <c r="BJ229" i="6"/>
  <c r="BI229" i="6"/>
  <c r="BH229" i="6"/>
  <c r="BG229" i="6"/>
  <c r="BF229" i="6"/>
  <c r="BE229" i="6"/>
  <c r="BD229" i="6"/>
  <c r="BL228" i="6"/>
  <c r="BK228" i="6"/>
  <c r="BJ228" i="6"/>
  <c r="BI228" i="6"/>
  <c r="BH228" i="6"/>
  <c r="BG228" i="6"/>
  <c r="BF228" i="6"/>
  <c r="BE228" i="6"/>
  <c r="BD228" i="6"/>
  <c r="BL227" i="6"/>
  <c r="BK227" i="6"/>
  <c r="BJ227" i="6"/>
  <c r="BI227" i="6"/>
  <c r="BH227" i="6"/>
  <c r="BG227" i="6"/>
  <c r="BF227" i="6"/>
  <c r="BE227" i="6"/>
  <c r="BD227" i="6"/>
  <c r="BL226" i="6"/>
  <c r="BK226" i="6"/>
  <c r="BJ226" i="6"/>
  <c r="BI226" i="6"/>
  <c r="BH226" i="6"/>
  <c r="BG226" i="6"/>
  <c r="BF226" i="6"/>
  <c r="BE226" i="6"/>
  <c r="BD226" i="6"/>
  <c r="BL225" i="6"/>
  <c r="BK225" i="6"/>
  <c r="BJ225" i="6"/>
  <c r="BI225" i="6"/>
  <c r="BH225" i="6"/>
  <c r="BG225" i="6"/>
  <c r="BF225" i="6"/>
  <c r="BE225" i="6"/>
  <c r="BD225" i="6"/>
  <c r="BL224" i="6"/>
  <c r="BK224" i="6"/>
  <c r="BJ224" i="6"/>
  <c r="BI224" i="6"/>
  <c r="BH224" i="6"/>
  <c r="BG224" i="6"/>
  <c r="BF224" i="6"/>
  <c r="BE224" i="6"/>
  <c r="BD224" i="6"/>
  <c r="BL223" i="6"/>
  <c r="BK223" i="6"/>
  <c r="BJ223" i="6"/>
  <c r="BI223" i="6"/>
  <c r="BH223" i="6"/>
  <c r="BG223" i="6"/>
  <c r="BF223" i="6"/>
  <c r="BE223" i="6"/>
  <c r="BD223" i="6"/>
  <c r="BL222" i="6"/>
  <c r="BK222" i="6"/>
  <c r="BJ222" i="6"/>
  <c r="BI222" i="6"/>
  <c r="BH222" i="6"/>
  <c r="BG222" i="6"/>
  <c r="BF222" i="6"/>
  <c r="BE222" i="6"/>
  <c r="BD222" i="6"/>
  <c r="BL221" i="6"/>
  <c r="BK221" i="6"/>
  <c r="BJ221" i="6"/>
  <c r="BI221" i="6"/>
  <c r="BH221" i="6"/>
  <c r="BG221" i="6"/>
  <c r="BF221" i="6"/>
  <c r="BE221" i="6"/>
  <c r="BD221" i="6"/>
  <c r="BL220" i="6"/>
  <c r="BK220" i="6"/>
  <c r="BJ220" i="6"/>
  <c r="BI220" i="6"/>
  <c r="BH220" i="6"/>
  <c r="BG220" i="6"/>
  <c r="BF220" i="6"/>
  <c r="BE220" i="6"/>
  <c r="BD220" i="6"/>
  <c r="BL219" i="6"/>
  <c r="BK219" i="6"/>
  <c r="BJ219" i="6"/>
  <c r="BI219" i="6"/>
  <c r="BH219" i="6"/>
  <c r="BG219" i="6"/>
  <c r="BF219" i="6"/>
  <c r="BE219" i="6"/>
  <c r="BD219" i="6"/>
  <c r="BL218" i="6"/>
  <c r="BK218" i="6"/>
  <c r="BJ218" i="6"/>
  <c r="BI218" i="6"/>
  <c r="BH218" i="6"/>
  <c r="BG218" i="6"/>
  <c r="BF218" i="6"/>
  <c r="BE218" i="6"/>
  <c r="BD218" i="6"/>
  <c r="BL217" i="6"/>
  <c r="BK217" i="6"/>
  <c r="BJ217" i="6"/>
  <c r="BI217" i="6"/>
  <c r="BH217" i="6"/>
  <c r="BG217" i="6"/>
  <c r="BF217" i="6"/>
  <c r="BE217" i="6"/>
  <c r="BD217" i="6"/>
  <c r="BL216" i="6"/>
  <c r="BK216" i="6"/>
  <c r="BJ216" i="6"/>
  <c r="BI216" i="6"/>
  <c r="BH216" i="6"/>
  <c r="BG216" i="6"/>
  <c r="BF216" i="6"/>
  <c r="BE216" i="6"/>
  <c r="BD216" i="6"/>
  <c r="BL215" i="6"/>
  <c r="BK215" i="6"/>
  <c r="BJ215" i="6"/>
  <c r="BI215" i="6"/>
  <c r="BH215" i="6"/>
  <c r="BG215" i="6"/>
  <c r="BF215" i="6"/>
  <c r="BE215" i="6"/>
  <c r="BD215" i="6"/>
  <c r="BL214" i="6"/>
  <c r="BK214" i="6"/>
  <c r="BJ214" i="6"/>
  <c r="BI214" i="6"/>
  <c r="BH214" i="6"/>
  <c r="BG214" i="6"/>
  <c r="BF214" i="6"/>
  <c r="BE214" i="6"/>
  <c r="BD214" i="6"/>
  <c r="BL213" i="6"/>
  <c r="BK213" i="6"/>
  <c r="BJ213" i="6"/>
  <c r="BI213" i="6"/>
  <c r="BH213" i="6"/>
  <c r="BG213" i="6"/>
  <c r="BF213" i="6"/>
  <c r="BE213" i="6"/>
  <c r="BD213" i="6"/>
  <c r="BL212" i="6"/>
  <c r="BK212" i="6"/>
  <c r="BJ212" i="6"/>
  <c r="BI212" i="6"/>
  <c r="BH212" i="6"/>
  <c r="BG212" i="6"/>
  <c r="BF212" i="6"/>
  <c r="BE212" i="6"/>
  <c r="BD212" i="6"/>
  <c r="BL211" i="6"/>
  <c r="BK211" i="6"/>
  <c r="BJ211" i="6"/>
  <c r="BI211" i="6"/>
  <c r="BH211" i="6"/>
  <c r="BG211" i="6"/>
  <c r="BF211" i="6"/>
  <c r="BE211" i="6"/>
  <c r="BD211" i="6"/>
  <c r="BL210" i="6"/>
  <c r="BK210" i="6"/>
  <c r="BJ210" i="6"/>
  <c r="BI210" i="6"/>
  <c r="BH210" i="6"/>
  <c r="BG210" i="6"/>
  <c r="BF210" i="6"/>
  <c r="BE210" i="6"/>
  <c r="BD210" i="6"/>
  <c r="BL209" i="6"/>
  <c r="BK209" i="6"/>
  <c r="BJ209" i="6"/>
  <c r="BI209" i="6"/>
  <c r="BH209" i="6"/>
  <c r="BG209" i="6"/>
  <c r="BF209" i="6"/>
  <c r="BE209" i="6"/>
  <c r="BD209" i="6"/>
  <c r="BL208" i="6"/>
  <c r="BK208" i="6"/>
  <c r="BJ208" i="6"/>
  <c r="BI208" i="6"/>
  <c r="BH208" i="6"/>
  <c r="BG208" i="6"/>
  <c r="BF208" i="6"/>
  <c r="BE208" i="6"/>
  <c r="BD208" i="6"/>
  <c r="BL207" i="6"/>
  <c r="BK207" i="6"/>
  <c r="BJ207" i="6"/>
  <c r="BI207" i="6"/>
  <c r="BH207" i="6"/>
  <c r="BG207" i="6"/>
  <c r="BF207" i="6"/>
  <c r="BE207" i="6"/>
  <c r="BD207" i="6"/>
  <c r="BL206" i="6"/>
  <c r="BK206" i="6"/>
  <c r="BJ206" i="6"/>
  <c r="BI206" i="6"/>
  <c r="BH206" i="6"/>
  <c r="BG206" i="6"/>
  <c r="BF206" i="6"/>
  <c r="BE206" i="6"/>
  <c r="BD206" i="6"/>
  <c r="BL205" i="6"/>
  <c r="BK205" i="6"/>
  <c r="BJ205" i="6"/>
  <c r="BI205" i="6"/>
  <c r="BH205" i="6"/>
  <c r="BG205" i="6"/>
  <c r="BF205" i="6"/>
  <c r="BE205" i="6"/>
  <c r="BD205" i="6"/>
  <c r="BL204" i="6"/>
  <c r="BK204" i="6"/>
  <c r="BJ204" i="6"/>
  <c r="BI204" i="6"/>
  <c r="BH204" i="6"/>
  <c r="BG204" i="6"/>
  <c r="BF204" i="6"/>
  <c r="BE204" i="6"/>
  <c r="BD204" i="6"/>
  <c r="BL203" i="6"/>
  <c r="BK203" i="6"/>
  <c r="BJ203" i="6"/>
  <c r="BI203" i="6"/>
  <c r="BH203" i="6"/>
  <c r="BG203" i="6"/>
  <c r="BF203" i="6"/>
  <c r="BE203" i="6"/>
  <c r="BD203" i="6"/>
  <c r="BL202" i="6"/>
  <c r="BK202" i="6"/>
  <c r="BJ202" i="6"/>
  <c r="BI202" i="6"/>
  <c r="BH202" i="6"/>
  <c r="BG202" i="6"/>
  <c r="BF202" i="6"/>
  <c r="BE202" i="6"/>
  <c r="BD202" i="6"/>
  <c r="BL201" i="6"/>
  <c r="BK201" i="6"/>
  <c r="BJ201" i="6"/>
  <c r="BI201" i="6"/>
  <c r="BH201" i="6"/>
  <c r="BG201" i="6"/>
  <c r="BF201" i="6"/>
  <c r="BE201" i="6"/>
  <c r="BD201" i="6"/>
  <c r="BL200" i="6"/>
  <c r="BK200" i="6"/>
  <c r="BJ200" i="6"/>
  <c r="BI200" i="6"/>
  <c r="BH200" i="6"/>
  <c r="BG200" i="6"/>
  <c r="BF200" i="6"/>
  <c r="BE200" i="6"/>
  <c r="BD200" i="6"/>
  <c r="BL199" i="6"/>
  <c r="BK199" i="6"/>
  <c r="BJ199" i="6"/>
  <c r="BI199" i="6"/>
  <c r="BH199" i="6"/>
  <c r="BG199" i="6"/>
  <c r="BF199" i="6"/>
  <c r="BE199" i="6"/>
  <c r="BD199" i="6"/>
  <c r="BL198" i="6"/>
  <c r="BK198" i="6"/>
  <c r="BJ198" i="6"/>
  <c r="BI198" i="6"/>
  <c r="BH198" i="6"/>
  <c r="BG198" i="6"/>
  <c r="BF198" i="6"/>
  <c r="BE198" i="6"/>
  <c r="BD198" i="6"/>
  <c r="BL197" i="6"/>
  <c r="BK197" i="6"/>
  <c r="BJ197" i="6"/>
  <c r="BI197" i="6"/>
  <c r="BH197" i="6"/>
  <c r="BG197" i="6"/>
  <c r="BF197" i="6"/>
  <c r="BE197" i="6"/>
  <c r="BD197" i="6"/>
  <c r="BL196" i="6"/>
  <c r="BK196" i="6"/>
  <c r="BJ196" i="6"/>
  <c r="BI196" i="6"/>
  <c r="BH196" i="6"/>
  <c r="BG196" i="6"/>
  <c r="BF196" i="6"/>
  <c r="BE196" i="6"/>
  <c r="BD196" i="6"/>
  <c r="BL195" i="6"/>
  <c r="BK195" i="6"/>
  <c r="BJ195" i="6"/>
  <c r="BI195" i="6"/>
  <c r="BH195" i="6"/>
  <c r="BG195" i="6"/>
  <c r="BF195" i="6"/>
  <c r="BE195" i="6"/>
  <c r="BD195" i="6"/>
  <c r="BL194" i="6"/>
  <c r="BK194" i="6"/>
  <c r="BJ194" i="6"/>
  <c r="BI194" i="6"/>
  <c r="BH194" i="6"/>
  <c r="BG194" i="6"/>
  <c r="BF194" i="6"/>
  <c r="BE194" i="6"/>
  <c r="BD194" i="6"/>
  <c r="BL193" i="6"/>
  <c r="BK193" i="6"/>
  <c r="BJ193" i="6"/>
  <c r="BI193" i="6"/>
  <c r="BH193" i="6"/>
  <c r="BG193" i="6"/>
  <c r="BF193" i="6"/>
  <c r="BE193" i="6"/>
  <c r="BD193" i="6"/>
  <c r="BL192" i="6"/>
  <c r="BK192" i="6"/>
  <c r="BJ192" i="6"/>
  <c r="BI192" i="6"/>
  <c r="BH192" i="6"/>
  <c r="BG192" i="6"/>
  <c r="BF192" i="6"/>
  <c r="BE192" i="6"/>
  <c r="BD192" i="6"/>
  <c r="BL191" i="6"/>
  <c r="BK191" i="6"/>
  <c r="BJ191" i="6"/>
  <c r="BI191" i="6"/>
  <c r="BH191" i="6"/>
  <c r="BG191" i="6"/>
  <c r="BF191" i="6"/>
  <c r="BE191" i="6"/>
  <c r="BD191" i="6"/>
  <c r="BL190" i="6"/>
  <c r="BK190" i="6"/>
  <c r="BJ190" i="6"/>
  <c r="BI190" i="6"/>
  <c r="BH190" i="6"/>
  <c r="BG190" i="6"/>
  <c r="BF190" i="6"/>
  <c r="BE190" i="6"/>
  <c r="BD190" i="6"/>
  <c r="BL189" i="6"/>
  <c r="BK189" i="6"/>
  <c r="BJ189" i="6"/>
  <c r="BI189" i="6"/>
  <c r="BH189" i="6"/>
  <c r="BG189" i="6"/>
  <c r="BF189" i="6"/>
  <c r="BE189" i="6"/>
  <c r="BD189" i="6"/>
  <c r="BL188" i="6"/>
  <c r="BK188" i="6"/>
  <c r="BJ188" i="6"/>
  <c r="BI188" i="6"/>
  <c r="BH188" i="6"/>
  <c r="BG188" i="6"/>
  <c r="BF188" i="6"/>
  <c r="BE188" i="6"/>
  <c r="BD188" i="6"/>
  <c r="BL187" i="6"/>
  <c r="BK187" i="6"/>
  <c r="BJ187" i="6"/>
  <c r="BI187" i="6"/>
  <c r="BH187" i="6"/>
  <c r="BG187" i="6"/>
  <c r="BF187" i="6"/>
  <c r="BE187" i="6"/>
  <c r="BD187" i="6"/>
  <c r="BL186" i="6"/>
  <c r="BK186" i="6"/>
  <c r="BJ186" i="6"/>
  <c r="BI186" i="6"/>
  <c r="BH186" i="6"/>
  <c r="BG186" i="6"/>
  <c r="BF186" i="6"/>
  <c r="BE186" i="6"/>
  <c r="BD186" i="6"/>
  <c r="BL185" i="6"/>
  <c r="BK185" i="6"/>
  <c r="BJ185" i="6"/>
  <c r="BI185" i="6"/>
  <c r="BH185" i="6"/>
  <c r="BG185" i="6"/>
  <c r="BF185" i="6"/>
  <c r="BE185" i="6"/>
  <c r="BD185" i="6"/>
  <c r="BL184" i="6"/>
  <c r="BK184" i="6"/>
  <c r="BJ184" i="6"/>
  <c r="BI184" i="6"/>
  <c r="BH184" i="6"/>
  <c r="BG184" i="6"/>
  <c r="BF184" i="6"/>
  <c r="BE184" i="6"/>
  <c r="BD184" i="6"/>
  <c r="BL183" i="6"/>
  <c r="BK183" i="6"/>
  <c r="BJ183" i="6"/>
  <c r="BI183" i="6"/>
  <c r="BH183" i="6"/>
  <c r="BG183" i="6"/>
  <c r="BF183" i="6"/>
  <c r="BE183" i="6"/>
  <c r="BD183" i="6"/>
  <c r="BL182" i="6"/>
  <c r="BK182" i="6"/>
  <c r="BJ182" i="6"/>
  <c r="BI182" i="6"/>
  <c r="BH182" i="6"/>
  <c r="BG182" i="6"/>
  <c r="BF182" i="6"/>
  <c r="BE182" i="6"/>
  <c r="BD182" i="6"/>
  <c r="BL181" i="6"/>
  <c r="BK181" i="6"/>
  <c r="BJ181" i="6"/>
  <c r="BI181" i="6"/>
  <c r="BH181" i="6"/>
  <c r="BG181" i="6"/>
  <c r="BF181" i="6"/>
  <c r="BE181" i="6"/>
  <c r="BD181" i="6"/>
  <c r="BL180" i="6"/>
  <c r="BK180" i="6"/>
  <c r="BJ180" i="6"/>
  <c r="BI180" i="6"/>
  <c r="BH180" i="6"/>
  <c r="BG180" i="6"/>
  <c r="BF180" i="6"/>
  <c r="BE180" i="6"/>
  <c r="BD180" i="6"/>
  <c r="BL179" i="6"/>
  <c r="BK179" i="6"/>
  <c r="BJ179" i="6"/>
  <c r="BI179" i="6"/>
  <c r="BH179" i="6"/>
  <c r="BG179" i="6"/>
  <c r="BF179" i="6"/>
  <c r="BE179" i="6"/>
  <c r="BD179" i="6"/>
  <c r="BL178" i="6"/>
  <c r="BK178" i="6"/>
  <c r="BJ178" i="6"/>
  <c r="BI178" i="6"/>
  <c r="BH178" i="6"/>
  <c r="BG178" i="6"/>
  <c r="BF178" i="6"/>
  <c r="BE178" i="6"/>
  <c r="BD178" i="6"/>
  <c r="BL177" i="6"/>
  <c r="BK177" i="6"/>
  <c r="BJ177" i="6"/>
  <c r="BI177" i="6"/>
  <c r="BH177" i="6"/>
  <c r="BG177" i="6"/>
  <c r="BF177" i="6"/>
  <c r="BE177" i="6"/>
  <c r="BD177" i="6"/>
  <c r="BL176" i="6"/>
  <c r="BK176" i="6"/>
  <c r="BJ176" i="6"/>
  <c r="BI176" i="6"/>
  <c r="BH176" i="6"/>
  <c r="BG176" i="6"/>
  <c r="BF176" i="6"/>
  <c r="BE176" i="6"/>
  <c r="BD176" i="6"/>
  <c r="BL175" i="6"/>
  <c r="BK175" i="6"/>
  <c r="BJ175" i="6"/>
  <c r="BI175" i="6"/>
  <c r="BH175" i="6"/>
  <c r="BG175" i="6"/>
  <c r="BF175" i="6"/>
  <c r="BE175" i="6"/>
  <c r="BD175" i="6"/>
  <c r="BL174" i="6"/>
  <c r="BK174" i="6"/>
  <c r="BJ174" i="6"/>
  <c r="BI174" i="6"/>
  <c r="BH174" i="6"/>
  <c r="BG174" i="6"/>
  <c r="BF174" i="6"/>
  <c r="BE174" i="6"/>
  <c r="BD174" i="6"/>
  <c r="BL173" i="6"/>
  <c r="BK173" i="6"/>
  <c r="BJ173" i="6"/>
  <c r="BI173" i="6"/>
  <c r="BH173" i="6"/>
  <c r="BG173" i="6"/>
  <c r="BF173" i="6"/>
  <c r="BE173" i="6"/>
  <c r="BD173" i="6"/>
  <c r="BL172" i="6"/>
  <c r="BK172" i="6"/>
  <c r="BJ172" i="6"/>
  <c r="BI172" i="6"/>
  <c r="BH172" i="6"/>
  <c r="BG172" i="6"/>
  <c r="BF172" i="6"/>
  <c r="BE172" i="6"/>
  <c r="BD172" i="6"/>
  <c r="BL171" i="6"/>
  <c r="BK171" i="6"/>
  <c r="BJ171" i="6"/>
  <c r="BI171" i="6"/>
  <c r="BH171" i="6"/>
  <c r="BG171" i="6"/>
  <c r="BF171" i="6"/>
  <c r="BE171" i="6"/>
  <c r="BD171" i="6"/>
  <c r="BL170" i="6"/>
  <c r="BK170" i="6"/>
  <c r="BJ170" i="6"/>
  <c r="BI170" i="6"/>
  <c r="BH170" i="6"/>
  <c r="BG170" i="6"/>
  <c r="BF170" i="6"/>
  <c r="BE170" i="6"/>
  <c r="BD170" i="6"/>
  <c r="BL169" i="6"/>
  <c r="BK169" i="6"/>
  <c r="BJ169" i="6"/>
  <c r="BI169" i="6"/>
  <c r="BH169" i="6"/>
  <c r="BG169" i="6"/>
  <c r="BF169" i="6"/>
  <c r="BE169" i="6"/>
  <c r="BD169" i="6"/>
  <c r="BL168" i="6"/>
  <c r="BK168" i="6"/>
  <c r="BJ168" i="6"/>
  <c r="BI168" i="6"/>
  <c r="BH168" i="6"/>
  <c r="BG168" i="6"/>
  <c r="BF168" i="6"/>
  <c r="BE168" i="6"/>
  <c r="BD168" i="6"/>
  <c r="BL167" i="6"/>
  <c r="BK167" i="6"/>
  <c r="BJ167" i="6"/>
  <c r="BI167" i="6"/>
  <c r="BH167" i="6"/>
  <c r="BG167" i="6"/>
  <c r="BF167" i="6"/>
  <c r="BE167" i="6"/>
  <c r="BD167" i="6"/>
  <c r="BL166" i="6"/>
  <c r="BK166" i="6"/>
  <c r="BJ166" i="6"/>
  <c r="BI166" i="6"/>
  <c r="BH166" i="6"/>
  <c r="BG166" i="6"/>
  <c r="BF166" i="6"/>
  <c r="BE166" i="6"/>
  <c r="BD166" i="6"/>
  <c r="BL165" i="6"/>
  <c r="BK165" i="6"/>
  <c r="BJ165" i="6"/>
  <c r="BI165" i="6"/>
  <c r="BH165" i="6"/>
  <c r="BG165" i="6"/>
  <c r="BF165" i="6"/>
  <c r="BE165" i="6"/>
  <c r="BD165" i="6"/>
  <c r="BL164" i="6"/>
  <c r="BK164" i="6"/>
  <c r="BJ164" i="6"/>
  <c r="BI164" i="6"/>
  <c r="BH164" i="6"/>
  <c r="BG164" i="6"/>
  <c r="BF164" i="6"/>
  <c r="BE164" i="6"/>
  <c r="BD164" i="6"/>
  <c r="BL163" i="6"/>
  <c r="BK163" i="6"/>
  <c r="BJ163" i="6"/>
  <c r="BI163" i="6"/>
  <c r="BH163" i="6"/>
  <c r="BG163" i="6"/>
  <c r="BF163" i="6"/>
  <c r="BE163" i="6"/>
  <c r="BD163" i="6"/>
  <c r="BL162" i="6"/>
  <c r="BK162" i="6"/>
  <c r="BJ162" i="6"/>
  <c r="BI162" i="6"/>
  <c r="BH162" i="6"/>
  <c r="BG162" i="6"/>
  <c r="BF162" i="6"/>
  <c r="BE162" i="6"/>
  <c r="BD162" i="6"/>
  <c r="BL161" i="6"/>
  <c r="BK161" i="6"/>
  <c r="BJ161" i="6"/>
  <c r="BI161" i="6"/>
  <c r="BH161" i="6"/>
  <c r="BG161" i="6"/>
  <c r="BF161" i="6"/>
  <c r="BE161" i="6"/>
  <c r="BD161" i="6"/>
  <c r="BL160" i="6"/>
  <c r="BK160" i="6"/>
  <c r="BJ160" i="6"/>
  <c r="BI160" i="6"/>
  <c r="BH160" i="6"/>
  <c r="BG160" i="6"/>
  <c r="BF160" i="6"/>
  <c r="BE160" i="6"/>
  <c r="BD160" i="6"/>
  <c r="BL159" i="6"/>
  <c r="BK159" i="6"/>
  <c r="BJ159" i="6"/>
  <c r="BI159" i="6"/>
  <c r="BH159" i="6"/>
  <c r="BG159" i="6"/>
  <c r="BF159" i="6"/>
  <c r="BE159" i="6"/>
  <c r="BD159" i="6"/>
  <c r="BL158" i="6"/>
  <c r="BK158" i="6"/>
  <c r="BJ158" i="6"/>
  <c r="BI158" i="6"/>
  <c r="BH158" i="6"/>
  <c r="BG158" i="6"/>
  <c r="BF158" i="6"/>
  <c r="BE158" i="6"/>
  <c r="BD158" i="6"/>
  <c r="BL157" i="6"/>
  <c r="BK157" i="6"/>
  <c r="BJ157" i="6"/>
  <c r="BI157" i="6"/>
  <c r="BH157" i="6"/>
  <c r="BG157" i="6"/>
  <c r="BF157" i="6"/>
  <c r="BE157" i="6"/>
  <c r="BD157" i="6"/>
  <c r="BL156" i="6"/>
  <c r="BK156" i="6"/>
  <c r="BJ156" i="6"/>
  <c r="BI156" i="6"/>
  <c r="BH156" i="6"/>
  <c r="BG156" i="6"/>
  <c r="BF156" i="6"/>
  <c r="BE156" i="6"/>
  <c r="BD156" i="6"/>
  <c r="BL155" i="6"/>
  <c r="BK155" i="6"/>
  <c r="BJ155" i="6"/>
  <c r="BI155" i="6"/>
  <c r="BH155" i="6"/>
  <c r="BG155" i="6"/>
  <c r="BF155" i="6"/>
  <c r="BE155" i="6"/>
  <c r="BD155" i="6"/>
  <c r="BL154" i="6"/>
  <c r="BK154" i="6"/>
  <c r="BJ154" i="6"/>
  <c r="BI154" i="6"/>
  <c r="BH154" i="6"/>
  <c r="BG154" i="6"/>
  <c r="BF154" i="6"/>
  <c r="BE154" i="6"/>
  <c r="BD154" i="6"/>
  <c r="BL153" i="6"/>
  <c r="BK153" i="6"/>
  <c r="BJ153" i="6"/>
  <c r="BI153" i="6"/>
  <c r="BH153" i="6"/>
  <c r="BG153" i="6"/>
  <c r="BF153" i="6"/>
  <c r="BE153" i="6"/>
  <c r="BD153" i="6"/>
  <c r="BL152" i="6"/>
  <c r="BK152" i="6"/>
  <c r="BJ152" i="6"/>
  <c r="BI152" i="6"/>
  <c r="BH152" i="6"/>
  <c r="BG152" i="6"/>
  <c r="BF152" i="6"/>
  <c r="BE152" i="6"/>
  <c r="BD152" i="6"/>
  <c r="BL151" i="6"/>
  <c r="BK151" i="6"/>
  <c r="BJ151" i="6"/>
  <c r="BI151" i="6"/>
  <c r="BH151" i="6"/>
  <c r="BG151" i="6"/>
  <c r="BF151" i="6"/>
  <c r="BE151" i="6"/>
  <c r="BD151" i="6"/>
  <c r="BL150" i="6"/>
  <c r="BK150" i="6"/>
  <c r="BJ150" i="6"/>
  <c r="BI150" i="6"/>
  <c r="BH150" i="6"/>
  <c r="BG150" i="6"/>
  <c r="BF150" i="6"/>
  <c r="BE150" i="6"/>
  <c r="BD150" i="6"/>
  <c r="BL149" i="6"/>
  <c r="BK149" i="6"/>
  <c r="BJ149" i="6"/>
  <c r="BI149" i="6"/>
  <c r="BH149" i="6"/>
  <c r="BG149" i="6"/>
  <c r="BF149" i="6"/>
  <c r="BE149" i="6"/>
  <c r="BD149" i="6"/>
  <c r="BL148" i="6"/>
  <c r="BK148" i="6"/>
  <c r="BJ148" i="6"/>
  <c r="BI148" i="6"/>
  <c r="BH148" i="6"/>
  <c r="BG148" i="6"/>
  <c r="BF148" i="6"/>
  <c r="BE148" i="6"/>
  <c r="BD148" i="6"/>
  <c r="BL147" i="6"/>
  <c r="BK147" i="6"/>
  <c r="BJ147" i="6"/>
  <c r="BI147" i="6"/>
  <c r="BH147" i="6"/>
  <c r="BG147" i="6"/>
  <c r="BF147" i="6"/>
  <c r="BE147" i="6"/>
  <c r="BD147" i="6"/>
  <c r="BL146" i="6"/>
  <c r="BK146" i="6"/>
  <c r="BJ146" i="6"/>
  <c r="BI146" i="6"/>
  <c r="BH146" i="6"/>
  <c r="BG146" i="6"/>
  <c r="BF146" i="6"/>
  <c r="BE146" i="6"/>
  <c r="BD146" i="6"/>
  <c r="BL145" i="6"/>
  <c r="BK145" i="6"/>
  <c r="BJ145" i="6"/>
  <c r="BI145" i="6"/>
  <c r="BH145" i="6"/>
  <c r="BG145" i="6"/>
  <c r="BF145" i="6"/>
  <c r="BE145" i="6"/>
  <c r="BD145" i="6"/>
  <c r="BL144" i="6"/>
  <c r="BK144" i="6"/>
  <c r="BJ144" i="6"/>
  <c r="BI144" i="6"/>
  <c r="BH144" i="6"/>
  <c r="BG144" i="6"/>
  <c r="BF144" i="6"/>
  <c r="BE144" i="6"/>
  <c r="BD144" i="6"/>
  <c r="BL143" i="6"/>
  <c r="BK143" i="6"/>
  <c r="BJ143" i="6"/>
  <c r="BI143" i="6"/>
  <c r="BH143" i="6"/>
  <c r="BG143" i="6"/>
  <c r="BF143" i="6"/>
  <c r="BE143" i="6"/>
  <c r="BD143" i="6"/>
  <c r="BL142" i="6"/>
  <c r="BK142" i="6"/>
  <c r="BJ142" i="6"/>
  <c r="BI142" i="6"/>
  <c r="BH142" i="6"/>
  <c r="BG142" i="6"/>
  <c r="BF142" i="6"/>
  <c r="BE142" i="6"/>
  <c r="BD142" i="6"/>
  <c r="BL141" i="6"/>
  <c r="BK141" i="6"/>
  <c r="BJ141" i="6"/>
  <c r="BI141" i="6"/>
  <c r="BH141" i="6"/>
  <c r="BG141" i="6"/>
  <c r="BF141" i="6"/>
  <c r="BE141" i="6"/>
  <c r="BD141" i="6"/>
  <c r="BL140" i="6"/>
  <c r="BK140" i="6"/>
  <c r="BJ140" i="6"/>
  <c r="BI140" i="6"/>
  <c r="BH140" i="6"/>
  <c r="BG140" i="6"/>
  <c r="BF140" i="6"/>
  <c r="BE140" i="6"/>
  <c r="BD140" i="6"/>
  <c r="BL139" i="6"/>
  <c r="BK139" i="6"/>
  <c r="BJ139" i="6"/>
  <c r="BI139" i="6"/>
  <c r="BH139" i="6"/>
  <c r="BG139" i="6"/>
  <c r="BF139" i="6"/>
  <c r="BE139" i="6"/>
  <c r="BD139" i="6"/>
  <c r="BL138" i="6"/>
  <c r="BK138" i="6"/>
  <c r="BJ138" i="6"/>
  <c r="BI138" i="6"/>
  <c r="BH138" i="6"/>
  <c r="BG138" i="6"/>
  <c r="BF138" i="6"/>
  <c r="BE138" i="6"/>
  <c r="BD138" i="6"/>
  <c r="BL137" i="6"/>
  <c r="BK137" i="6"/>
  <c r="BJ137" i="6"/>
  <c r="BI137" i="6"/>
  <c r="BH137" i="6"/>
  <c r="BG137" i="6"/>
  <c r="BF137" i="6"/>
  <c r="BE137" i="6"/>
  <c r="BD137" i="6"/>
  <c r="BL136" i="6"/>
  <c r="BK136" i="6"/>
  <c r="BJ136" i="6"/>
  <c r="BI136" i="6"/>
  <c r="BH136" i="6"/>
  <c r="BG136" i="6"/>
  <c r="BF136" i="6"/>
  <c r="BE136" i="6"/>
  <c r="BD136" i="6"/>
  <c r="BL135" i="6"/>
  <c r="BK135" i="6"/>
  <c r="BJ135" i="6"/>
  <c r="BI135" i="6"/>
  <c r="BH135" i="6"/>
  <c r="BG135" i="6"/>
  <c r="BF135" i="6"/>
  <c r="BE135" i="6"/>
  <c r="BD135" i="6"/>
  <c r="BL134" i="6"/>
  <c r="BK134" i="6"/>
  <c r="BJ134" i="6"/>
  <c r="BI134" i="6"/>
  <c r="BH134" i="6"/>
  <c r="BG134" i="6"/>
  <c r="BF134" i="6"/>
  <c r="BE134" i="6"/>
  <c r="BD134" i="6"/>
  <c r="BL133" i="6"/>
  <c r="BK133" i="6"/>
  <c r="BJ133" i="6"/>
  <c r="BI133" i="6"/>
  <c r="BH133" i="6"/>
  <c r="BG133" i="6"/>
  <c r="BF133" i="6"/>
  <c r="BE133" i="6"/>
  <c r="BD133" i="6"/>
  <c r="BL132" i="6"/>
  <c r="BK132" i="6"/>
  <c r="BJ132" i="6"/>
  <c r="BI132" i="6"/>
  <c r="BH132" i="6"/>
  <c r="BG132" i="6"/>
  <c r="BF132" i="6"/>
  <c r="BE132" i="6"/>
  <c r="BD132" i="6"/>
  <c r="BL131" i="6"/>
  <c r="BK131" i="6"/>
  <c r="BJ131" i="6"/>
  <c r="BI131" i="6"/>
  <c r="BH131" i="6"/>
  <c r="BG131" i="6"/>
  <c r="BF131" i="6"/>
  <c r="BE131" i="6"/>
  <c r="BD131" i="6"/>
  <c r="BL130" i="6"/>
  <c r="BK130" i="6"/>
  <c r="BJ130" i="6"/>
  <c r="BI130" i="6"/>
  <c r="BH130" i="6"/>
  <c r="BG130" i="6"/>
  <c r="BF130" i="6"/>
  <c r="BE130" i="6"/>
  <c r="BD130" i="6"/>
  <c r="BL129" i="6"/>
  <c r="BK129" i="6"/>
  <c r="BJ129" i="6"/>
  <c r="BI129" i="6"/>
  <c r="BH129" i="6"/>
  <c r="BG129" i="6"/>
  <c r="BF129" i="6"/>
  <c r="BE129" i="6"/>
  <c r="BD129" i="6"/>
  <c r="BL128" i="6"/>
  <c r="BK128" i="6"/>
  <c r="BJ128" i="6"/>
  <c r="BI128" i="6"/>
  <c r="BH128" i="6"/>
  <c r="BG128" i="6"/>
  <c r="BF128" i="6"/>
  <c r="BE128" i="6"/>
  <c r="BD128" i="6"/>
  <c r="BL127" i="6"/>
  <c r="BK127" i="6"/>
  <c r="BJ127" i="6"/>
  <c r="BI127" i="6"/>
  <c r="BH127" i="6"/>
  <c r="BG127" i="6"/>
  <c r="BF127" i="6"/>
  <c r="BE127" i="6"/>
  <c r="BD127" i="6"/>
  <c r="BL126" i="6"/>
  <c r="BK126" i="6"/>
  <c r="BJ126" i="6"/>
  <c r="BI126" i="6"/>
  <c r="BH126" i="6"/>
  <c r="BG126" i="6"/>
  <c r="BF126" i="6"/>
  <c r="BE126" i="6"/>
  <c r="BD126" i="6"/>
  <c r="BL125" i="6"/>
  <c r="BK125" i="6"/>
  <c r="BJ125" i="6"/>
  <c r="BI125" i="6"/>
  <c r="BH125" i="6"/>
  <c r="BG125" i="6"/>
  <c r="BF125" i="6"/>
  <c r="BE125" i="6"/>
  <c r="BD125" i="6"/>
  <c r="BL124" i="6"/>
  <c r="BK124" i="6"/>
  <c r="BJ124" i="6"/>
  <c r="BI124" i="6"/>
  <c r="BH124" i="6"/>
  <c r="BG124" i="6"/>
  <c r="BF124" i="6"/>
  <c r="BE124" i="6"/>
  <c r="BD124" i="6"/>
  <c r="BL123" i="6"/>
  <c r="BK123" i="6"/>
  <c r="BJ123" i="6"/>
  <c r="BI123" i="6"/>
  <c r="BH123" i="6"/>
  <c r="BG123" i="6"/>
  <c r="BF123" i="6"/>
  <c r="BE123" i="6"/>
  <c r="BD123" i="6"/>
  <c r="BL122" i="6"/>
  <c r="BK122" i="6"/>
  <c r="BJ122" i="6"/>
  <c r="BI122" i="6"/>
  <c r="BH122" i="6"/>
  <c r="BG122" i="6"/>
  <c r="BF122" i="6"/>
  <c r="BE122" i="6"/>
  <c r="BD122" i="6"/>
  <c r="BL121" i="6"/>
  <c r="BK121" i="6"/>
  <c r="BJ121" i="6"/>
  <c r="BI121" i="6"/>
  <c r="BH121" i="6"/>
  <c r="BG121" i="6"/>
  <c r="BF121" i="6"/>
  <c r="BE121" i="6"/>
  <c r="BD121" i="6"/>
  <c r="BL120" i="6"/>
  <c r="BK120" i="6"/>
  <c r="BJ120" i="6"/>
  <c r="BI120" i="6"/>
  <c r="BH120" i="6"/>
  <c r="BG120" i="6"/>
  <c r="BF120" i="6"/>
  <c r="BE120" i="6"/>
  <c r="BD120" i="6"/>
  <c r="BL119" i="6"/>
  <c r="BK119" i="6"/>
  <c r="BJ119" i="6"/>
  <c r="BI119" i="6"/>
  <c r="BH119" i="6"/>
  <c r="BG119" i="6"/>
  <c r="BF119" i="6"/>
  <c r="BE119" i="6"/>
  <c r="BD119" i="6"/>
  <c r="BL118" i="6"/>
  <c r="BK118" i="6"/>
  <c r="BJ118" i="6"/>
  <c r="BI118" i="6"/>
  <c r="BH118" i="6"/>
  <c r="BG118" i="6"/>
  <c r="BF118" i="6"/>
  <c r="BE118" i="6"/>
  <c r="BD118" i="6"/>
  <c r="BL117" i="6"/>
  <c r="BK117" i="6"/>
  <c r="BJ117" i="6"/>
  <c r="BI117" i="6"/>
  <c r="BH117" i="6"/>
  <c r="BG117" i="6"/>
  <c r="BF117" i="6"/>
  <c r="BE117" i="6"/>
  <c r="BD117" i="6"/>
  <c r="BL116" i="6"/>
  <c r="BK116" i="6"/>
  <c r="BJ116" i="6"/>
  <c r="BI116" i="6"/>
  <c r="BH116" i="6"/>
  <c r="BG116" i="6"/>
  <c r="BF116" i="6"/>
  <c r="BE116" i="6"/>
  <c r="BD116" i="6"/>
  <c r="BL115" i="6"/>
  <c r="BK115" i="6"/>
  <c r="BJ115" i="6"/>
  <c r="BI115" i="6"/>
  <c r="BH115" i="6"/>
  <c r="BG115" i="6"/>
  <c r="BF115" i="6"/>
  <c r="BE115" i="6"/>
  <c r="BD115" i="6"/>
  <c r="BL114" i="6"/>
  <c r="BK114" i="6"/>
  <c r="BJ114" i="6"/>
  <c r="BI114" i="6"/>
  <c r="BH114" i="6"/>
  <c r="BG114" i="6"/>
  <c r="BF114" i="6"/>
  <c r="BE114" i="6"/>
  <c r="BD114" i="6"/>
  <c r="BL113" i="6"/>
  <c r="BK113" i="6"/>
  <c r="BJ113" i="6"/>
  <c r="BI113" i="6"/>
  <c r="BH113" i="6"/>
  <c r="BG113" i="6"/>
  <c r="BF113" i="6"/>
  <c r="BE113" i="6"/>
  <c r="BD113" i="6"/>
  <c r="BL112" i="6"/>
  <c r="BK112" i="6"/>
  <c r="BJ112" i="6"/>
  <c r="BI112" i="6"/>
  <c r="BH112" i="6"/>
  <c r="BG112" i="6"/>
  <c r="BF112" i="6"/>
  <c r="BE112" i="6"/>
  <c r="BD112" i="6"/>
  <c r="BL111" i="6"/>
  <c r="BK111" i="6"/>
  <c r="BJ111" i="6"/>
  <c r="BI111" i="6"/>
  <c r="BH111" i="6"/>
  <c r="BG111" i="6"/>
  <c r="BF111" i="6"/>
  <c r="BE111" i="6"/>
  <c r="BD111" i="6"/>
  <c r="BL110" i="6"/>
  <c r="BK110" i="6"/>
  <c r="BJ110" i="6"/>
  <c r="BI110" i="6"/>
  <c r="BH110" i="6"/>
  <c r="BG110" i="6"/>
  <c r="BF110" i="6"/>
  <c r="BE110" i="6"/>
  <c r="BD110" i="6"/>
  <c r="BL109" i="6"/>
  <c r="BK109" i="6"/>
  <c r="BJ109" i="6"/>
  <c r="BI109" i="6"/>
  <c r="BH109" i="6"/>
  <c r="BG109" i="6"/>
  <c r="BF109" i="6"/>
  <c r="BE109" i="6"/>
  <c r="BD109" i="6"/>
  <c r="BL108" i="6"/>
  <c r="BK108" i="6"/>
  <c r="BJ108" i="6"/>
  <c r="BI108" i="6"/>
  <c r="BH108" i="6"/>
  <c r="BG108" i="6"/>
  <c r="BF108" i="6"/>
  <c r="BE108" i="6"/>
  <c r="BD108" i="6"/>
  <c r="BL107" i="6"/>
  <c r="BK107" i="6"/>
  <c r="BJ107" i="6"/>
  <c r="BI107" i="6"/>
  <c r="BH107" i="6"/>
  <c r="BG107" i="6"/>
  <c r="BF107" i="6"/>
  <c r="BE107" i="6"/>
  <c r="BD107" i="6"/>
  <c r="BL106" i="6"/>
  <c r="BK106" i="6"/>
  <c r="BJ106" i="6"/>
  <c r="BI106" i="6"/>
  <c r="BH106" i="6"/>
  <c r="BG106" i="6"/>
  <c r="BF106" i="6"/>
  <c r="BE106" i="6"/>
  <c r="BD106" i="6"/>
  <c r="BL105" i="6"/>
  <c r="BK105" i="6"/>
  <c r="BJ105" i="6"/>
  <c r="BI105" i="6"/>
  <c r="BH105" i="6"/>
  <c r="BG105" i="6"/>
  <c r="BF105" i="6"/>
  <c r="BE105" i="6"/>
  <c r="BD105" i="6"/>
  <c r="BL104" i="6"/>
  <c r="BK104" i="6"/>
  <c r="BJ104" i="6"/>
  <c r="BI104" i="6"/>
  <c r="BH104" i="6"/>
  <c r="BG104" i="6"/>
  <c r="BF104" i="6"/>
  <c r="BE104" i="6"/>
  <c r="BD104" i="6"/>
  <c r="BL103" i="6"/>
  <c r="BK103" i="6"/>
  <c r="BJ103" i="6"/>
  <c r="BI103" i="6"/>
  <c r="BH103" i="6"/>
  <c r="BG103" i="6"/>
  <c r="BF103" i="6"/>
  <c r="BE103" i="6"/>
  <c r="BD103" i="6"/>
  <c r="BL102" i="6"/>
  <c r="BK102" i="6"/>
  <c r="BJ102" i="6"/>
  <c r="BI102" i="6"/>
  <c r="BH102" i="6"/>
  <c r="BG102" i="6"/>
  <c r="BF102" i="6"/>
  <c r="BE102" i="6"/>
  <c r="BD102" i="6"/>
  <c r="BL101" i="6"/>
  <c r="BK101" i="6"/>
  <c r="BJ101" i="6"/>
  <c r="BI101" i="6"/>
  <c r="BH101" i="6"/>
  <c r="BG101" i="6"/>
  <c r="BF101" i="6"/>
  <c r="BE101" i="6"/>
  <c r="BD101" i="6"/>
  <c r="BL100" i="6"/>
  <c r="BK100" i="6"/>
  <c r="BJ100" i="6"/>
  <c r="BI100" i="6"/>
  <c r="BH100" i="6"/>
  <c r="BG100" i="6"/>
  <c r="BF100" i="6"/>
  <c r="BE100" i="6"/>
  <c r="BD100" i="6"/>
  <c r="BL99" i="6"/>
  <c r="BK99" i="6"/>
  <c r="BJ99" i="6"/>
  <c r="BI99" i="6"/>
  <c r="BH99" i="6"/>
  <c r="BG99" i="6"/>
  <c r="BF99" i="6"/>
  <c r="BE99" i="6"/>
  <c r="BD99" i="6"/>
  <c r="BL98" i="6"/>
  <c r="BK98" i="6"/>
  <c r="BJ98" i="6"/>
  <c r="BI98" i="6"/>
  <c r="BH98" i="6"/>
  <c r="BG98" i="6"/>
  <c r="BF98" i="6"/>
  <c r="BE98" i="6"/>
  <c r="BD98" i="6"/>
  <c r="BL97" i="6"/>
  <c r="BK97" i="6"/>
  <c r="BJ97" i="6"/>
  <c r="BI97" i="6"/>
  <c r="BH97" i="6"/>
  <c r="BG97" i="6"/>
  <c r="BF97" i="6"/>
  <c r="BE97" i="6"/>
  <c r="BD97" i="6"/>
  <c r="BL96" i="6"/>
  <c r="BK96" i="6"/>
  <c r="BJ96" i="6"/>
  <c r="BI96" i="6"/>
  <c r="BH96" i="6"/>
  <c r="BG96" i="6"/>
  <c r="BF96" i="6"/>
  <c r="BE96" i="6"/>
  <c r="BD96" i="6"/>
  <c r="BL95" i="6"/>
  <c r="BK95" i="6"/>
  <c r="BJ95" i="6"/>
  <c r="BI95" i="6"/>
  <c r="BH95" i="6"/>
  <c r="BG95" i="6"/>
  <c r="BF95" i="6"/>
  <c r="BE95" i="6"/>
  <c r="BD95" i="6"/>
  <c r="BL94" i="6"/>
  <c r="BK94" i="6"/>
  <c r="BJ94" i="6"/>
  <c r="BI94" i="6"/>
  <c r="BH94" i="6"/>
  <c r="BG94" i="6"/>
  <c r="BF94" i="6"/>
  <c r="BE94" i="6"/>
  <c r="BD94" i="6"/>
  <c r="BL93" i="6"/>
  <c r="BK93" i="6"/>
  <c r="BJ93" i="6"/>
  <c r="BI93" i="6"/>
  <c r="BH93" i="6"/>
  <c r="BG93" i="6"/>
  <c r="BF93" i="6"/>
  <c r="BE93" i="6"/>
  <c r="BD93" i="6"/>
  <c r="BL92" i="6"/>
  <c r="BK92" i="6"/>
  <c r="BJ92" i="6"/>
  <c r="BI92" i="6"/>
  <c r="BH92" i="6"/>
  <c r="BG92" i="6"/>
  <c r="BF92" i="6"/>
  <c r="BE92" i="6"/>
  <c r="BD92" i="6"/>
  <c r="BL91" i="6"/>
  <c r="BK91" i="6"/>
  <c r="BJ91" i="6"/>
  <c r="BI91" i="6"/>
  <c r="BH91" i="6"/>
  <c r="BG91" i="6"/>
  <c r="BF91" i="6"/>
  <c r="BE91" i="6"/>
  <c r="BD91" i="6"/>
  <c r="BL90" i="6"/>
  <c r="BK90" i="6"/>
  <c r="BJ90" i="6"/>
  <c r="BI90" i="6"/>
  <c r="BH90" i="6"/>
  <c r="BG90" i="6"/>
  <c r="BF90" i="6"/>
  <c r="BE90" i="6"/>
  <c r="BD90" i="6"/>
  <c r="BL89" i="6"/>
  <c r="BK89" i="6"/>
  <c r="BJ89" i="6"/>
  <c r="BI89" i="6"/>
  <c r="BH89" i="6"/>
  <c r="BG89" i="6"/>
  <c r="BF89" i="6"/>
  <c r="BE89" i="6"/>
  <c r="BD89" i="6"/>
  <c r="BL88" i="6"/>
  <c r="BK88" i="6"/>
  <c r="BJ88" i="6"/>
  <c r="BI88" i="6"/>
  <c r="BH88" i="6"/>
  <c r="BG88" i="6"/>
  <c r="BF88" i="6"/>
  <c r="BE88" i="6"/>
  <c r="BD88" i="6"/>
  <c r="BL87" i="6"/>
  <c r="BK87" i="6"/>
  <c r="BJ87" i="6"/>
  <c r="BI87" i="6"/>
  <c r="BH87" i="6"/>
  <c r="BG87" i="6"/>
  <c r="BF87" i="6"/>
  <c r="BE87" i="6"/>
  <c r="BD87" i="6"/>
  <c r="BL86" i="6"/>
  <c r="BK86" i="6"/>
  <c r="BJ86" i="6"/>
  <c r="BI86" i="6"/>
  <c r="BH86" i="6"/>
  <c r="BG86" i="6"/>
  <c r="BF86" i="6"/>
  <c r="BE86" i="6"/>
  <c r="BD86" i="6"/>
  <c r="BL85" i="6"/>
  <c r="BK85" i="6"/>
  <c r="BJ85" i="6"/>
  <c r="BI85" i="6"/>
  <c r="BH85" i="6"/>
  <c r="BG85" i="6"/>
  <c r="BF85" i="6"/>
  <c r="BE85" i="6"/>
  <c r="BD85" i="6"/>
  <c r="BL84" i="6"/>
  <c r="BK84" i="6"/>
  <c r="BJ84" i="6"/>
  <c r="BI84" i="6"/>
  <c r="BH84" i="6"/>
  <c r="BG84" i="6"/>
  <c r="BF84" i="6"/>
  <c r="BE84" i="6"/>
  <c r="BD84" i="6"/>
  <c r="BL83" i="6"/>
  <c r="BK83" i="6"/>
  <c r="BJ83" i="6"/>
  <c r="BI83" i="6"/>
  <c r="BH83" i="6"/>
  <c r="BG83" i="6"/>
  <c r="BF83" i="6"/>
  <c r="BE83" i="6"/>
  <c r="BD83" i="6"/>
  <c r="BL82" i="6"/>
  <c r="BK82" i="6"/>
  <c r="BJ82" i="6"/>
  <c r="BI82" i="6"/>
  <c r="BH82" i="6"/>
  <c r="BG82" i="6"/>
  <c r="BF82" i="6"/>
  <c r="BE82" i="6"/>
  <c r="BD82" i="6"/>
  <c r="BL81" i="6"/>
  <c r="BK81" i="6"/>
  <c r="BJ81" i="6"/>
  <c r="BI81" i="6"/>
  <c r="BH81" i="6"/>
  <c r="BG81" i="6"/>
  <c r="BF81" i="6"/>
  <c r="BE81" i="6"/>
  <c r="BD81" i="6"/>
  <c r="BL80" i="6"/>
  <c r="BK80" i="6"/>
  <c r="BJ80" i="6"/>
  <c r="BI80" i="6"/>
  <c r="BH80" i="6"/>
  <c r="BG80" i="6"/>
  <c r="BF80" i="6"/>
  <c r="BE80" i="6"/>
  <c r="BD80" i="6"/>
  <c r="BL79" i="6"/>
  <c r="BK79" i="6"/>
  <c r="BJ79" i="6"/>
  <c r="BI79" i="6"/>
  <c r="BH79" i="6"/>
  <c r="BG79" i="6"/>
  <c r="BF79" i="6"/>
  <c r="BE79" i="6"/>
  <c r="BD79" i="6"/>
  <c r="BL78" i="6"/>
  <c r="BK78" i="6"/>
  <c r="BJ78" i="6"/>
  <c r="BI78" i="6"/>
  <c r="BH78" i="6"/>
  <c r="BG78" i="6"/>
  <c r="BF78" i="6"/>
  <c r="BE78" i="6"/>
  <c r="BD78" i="6"/>
  <c r="BL77" i="6"/>
  <c r="BK77" i="6"/>
  <c r="BJ77" i="6"/>
  <c r="BI77" i="6"/>
  <c r="BH77" i="6"/>
  <c r="BG77" i="6"/>
  <c r="BF77" i="6"/>
  <c r="BE77" i="6"/>
  <c r="BD77" i="6"/>
  <c r="BL76" i="6"/>
  <c r="BK76" i="6"/>
  <c r="BJ76" i="6"/>
  <c r="BI76" i="6"/>
  <c r="BH76" i="6"/>
  <c r="BG76" i="6"/>
  <c r="BF76" i="6"/>
  <c r="BE76" i="6"/>
  <c r="BD76" i="6"/>
  <c r="BL75" i="6"/>
  <c r="BK75" i="6"/>
  <c r="BJ75" i="6"/>
  <c r="BI75" i="6"/>
  <c r="BH75" i="6"/>
  <c r="BG75" i="6"/>
  <c r="BF75" i="6"/>
  <c r="BE75" i="6"/>
  <c r="BD75" i="6"/>
  <c r="BL74" i="6"/>
  <c r="BK74" i="6"/>
  <c r="BJ74" i="6"/>
  <c r="BI74" i="6"/>
  <c r="BH74" i="6"/>
  <c r="BG74" i="6"/>
  <c r="BF74" i="6"/>
  <c r="BE74" i="6"/>
  <c r="BD74" i="6"/>
  <c r="BL73" i="6"/>
  <c r="BK73" i="6"/>
  <c r="BJ73" i="6"/>
  <c r="BI73" i="6"/>
  <c r="BH73" i="6"/>
  <c r="BG73" i="6"/>
  <c r="BF73" i="6"/>
  <c r="BE73" i="6"/>
  <c r="BD73" i="6"/>
  <c r="BL72" i="6"/>
  <c r="BK72" i="6"/>
  <c r="BJ72" i="6"/>
  <c r="BI72" i="6"/>
  <c r="BH72" i="6"/>
  <c r="BG72" i="6"/>
  <c r="BF72" i="6"/>
  <c r="BE72" i="6"/>
  <c r="BD72" i="6"/>
  <c r="BL71" i="6"/>
  <c r="BK71" i="6"/>
  <c r="BJ71" i="6"/>
  <c r="BI71" i="6"/>
  <c r="BH71" i="6"/>
  <c r="BG71" i="6"/>
  <c r="BF71" i="6"/>
  <c r="BE71" i="6"/>
  <c r="BD71" i="6"/>
  <c r="BL70" i="6"/>
  <c r="BK70" i="6"/>
  <c r="BJ70" i="6"/>
  <c r="BI70" i="6"/>
  <c r="BH70" i="6"/>
  <c r="BG70" i="6"/>
  <c r="BF70" i="6"/>
  <c r="BE70" i="6"/>
  <c r="BD70" i="6"/>
  <c r="BL69" i="6"/>
  <c r="BK69" i="6"/>
  <c r="BJ69" i="6"/>
  <c r="BI69" i="6"/>
  <c r="BH69" i="6"/>
  <c r="BG69" i="6"/>
  <c r="BF69" i="6"/>
  <c r="BE69" i="6"/>
  <c r="BD69" i="6"/>
  <c r="BL68" i="6"/>
  <c r="BK68" i="6"/>
  <c r="BJ68" i="6"/>
  <c r="BI68" i="6"/>
  <c r="BH68" i="6"/>
  <c r="BG68" i="6"/>
  <c r="BF68" i="6"/>
  <c r="BE68" i="6"/>
  <c r="BD68" i="6"/>
  <c r="BL67" i="6"/>
  <c r="BK67" i="6"/>
  <c r="BJ67" i="6"/>
  <c r="BI67" i="6"/>
  <c r="BH67" i="6"/>
  <c r="BG67" i="6"/>
  <c r="BF67" i="6"/>
  <c r="BE67" i="6"/>
  <c r="BD67" i="6"/>
  <c r="BL66" i="6"/>
  <c r="BK66" i="6"/>
  <c r="BJ66" i="6"/>
  <c r="BI66" i="6"/>
  <c r="BH66" i="6"/>
  <c r="BG66" i="6"/>
  <c r="BF66" i="6"/>
  <c r="BE66" i="6"/>
  <c r="BD66" i="6"/>
  <c r="BL65" i="6"/>
  <c r="BK65" i="6"/>
  <c r="BJ65" i="6"/>
  <c r="BI65" i="6"/>
  <c r="BH65" i="6"/>
  <c r="BG65" i="6"/>
  <c r="BF65" i="6"/>
  <c r="BE65" i="6"/>
  <c r="BD65" i="6"/>
  <c r="BL64" i="6"/>
  <c r="BK64" i="6"/>
  <c r="BJ64" i="6"/>
  <c r="BI64" i="6"/>
  <c r="BH64" i="6"/>
  <c r="BG64" i="6"/>
  <c r="BF64" i="6"/>
  <c r="BE64" i="6"/>
  <c r="BD64" i="6"/>
  <c r="BL63" i="6"/>
  <c r="BK63" i="6"/>
  <c r="BJ63" i="6"/>
  <c r="BI63" i="6"/>
  <c r="BH63" i="6"/>
  <c r="BG63" i="6"/>
  <c r="BF63" i="6"/>
  <c r="BE63" i="6"/>
  <c r="BD63" i="6"/>
  <c r="BL62" i="6"/>
  <c r="BK62" i="6"/>
  <c r="BJ62" i="6"/>
  <c r="BI62" i="6"/>
  <c r="BH62" i="6"/>
  <c r="BG62" i="6"/>
  <c r="BF62" i="6"/>
  <c r="BE62" i="6"/>
  <c r="BD62" i="6"/>
  <c r="BL61" i="6"/>
  <c r="BK61" i="6"/>
  <c r="BJ61" i="6"/>
  <c r="BI61" i="6"/>
  <c r="BH61" i="6"/>
  <c r="BG61" i="6"/>
  <c r="BF61" i="6"/>
  <c r="BE61" i="6"/>
  <c r="BD61" i="6"/>
  <c r="BL60" i="6"/>
  <c r="BK60" i="6"/>
  <c r="BJ60" i="6"/>
  <c r="BI60" i="6"/>
  <c r="BH60" i="6"/>
  <c r="BG60" i="6"/>
  <c r="BF60" i="6"/>
  <c r="BE60" i="6"/>
  <c r="BD60" i="6"/>
  <c r="BL59" i="6"/>
  <c r="BK59" i="6"/>
  <c r="BJ59" i="6"/>
  <c r="BI59" i="6"/>
  <c r="BH59" i="6"/>
  <c r="BG59" i="6"/>
  <c r="BF59" i="6"/>
  <c r="BE59" i="6"/>
  <c r="BD59" i="6"/>
  <c r="BL58" i="6"/>
  <c r="BK58" i="6"/>
  <c r="BJ58" i="6"/>
  <c r="BI58" i="6"/>
  <c r="BH58" i="6"/>
  <c r="BG58" i="6"/>
  <c r="BF58" i="6"/>
  <c r="BE58" i="6"/>
  <c r="BD58" i="6"/>
  <c r="BL57" i="6"/>
  <c r="BK57" i="6"/>
  <c r="BJ57" i="6"/>
  <c r="BI57" i="6"/>
  <c r="BH57" i="6"/>
  <c r="BG57" i="6"/>
  <c r="BF57" i="6"/>
  <c r="BE57" i="6"/>
  <c r="BD57" i="6"/>
  <c r="BL56" i="6"/>
  <c r="BK56" i="6"/>
  <c r="BJ56" i="6"/>
  <c r="BI56" i="6"/>
  <c r="BH56" i="6"/>
  <c r="BG56" i="6"/>
  <c r="BF56" i="6"/>
  <c r="BE56" i="6"/>
  <c r="BD56" i="6"/>
  <c r="BL55" i="6"/>
  <c r="BK55" i="6"/>
  <c r="BJ55" i="6"/>
  <c r="BI55" i="6"/>
  <c r="BH55" i="6"/>
  <c r="BG55" i="6"/>
  <c r="BF55" i="6"/>
  <c r="BE55" i="6"/>
  <c r="BD55" i="6"/>
  <c r="BL54" i="6"/>
  <c r="BK54" i="6"/>
  <c r="BJ54" i="6"/>
  <c r="BI54" i="6"/>
  <c r="BH54" i="6"/>
  <c r="BG54" i="6"/>
  <c r="BF54" i="6"/>
  <c r="BE54" i="6"/>
  <c r="BD54" i="6"/>
  <c r="BL53" i="6"/>
  <c r="BK53" i="6"/>
  <c r="BJ53" i="6"/>
  <c r="BI53" i="6"/>
  <c r="BH53" i="6"/>
  <c r="BG53" i="6"/>
  <c r="BF53" i="6"/>
  <c r="BE53" i="6"/>
  <c r="BD53" i="6"/>
  <c r="BL52" i="6"/>
  <c r="BK52" i="6"/>
  <c r="BJ52" i="6"/>
  <c r="BI52" i="6"/>
  <c r="BH52" i="6"/>
  <c r="BG52" i="6"/>
  <c r="BF52" i="6"/>
  <c r="BE52" i="6"/>
  <c r="BD52" i="6"/>
  <c r="BL51" i="6"/>
  <c r="BK51" i="6"/>
  <c r="BJ51" i="6"/>
  <c r="BI51" i="6"/>
  <c r="BH51" i="6"/>
  <c r="BG51" i="6"/>
  <c r="BF51" i="6"/>
  <c r="BE51" i="6"/>
  <c r="BD51" i="6"/>
  <c r="BL50" i="6"/>
  <c r="BK50" i="6"/>
  <c r="BJ50" i="6"/>
  <c r="BI50" i="6"/>
  <c r="BH50" i="6"/>
  <c r="BG50" i="6"/>
  <c r="BF50" i="6"/>
  <c r="BE50" i="6"/>
  <c r="BD50" i="6"/>
  <c r="BL49" i="6"/>
  <c r="BK49" i="6"/>
  <c r="BJ49" i="6"/>
  <c r="BI49" i="6"/>
  <c r="BH49" i="6"/>
  <c r="BG49" i="6"/>
  <c r="BF49" i="6"/>
  <c r="BE49" i="6"/>
  <c r="BD49" i="6"/>
  <c r="BL48" i="6"/>
  <c r="BK48" i="6"/>
  <c r="BJ48" i="6"/>
  <c r="BI48" i="6"/>
  <c r="BH48" i="6"/>
  <c r="BG48" i="6"/>
  <c r="BF48" i="6"/>
  <c r="BE48" i="6"/>
  <c r="BD48" i="6"/>
  <c r="BL47" i="6"/>
  <c r="BK47" i="6"/>
  <c r="BJ47" i="6"/>
  <c r="BI47" i="6"/>
  <c r="BH47" i="6"/>
  <c r="BG47" i="6"/>
  <c r="BF47" i="6"/>
  <c r="BE47" i="6"/>
  <c r="BD47" i="6"/>
  <c r="BL46" i="6"/>
  <c r="BK46" i="6"/>
  <c r="BJ46" i="6"/>
  <c r="BI46" i="6"/>
  <c r="BH46" i="6"/>
  <c r="BG46" i="6"/>
  <c r="BF46" i="6"/>
  <c r="BE46" i="6"/>
  <c r="BD46" i="6"/>
  <c r="BL45" i="6"/>
  <c r="BK45" i="6"/>
  <c r="BJ45" i="6"/>
  <c r="BI45" i="6"/>
  <c r="BH45" i="6"/>
  <c r="BG45" i="6"/>
  <c r="BF45" i="6"/>
  <c r="BE45" i="6"/>
  <c r="BD45" i="6"/>
  <c r="BL44" i="6"/>
  <c r="BK44" i="6"/>
  <c r="BJ44" i="6"/>
  <c r="BI44" i="6"/>
  <c r="BH44" i="6"/>
  <c r="BG44" i="6"/>
  <c r="BF44" i="6"/>
  <c r="BE44" i="6"/>
  <c r="BD44" i="6"/>
  <c r="BL43" i="6"/>
  <c r="BK43" i="6"/>
  <c r="BJ43" i="6"/>
  <c r="BI43" i="6"/>
  <c r="BH43" i="6"/>
  <c r="BG43" i="6"/>
  <c r="BF43" i="6"/>
  <c r="BE43" i="6"/>
  <c r="BD43" i="6"/>
  <c r="BL42" i="6"/>
  <c r="BK42" i="6"/>
  <c r="BJ42" i="6"/>
  <c r="BI42" i="6"/>
  <c r="BH42" i="6"/>
  <c r="BG42" i="6"/>
  <c r="BF42" i="6"/>
  <c r="BE42" i="6"/>
  <c r="BD42" i="6"/>
  <c r="BL41" i="6"/>
  <c r="BK41" i="6"/>
  <c r="BJ41" i="6"/>
  <c r="BI41" i="6"/>
  <c r="BH41" i="6"/>
  <c r="BG41" i="6"/>
  <c r="BF41" i="6"/>
  <c r="BE41" i="6"/>
  <c r="BD41" i="6"/>
  <c r="BL40" i="6"/>
  <c r="BK40" i="6"/>
  <c r="BJ40" i="6"/>
  <c r="BI40" i="6"/>
  <c r="BH40" i="6"/>
  <c r="BG40" i="6"/>
  <c r="BF40" i="6"/>
  <c r="BE40" i="6"/>
  <c r="BD40" i="6"/>
  <c r="BL39" i="6"/>
  <c r="BK39" i="6"/>
  <c r="BJ39" i="6"/>
  <c r="BI39" i="6"/>
  <c r="BH39" i="6"/>
  <c r="BG39" i="6"/>
  <c r="BF39" i="6"/>
  <c r="BE39" i="6"/>
  <c r="BD39" i="6"/>
  <c r="BL38" i="6"/>
  <c r="BK38" i="6"/>
  <c r="BJ38" i="6"/>
  <c r="BI38" i="6"/>
  <c r="BH38" i="6"/>
  <c r="BG38" i="6"/>
  <c r="BF38" i="6"/>
  <c r="BE38" i="6"/>
  <c r="BD38" i="6"/>
  <c r="BL37" i="6"/>
  <c r="BK37" i="6"/>
  <c r="BJ37" i="6"/>
  <c r="BI37" i="6"/>
  <c r="BH37" i="6"/>
  <c r="BG37" i="6"/>
  <c r="BF37" i="6"/>
  <c r="BE37" i="6"/>
  <c r="BD37" i="6"/>
  <c r="BL36" i="6"/>
  <c r="BK36" i="6"/>
  <c r="BJ36" i="6"/>
  <c r="BI36" i="6"/>
  <c r="BH36" i="6"/>
  <c r="BG36" i="6"/>
  <c r="BF36" i="6"/>
  <c r="BE36" i="6"/>
  <c r="BD36" i="6"/>
  <c r="BL35" i="6"/>
  <c r="BK35" i="6"/>
  <c r="BJ35" i="6"/>
  <c r="BI35" i="6"/>
  <c r="BH35" i="6"/>
  <c r="BG35" i="6"/>
  <c r="BF35" i="6"/>
  <c r="BE35" i="6"/>
  <c r="BD35" i="6"/>
  <c r="BL34" i="6"/>
  <c r="BK34" i="6"/>
  <c r="BJ34" i="6"/>
  <c r="BI34" i="6"/>
  <c r="BH34" i="6"/>
  <c r="BG34" i="6"/>
  <c r="BF34" i="6"/>
  <c r="BE34" i="6"/>
  <c r="BD34" i="6"/>
  <c r="BL33" i="6"/>
  <c r="BK33" i="6"/>
  <c r="BJ33" i="6"/>
  <c r="BI33" i="6"/>
  <c r="BH33" i="6"/>
  <c r="BG33" i="6"/>
  <c r="BF33" i="6"/>
  <c r="BE33" i="6"/>
  <c r="BD33" i="6"/>
  <c r="BL32" i="6"/>
  <c r="BK32" i="6"/>
  <c r="BJ32" i="6"/>
  <c r="BI32" i="6"/>
  <c r="BH32" i="6"/>
  <c r="BG32" i="6"/>
  <c r="BF32" i="6"/>
  <c r="BE32" i="6"/>
  <c r="BD32" i="6"/>
  <c r="BL31" i="6"/>
  <c r="BK31" i="6"/>
  <c r="BJ31" i="6"/>
  <c r="BI31" i="6"/>
  <c r="BH31" i="6"/>
  <c r="BG31" i="6"/>
  <c r="BF31" i="6"/>
  <c r="BE31" i="6"/>
  <c r="BD31" i="6"/>
  <c r="BL30" i="6"/>
  <c r="BK30" i="6"/>
  <c r="BJ30" i="6"/>
  <c r="BI30" i="6"/>
  <c r="BH30" i="6"/>
  <c r="BG30" i="6"/>
  <c r="BF30" i="6"/>
  <c r="BE30" i="6"/>
  <c r="BD30" i="6"/>
  <c r="BL29" i="6"/>
  <c r="BK29" i="6"/>
  <c r="BJ29" i="6"/>
  <c r="BI29" i="6"/>
  <c r="BH29" i="6"/>
  <c r="BG29" i="6"/>
  <c r="BF29" i="6"/>
  <c r="BE29" i="6"/>
  <c r="BD29" i="6"/>
  <c r="BL28" i="6"/>
  <c r="BK28" i="6"/>
  <c r="BJ28" i="6"/>
  <c r="BI28" i="6"/>
  <c r="BH28" i="6"/>
  <c r="BG28" i="6"/>
  <c r="BF28" i="6"/>
  <c r="BE28" i="6"/>
  <c r="BD28" i="6"/>
  <c r="BL27" i="6"/>
  <c r="BK27" i="6"/>
  <c r="BJ27" i="6"/>
  <c r="BI27" i="6"/>
  <c r="BH27" i="6"/>
  <c r="BG27" i="6"/>
  <c r="BF27" i="6"/>
  <c r="BE27" i="6"/>
  <c r="BD27" i="6"/>
  <c r="BL26" i="6"/>
  <c r="BK26" i="6"/>
  <c r="BJ26" i="6"/>
  <c r="BI26" i="6"/>
  <c r="BH26" i="6"/>
  <c r="BG26" i="6"/>
  <c r="BF26" i="6"/>
  <c r="BE26" i="6"/>
  <c r="BD26" i="6"/>
  <c r="BL25" i="6"/>
  <c r="BK25" i="6"/>
  <c r="BJ25" i="6"/>
  <c r="BI25" i="6"/>
  <c r="BH25" i="6"/>
  <c r="BG25" i="6"/>
  <c r="BF25" i="6"/>
  <c r="BE25" i="6"/>
  <c r="BD25" i="6"/>
  <c r="BL24" i="6"/>
  <c r="BK24" i="6"/>
  <c r="BJ24" i="6"/>
  <c r="BI24" i="6"/>
  <c r="BH24" i="6"/>
  <c r="BG24" i="6"/>
  <c r="BF24" i="6"/>
  <c r="BE24" i="6"/>
  <c r="BD24" i="6"/>
  <c r="BL23" i="6"/>
  <c r="BK23" i="6"/>
  <c r="BJ23" i="6"/>
  <c r="BI23" i="6"/>
  <c r="BH23" i="6"/>
  <c r="BG23" i="6"/>
  <c r="BF23" i="6"/>
  <c r="BE23" i="6"/>
  <c r="BD23" i="6"/>
  <c r="BL22" i="6"/>
  <c r="BK22" i="6"/>
  <c r="BJ22" i="6"/>
  <c r="BI22" i="6"/>
  <c r="BH22" i="6"/>
  <c r="BG22" i="6"/>
  <c r="BF22" i="6"/>
  <c r="BE22" i="6"/>
  <c r="BD22" i="6"/>
  <c r="BL21" i="6"/>
  <c r="BK21" i="6"/>
  <c r="BJ21" i="6"/>
  <c r="BI21" i="6"/>
  <c r="BH21" i="6"/>
  <c r="BG21" i="6"/>
  <c r="BF21" i="6"/>
  <c r="BE21" i="6"/>
  <c r="BD21" i="6"/>
  <c r="BL20" i="6"/>
  <c r="BK20" i="6"/>
  <c r="BJ20" i="6"/>
  <c r="BI20" i="6"/>
  <c r="BH20" i="6"/>
  <c r="BG20" i="6"/>
  <c r="BF20" i="6"/>
  <c r="BE20" i="6"/>
  <c r="BD20" i="6"/>
  <c r="BL19" i="6"/>
  <c r="BK19" i="6"/>
  <c r="BJ19" i="6"/>
  <c r="BI19" i="6"/>
  <c r="BH19" i="6"/>
  <c r="BG19" i="6"/>
  <c r="BF19" i="6"/>
  <c r="BE19" i="6"/>
  <c r="BD19" i="6"/>
  <c r="BL18" i="6"/>
  <c r="BK18" i="6"/>
  <c r="BJ18" i="6"/>
  <c r="BI18" i="6"/>
  <c r="BH18" i="6"/>
  <c r="BG18" i="6"/>
  <c r="BF18" i="6"/>
  <c r="BE18" i="6"/>
  <c r="BD18" i="6"/>
  <c r="BL17" i="6"/>
  <c r="BK17" i="6"/>
  <c r="BJ17" i="6"/>
  <c r="BI17" i="6"/>
  <c r="BH17" i="6"/>
  <c r="BG17" i="6"/>
  <c r="BF17" i="6"/>
  <c r="BE17" i="6"/>
  <c r="BD17" i="6"/>
  <c r="BL16" i="6"/>
  <c r="BK16" i="6"/>
  <c r="BJ16" i="6"/>
  <c r="BI16" i="6"/>
  <c r="BH16" i="6"/>
  <c r="BG16" i="6"/>
  <c r="BF16" i="6"/>
  <c r="BE16" i="6"/>
  <c r="BD16" i="6"/>
  <c r="BL15" i="6"/>
  <c r="BK15" i="6"/>
  <c r="BJ15" i="6"/>
  <c r="BI15" i="6"/>
  <c r="BH15" i="6"/>
  <c r="BG15" i="6"/>
  <c r="BF15" i="6"/>
  <c r="BE15" i="6"/>
  <c r="BD15" i="6"/>
  <c r="BL14" i="6"/>
  <c r="BK14" i="6"/>
  <c r="BJ14" i="6"/>
  <c r="BI14" i="6"/>
  <c r="BH14" i="6"/>
  <c r="BG14" i="6"/>
  <c r="BF14" i="6"/>
  <c r="BE14" i="6"/>
  <c r="BD14" i="6"/>
  <c r="BL13" i="6"/>
  <c r="BK13" i="6"/>
  <c r="BJ13" i="6"/>
  <c r="BI13" i="6"/>
  <c r="BH13" i="6"/>
  <c r="BG13" i="6"/>
  <c r="BF13" i="6"/>
  <c r="BE13" i="6"/>
  <c r="BD13" i="6"/>
  <c r="BL12" i="6"/>
  <c r="BK12" i="6"/>
  <c r="BJ12" i="6"/>
  <c r="BI12" i="6"/>
  <c r="BH12" i="6"/>
  <c r="BG12" i="6"/>
  <c r="BF12" i="6"/>
  <c r="BE12" i="6"/>
  <c r="BD12" i="6"/>
  <c r="BL11" i="6"/>
  <c r="BK11" i="6"/>
  <c r="BJ11" i="6"/>
  <c r="BI11" i="6"/>
  <c r="BH11" i="6"/>
  <c r="BG11" i="6"/>
  <c r="BF11" i="6"/>
  <c r="BE11" i="6"/>
  <c r="BD11" i="6"/>
  <c r="BL10" i="6"/>
  <c r="BK10" i="6"/>
  <c r="BJ10" i="6"/>
  <c r="BI10" i="6"/>
  <c r="BH10" i="6"/>
  <c r="BG10" i="6"/>
  <c r="BF10" i="6"/>
  <c r="BE10" i="6"/>
  <c r="BD10" i="6"/>
  <c r="BL9" i="6"/>
  <c r="BK9" i="6"/>
  <c r="BJ9" i="6"/>
  <c r="BI9" i="6"/>
  <c r="BH9" i="6"/>
  <c r="BG9" i="6"/>
  <c r="BF9" i="6"/>
  <c r="BE9" i="6"/>
  <c r="BD9" i="6"/>
  <c r="BL8" i="6"/>
  <c r="BK8" i="6"/>
  <c r="BJ8" i="6"/>
  <c r="BI8" i="6"/>
  <c r="BH8" i="6"/>
  <c r="BG8" i="6"/>
  <c r="BF8" i="6"/>
  <c r="BE8" i="6"/>
  <c r="BD8" i="6"/>
  <c r="BL7" i="6"/>
  <c r="BK7" i="6"/>
  <c r="BJ7" i="6"/>
  <c r="BI7" i="6"/>
  <c r="BH7" i="6"/>
  <c r="BG7" i="6"/>
  <c r="BF7" i="6"/>
  <c r="BE7" i="6"/>
  <c r="BD7" i="6"/>
  <c r="BL6" i="6"/>
  <c r="BK6" i="6"/>
  <c r="BJ6" i="6"/>
  <c r="BI6" i="6"/>
  <c r="BH6" i="6"/>
  <c r="BG6" i="6"/>
  <c r="BF6" i="6"/>
  <c r="BE6" i="6"/>
  <c r="BD6" i="6"/>
  <c r="C225" i="6"/>
  <c r="C226" i="6"/>
  <c r="C227" i="6"/>
  <c r="C224" i="6"/>
  <c r="D2" i="23"/>
  <c r="H5" i="6" l="1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9" i="6"/>
  <c r="BC40" i="6"/>
  <c r="BC41" i="6"/>
  <c r="BC42" i="6"/>
  <c r="BC43" i="6"/>
  <c r="BC44" i="6"/>
  <c r="BC45" i="6"/>
  <c r="BC46" i="6"/>
  <c r="BC47" i="6"/>
  <c r="BC48" i="6"/>
  <c r="BC49" i="6"/>
  <c r="BC50" i="6"/>
  <c r="BC51" i="6"/>
  <c r="BC52" i="6"/>
  <c r="BC53" i="6"/>
  <c r="BC54" i="6"/>
  <c r="BC55" i="6"/>
  <c r="BC56" i="6"/>
  <c r="BC57" i="6"/>
  <c r="BC58" i="6"/>
  <c r="BC59" i="6"/>
  <c r="BC60" i="6"/>
  <c r="BC61" i="6"/>
  <c r="BC62" i="6"/>
  <c r="BC63" i="6"/>
  <c r="BC64" i="6"/>
  <c r="BC65" i="6"/>
  <c r="BC66" i="6"/>
  <c r="BC67" i="6"/>
  <c r="BC68" i="6"/>
  <c r="BC69" i="6"/>
  <c r="BC70" i="6"/>
  <c r="BC71" i="6"/>
  <c r="BC72" i="6"/>
  <c r="BC73" i="6"/>
  <c r="BC74" i="6"/>
  <c r="BC75" i="6"/>
  <c r="BC76" i="6"/>
  <c r="BC77" i="6"/>
  <c r="BC78" i="6"/>
  <c r="BC79" i="6"/>
  <c r="BC80" i="6"/>
  <c r="BC81" i="6"/>
  <c r="BC82" i="6"/>
  <c r="BC83" i="6"/>
  <c r="BC84" i="6"/>
  <c r="BC85" i="6"/>
  <c r="BC86" i="6"/>
  <c r="BC87" i="6"/>
  <c r="BC88" i="6"/>
  <c r="BC89" i="6"/>
  <c r="BC90" i="6"/>
  <c r="BC91" i="6"/>
  <c r="BC92" i="6"/>
  <c r="BC93" i="6"/>
  <c r="BC94" i="6"/>
  <c r="BC95" i="6"/>
  <c r="BC96" i="6"/>
  <c r="BC97" i="6"/>
  <c r="BC98" i="6"/>
  <c r="BC99" i="6"/>
  <c r="BC100" i="6"/>
  <c r="BC101" i="6"/>
  <c r="BC102" i="6"/>
  <c r="BC103" i="6"/>
  <c r="BC104" i="6"/>
  <c r="BC105" i="6"/>
  <c r="BC106" i="6"/>
  <c r="BC107" i="6"/>
  <c r="BC108" i="6"/>
  <c r="BC109" i="6"/>
  <c r="BC110" i="6"/>
  <c r="BC111" i="6"/>
  <c r="BC112" i="6"/>
  <c r="BC113" i="6"/>
  <c r="BC114" i="6"/>
  <c r="BC115" i="6"/>
  <c r="BC116" i="6"/>
  <c r="BC117" i="6"/>
  <c r="BC118" i="6"/>
  <c r="BC119" i="6"/>
  <c r="BC120" i="6"/>
  <c r="BC121" i="6"/>
  <c r="BC122" i="6"/>
  <c r="BC123" i="6"/>
  <c r="BC124" i="6"/>
  <c r="BC125" i="6"/>
  <c r="BC126" i="6"/>
  <c r="BC127" i="6"/>
  <c r="BC128" i="6"/>
  <c r="BC129" i="6"/>
  <c r="BC130" i="6"/>
  <c r="BC131" i="6"/>
  <c r="BC132" i="6"/>
  <c r="BC133" i="6"/>
  <c r="BC134" i="6"/>
  <c r="BC135" i="6"/>
  <c r="BC136" i="6"/>
  <c r="BC137" i="6"/>
  <c r="BC138" i="6"/>
  <c r="BC139" i="6"/>
  <c r="BC140" i="6"/>
  <c r="BC141" i="6"/>
  <c r="BC142" i="6"/>
  <c r="BC143" i="6"/>
  <c r="BC144" i="6"/>
  <c r="BC145" i="6"/>
  <c r="BC146" i="6"/>
  <c r="BC147" i="6"/>
  <c r="BC148" i="6"/>
  <c r="BC149" i="6"/>
  <c r="BC150" i="6"/>
  <c r="BC151" i="6"/>
  <c r="BC152" i="6"/>
  <c r="BC153" i="6"/>
  <c r="BC154" i="6"/>
  <c r="BC155" i="6"/>
  <c r="BC156" i="6"/>
  <c r="BC157" i="6"/>
  <c r="BC158" i="6"/>
  <c r="BC159" i="6"/>
  <c r="BC160" i="6"/>
  <c r="BC161" i="6"/>
  <c r="BC162" i="6"/>
  <c r="BC163" i="6"/>
  <c r="BC164" i="6"/>
  <c r="BC165" i="6"/>
  <c r="BC166" i="6"/>
  <c r="BC167" i="6"/>
  <c r="BC168" i="6"/>
  <c r="BC169" i="6"/>
  <c r="BC170" i="6"/>
  <c r="BC171" i="6"/>
  <c r="BC172" i="6"/>
  <c r="BC173" i="6"/>
  <c r="BC174" i="6"/>
  <c r="BC175" i="6"/>
  <c r="BC176" i="6"/>
  <c r="BC177" i="6"/>
  <c r="BC178" i="6"/>
  <c r="BC179" i="6"/>
  <c r="BC180" i="6"/>
  <c r="BC181" i="6"/>
  <c r="BC182" i="6"/>
  <c r="BC183" i="6"/>
  <c r="BC184" i="6"/>
  <c r="BC185" i="6"/>
  <c r="BC186" i="6"/>
  <c r="BC187" i="6"/>
  <c r="BC188" i="6"/>
  <c r="BC189" i="6"/>
  <c r="BC190" i="6"/>
  <c r="BC191" i="6"/>
  <c r="BC192" i="6"/>
  <c r="BC193" i="6"/>
  <c r="BC194" i="6"/>
  <c r="BC195" i="6"/>
  <c r="BC196" i="6"/>
  <c r="BC197" i="6"/>
  <c r="BC198" i="6"/>
  <c r="BC199" i="6"/>
  <c r="BC200" i="6"/>
  <c r="BC201" i="6"/>
  <c r="BC202" i="6"/>
  <c r="BC203" i="6"/>
  <c r="BC204" i="6"/>
  <c r="BC205" i="6"/>
  <c r="BC206" i="6"/>
  <c r="BC207" i="6"/>
  <c r="BC208" i="6"/>
  <c r="BC209" i="6"/>
  <c r="BC210" i="6"/>
  <c r="BC211" i="6"/>
  <c r="BC212" i="6"/>
  <c r="BC213" i="6"/>
  <c r="BC214" i="6"/>
  <c r="BC215" i="6"/>
  <c r="BC216" i="6"/>
  <c r="BC217" i="6"/>
  <c r="BC218" i="6"/>
  <c r="BC219" i="6"/>
  <c r="BC220" i="6"/>
  <c r="BC221" i="6"/>
  <c r="BC222" i="6"/>
  <c r="BC223" i="6"/>
  <c r="BC224" i="6"/>
  <c r="BC225" i="6"/>
  <c r="BC226" i="6"/>
  <c r="BC227" i="6"/>
  <c r="BC228" i="6"/>
  <c r="BC229" i="6"/>
  <c r="BC230" i="6"/>
  <c r="BC231" i="6"/>
  <c r="BC232" i="6"/>
  <c r="BC233" i="6"/>
  <c r="BC234" i="6"/>
  <c r="BC235" i="6"/>
  <c r="BC236" i="6"/>
  <c r="BC237" i="6"/>
  <c r="BC238" i="6"/>
  <c r="BC239" i="6"/>
  <c r="BC240" i="6"/>
  <c r="BC241" i="6"/>
  <c r="BC242" i="6"/>
  <c r="BC243" i="6"/>
  <c r="BC244" i="6"/>
  <c r="BC245" i="6"/>
  <c r="BC246" i="6"/>
  <c r="BC247" i="6"/>
  <c r="BC248" i="6"/>
  <c r="BC249" i="6"/>
  <c r="BC250" i="6"/>
  <c r="BC251" i="6"/>
  <c r="BC252" i="6"/>
  <c r="BC253" i="6"/>
  <c r="BC254" i="6"/>
  <c r="BC255" i="6"/>
  <c r="BC256" i="6"/>
  <c r="BC257" i="6"/>
  <c r="BC258" i="6"/>
  <c r="BC259" i="6"/>
  <c r="BC260" i="6"/>
  <c r="BC261" i="6"/>
  <c r="BC262" i="6"/>
  <c r="BC263" i="6"/>
  <c r="BC264" i="6"/>
  <c r="BC265" i="6"/>
  <c r="BC266" i="6"/>
  <c r="BC267" i="6"/>
  <c r="BC268" i="6"/>
  <c r="BC269" i="6"/>
  <c r="BC270" i="6"/>
  <c r="BC271" i="6"/>
  <c r="BC272" i="6"/>
  <c r="BC273" i="6"/>
  <c r="BC274" i="6"/>
  <c r="BC275" i="6"/>
  <c r="BC276" i="6"/>
  <c r="BC277" i="6"/>
  <c r="BC278" i="6"/>
  <c r="BC279" i="6"/>
  <c r="BC280" i="6"/>
  <c r="BC281" i="6"/>
  <c r="BC282" i="6"/>
  <c r="BC283" i="6"/>
  <c r="BC284" i="6"/>
  <c r="BC285" i="6"/>
  <c r="BC286" i="6"/>
  <c r="BC287" i="6"/>
  <c r="BC288" i="6"/>
  <c r="BC289" i="6"/>
  <c r="BC290" i="6"/>
  <c r="BC291" i="6"/>
  <c r="BC292" i="6"/>
  <c r="BC293" i="6"/>
  <c r="BC294" i="6"/>
  <c r="BC295" i="6"/>
  <c r="BC296" i="6"/>
  <c r="BC297" i="6"/>
  <c r="BC298" i="6"/>
  <c r="BC299" i="6"/>
  <c r="BC300" i="6"/>
  <c r="BC301" i="6"/>
  <c r="BC302" i="6"/>
  <c r="BC303" i="6"/>
  <c r="BC304" i="6"/>
  <c r="BC305" i="6"/>
  <c r="BC306" i="6"/>
  <c r="BC307" i="6"/>
  <c r="BC308" i="6"/>
  <c r="BC309" i="6"/>
  <c r="BC310" i="6"/>
  <c r="BC311" i="6"/>
  <c r="BC312" i="6"/>
  <c r="BC313" i="6"/>
  <c r="BC314" i="6"/>
  <c r="BC315" i="6"/>
  <c r="BC316" i="6"/>
  <c r="BC317" i="6"/>
  <c r="BC318" i="6"/>
  <c r="BC319" i="6"/>
  <c r="BC320" i="6"/>
  <c r="BC321" i="6"/>
  <c r="BC322" i="6"/>
  <c r="BC323" i="6"/>
  <c r="BC324" i="6"/>
  <c r="BC325" i="6"/>
  <c r="BC326" i="6"/>
  <c r="BC6" i="6"/>
  <c r="F65" i="10"/>
  <c r="U5" i="6" l="1"/>
  <c r="X5" i="6"/>
  <c r="Y5" i="6"/>
  <c r="Z5" i="6"/>
  <c r="AB5" i="6"/>
  <c r="AC5" i="6"/>
  <c r="AJ5" i="6"/>
  <c r="AL5" i="6"/>
  <c r="AM5" i="6"/>
  <c r="AN5" i="6"/>
  <c r="AO5" i="6"/>
  <c r="AP5" i="6"/>
  <c r="AQ5" i="6"/>
  <c r="AR5" i="6"/>
  <c r="AT5" i="6"/>
  <c r="AU5" i="6"/>
  <c r="AW5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  <c r="AA38" i="6"/>
  <c r="AA39" i="6"/>
  <c r="AA40" i="6"/>
  <c r="AA41" i="6"/>
  <c r="AA42" i="6"/>
  <c r="AA43" i="6"/>
  <c r="AA44" i="6"/>
  <c r="AA45" i="6"/>
  <c r="AA46" i="6"/>
  <c r="AA47" i="6"/>
  <c r="AA48" i="6"/>
  <c r="AA49" i="6"/>
  <c r="AA50" i="6"/>
  <c r="AA51" i="6"/>
  <c r="AA52" i="6"/>
  <c r="AA53" i="6"/>
  <c r="AA54" i="6"/>
  <c r="AA55" i="6"/>
  <c r="AA56" i="6"/>
  <c r="AA57" i="6"/>
  <c r="AA58" i="6"/>
  <c r="AA59" i="6"/>
  <c r="AA60" i="6"/>
  <c r="AA61" i="6"/>
  <c r="AA62" i="6"/>
  <c r="AA63" i="6"/>
  <c r="AA64" i="6"/>
  <c r="AA65" i="6"/>
  <c r="AA66" i="6"/>
  <c r="AA67" i="6"/>
  <c r="AA68" i="6"/>
  <c r="AA69" i="6"/>
  <c r="AA70" i="6"/>
  <c r="AA71" i="6"/>
  <c r="AA72" i="6"/>
  <c r="AA73" i="6"/>
  <c r="AA74" i="6"/>
  <c r="AA75" i="6"/>
  <c r="AA76" i="6"/>
  <c r="AA77" i="6"/>
  <c r="AA78" i="6"/>
  <c r="AA79" i="6"/>
  <c r="AA80" i="6"/>
  <c r="AA81" i="6"/>
  <c r="AA82" i="6"/>
  <c r="AA83" i="6"/>
  <c r="AA84" i="6"/>
  <c r="AA85" i="6"/>
  <c r="AA86" i="6"/>
  <c r="AA87" i="6"/>
  <c r="AA88" i="6"/>
  <c r="AA89" i="6"/>
  <c r="AA90" i="6"/>
  <c r="AA91" i="6"/>
  <c r="AA92" i="6"/>
  <c r="AA93" i="6"/>
  <c r="AA94" i="6"/>
  <c r="AA95" i="6"/>
  <c r="AA96" i="6"/>
  <c r="AA97" i="6"/>
  <c r="AA98" i="6"/>
  <c r="AA99" i="6"/>
  <c r="AA100" i="6"/>
  <c r="AA101" i="6"/>
  <c r="AA102" i="6"/>
  <c r="AA103" i="6"/>
  <c r="AA104" i="6"/>
  <c r="AA105" i="6"/>
  <c r="AA106" i="6"/>
  <c r="AA107" i="6"/>
  <c r="AA108" i="6"/>
  <c r="AA109" i="6"/>
  <c r="AA110" i="6"/>
  <c r="AA111" i="6"/>
  <c r="AA112" i="6"/>
  <c r="AA113" i="6"/>
  <c r="AA114" i="6"/>
  <c r="AA115" i="6"/>
  <c r="AA116" i="6"/>
  <c r="AA117" i="6"/>
  <c r="AA118" i="6"/>
  <c r="AA119" i="6"/>
  <c r="AA120" i="6"/>
  <c r="AA121" i="6"/>
  <c r="AA122" i="6"/>
  <c r="AA123" i="6"/>
  <c r="AA124" i="6"/>
  <c r="AA125" i="6"/>
  <c r="AA126" i="6"/>
  <c r="AA127" i="6"/>
  <c r="AA128" i="6"/>
  <c r="AA129" i="6"/>
  <c r="AA130" i="6"/>
  <c r="AA131" i="6"/>
  <c r="AA132" i="6"/>
  <c r="AA133" i="6"/>
  <c r="AA134" i="6"/>
  <c r="AA135" i="6"/>
  <c r="AA136" i="6"/>
  <c r="AA137" i="6"/>
  <c r="AA138" i="6"/>
  <c r="AA139" i="6"/>
  <c r="AA140" i="6"/>
  <c r="AA141" i="6"/>
  <c r="AA142" i="6"/>
  <c r="AA143" i="6"/>
  <c r="AA144" i="6"/>
  <c r="AA145" i="6"/>
  <c r="AA146" i="6"/>
  <c r="AA147" i="6"/>
  <c r="AA148" i="6"/>
  <c r="AA149" i="6"/>
  <c r="AA150" i="6"/>
  <c r="AA151" i="6"/>
  <c r="AA152" i="6"/>
  <c r="AA153" i="6"/>
  <c r="AA154" i="6"/>
  <c r="AA155" i="6"/>
  <c r="AA156" i="6"/>
  <c r="AA157" i="6"/>
  <c r="AA158" i="6"/>
  <c r="AA159" i="6"/>
  <c r="AA160" i="6"/>
  <c r="AA161" i="6"/>
  <c r="AA162" i="6"/>
  <c r="AA163" i="6"/>
  <c r="AA164" i="6"/>
  <c r="AA165" i="6"/>
  <c r="AA166" i="6"/>
  <c r="AA167" i="6"/>
  <c r="AA168" i="6"/>
  <c r="AA169" i="6"/>
  <c r="AA170" i="6"/>
  <c r="AA171" i="6"/>
  <c r="AA172" i="6"/>
  <c r="AA173" i="6"/>
  <c r="AA174" i="6"/>
  <c r="AA175" i="6"/>
  <c r="AA176" i="6"/>
  <c r="AA177" i="6"/>
  <c r="AA178" i="6"/>
  <c r="AA179" i="6"/>
  <c r="AA180" i="6"/>
  <c r="AA181" i="6"/>
  <c r="AA182" i="6"/>
  <c r="AA183" i="6"/>
  <c r="AA184" i="6"/>
  <c r="AA185" i="6"/>
  <c r="AA186" i="6"/>
  <c r="AA187" i="6"/>
  <c r="AA188" i="6"/>
  <c r="AA189" i="6"/>
  <c r="AA190" i="6"/>
  <c r="AA191" i="6"/>
  <c r="AA192" i="6"/>
  <c r="AA193" i="6"/>
  <c r="AA194" i="6"/>
  <c r="AA195" i="6"/>
  <c r="AA196" i="6"/>
  <c r="AA197" i="6"/>
  <c r="AA198" i="6"/>
  <c r="AA199" i="6"/>
  <c r="AA200" i="6"/>
  <c r="AA201" i="6"/>
  <c r="AA202" i="6"/>
  <c r="AA203" i="6"/>
  <c r="AA204" i="6"/>
  <c r="AA205" i="6"/>
  <c r="AA206" i="6"/>
  <c r="AA207" i="6"/>
  <c r="AA208" i="6"/>
  <c r="AA209" i="6"/>
  <c r="AA210" i="6"/>
  <c r="AA211" i="6"/>
  <c r="AA212" i="6"/>
  <c r="AA213" i="6"/>
  <c r="AA214" i="6"/>
  <c r="AA215" i="6"/>
  <c r="AA216" i="6"/>
  <c r="AA217" i="6"/>
  <c r="AA218" i="6"/>
  <c r="AA219" i="6"/>
  <c r="AA220" i="6"/>
  <c r="AA221" i="6"/>
  <c r="AA222" i="6"/>
  <c r="AA223" i="6"/>
  <c r="AA224" i="6"/>
  <c r="AA225" i="6"/>
  <c r="AA226" i="6"/>
  <c r="AA227" i="6"/>
  <c r="AA228" i="6"/>
  <c r="AA229" i="6"/>
  <c r="AA230" i="6"/>
  <c r="AA231" i="6"/>
  <c r="AA232" i="6"/>
  <c r="AA233" i="6"/>
  <c r="AA234" i="6"/>
  <c r="AA235" i="6"/>
  <c r="AA236" i="6"/>
  <c r="AA237" i="6"/>
  <c r="AA238" i="6"/>
  <c r="AA239" i="6"/>
  <c r="AA240" i="6"/>
  <c r="AA241" i="6"/>
  <c r="AA242" i="6"/>
  <c r="AA243" i="6"/>
  <c r="AA244" i="6"/>
  <c r="AA245" i="6"/>
  <c r="AA246" i="6"/>
  <c r="AA247" i="6"/>
  <c r="AA248" i="6"/>
  <c r="AA249" i="6"/>
  <c r="AA250" i="6"/>
  <c r="AA251" i="6"/>
  <c r="AA252" i="6"/>
  <c r="AA253" i="6"/>
  <c r="AA254" i="6"/>
  <c r="AA255" i="6"/>
  <c r="AA256" i="6"/>
  <c r="AA257" i="6"/>
  <c r="AA258" i="6"/>
  <c r="AA259" i="6"/>
  <c r="AA260" i="6"/>
  <c r="AA261" i="6"/>
  <c r="AA262" i="6"/>
  <c r="AA263" i="6"/>
  <c r="AA264" i="6"/>
  <c r="AA265" i="6"/>
  <c r="AA266" i="6"/>
  <c r="AA267" i="6"/>
  <c r="AA268" i="6"/>
  <c r="AA269" i="6"/>
  <c r="AA270" i="6"/>
  <c r="AA271" i="6"/>
  <c r="AA272" i="6"/>
  <c r="AA273" i="6"/>
  <c r="AA274" i="6"/>
  <c r="AA275" i="6"/>
  <c r="AA276" i="6"/>
  <c r="AA277" i="6"/>
  <c r="AA278" i="6"/>
  <c r="AA279" i="6"/>
  <c r="AA280" i="6"/>
  <c r="AA281" i="6"/>
  <c r="AA282" i="6"/>
  <c r="AA283" i="6"/>
  <c r="AA284" i="6"/>
  <c r="AA285" i="6"/>
  <c r="AA286" i="6"/>
  <c r="AA287" i="6"/>
  <c r="AA288" i="6"/>
  <c r="AA289" i="6"/>
  <c r="AA290" i="6"/>
  <c r="AA291" i="6"/>
  <c r="AA292" i="6"/>
  <c r="AA293" i="6"/>
  <c r="AA294" i="6"/>
  <c r="AA295" i="6"/>
  <c r="AA296" i="6"/>
  <c r="AA297" i="6"/>
  <c r="AA298" i="6"/>
  <c r="AA299" i="6"/>
  <c r="AA300" i="6"/>
  <c r="AA301" i="6"/>
  <c r="AA302" i="6"/>
  <c r="AA303" i="6"/>
  <c r="AA304" i="6"/>
  <c r="AA305" i="6"/>
  <c r="AA306" i="6"/>
  <c r="AA307" i="6"/>
  <c r="AA308" i="6"/>
  <c r="AA309" i="6"/>
  <c r="AA310" i="6"/>
  <c r="AA311" i="6"/>
  <c r="AA312" i="6"/>
  <c r="AA313" i="6"/>
  <c r="AA314" i="6"/>
  <c r="AA315" i="6"/>
  <c r="AA316" i="6"/>
  <c r="AA317" i="6"/>
  <c r="AA318" i="6"/>
  <c r="AA319" i="6"/>
  <c r="AA320" i="6"/>
  <c r="AA321" i="6"/>
  <c r="AA322" i="6"/>
  <c r="AA323" i="6"/>
  <c r="AA324" i="6"/>
  <c r="AA325" i="6"/>
  <c r="AA326" i="6"/>
  <c r="AA6" i="6"/>
  <c r="T7" i="6"/>
  <c r="V7" i="6"/>
  <c r="W7" i="6"/>
  <c r="AD7" i="6"/>
  <c r="AE7" i="6"/>
  <c r="AF7" i="6"/>
  <c r="AG7" i="6"/>
  <c r="AH7" i="6"/>
  <c r="AI7" i="6"/>
  <c r="AK7" i="6"/>
  <c r="AS7" i="6"/>
  <c r="AV7" i="6"/>
  <c r="AX7" i="6"/>
  <c r="AY7" i="6"/>
  <c r="AZ7" i="6"/>
  <c r="BA7" i="6"/>
  <c r="T8" i="6"/>
  <c r="V8" i="6"/>
  <c r="W8" i="6"/>
  <c r="AD8" i="6"/>
  <c r="AE8" i="6"/>
  <c r="AF8" i="6"/>
  <c r="AG8" i="6"/>
  <c r="AH8" i="6"/>
  <c r="AI8" i="6"/>
  <c r="AK8" i="6"/>
  <c r="AS8" i="6"/>
  <c r="AV8" i="6"/>
  <c r="AX8" i="6"/>
  <c r="AY8" i="6"/>
  <c r="AZ8" i="6"/>
  <c r="BA8" i="6"/>
  <c r="T9" i="6"/>
  <c r="V9" i="6"/>
  <c r="W9" i="6"/>
  <c r="AD9" i="6"/>
  <c r="AE9" i="6"/>
  <c r="AF9" i="6"/>
  <c r="AG9" i="6"/>
  <c r="AH9" i="6"/>
  <c r="AI9" i="6"/>
  <c r="AK9" i="6"/>
  <c r="AS9" i="6"/>
  <c r="AV9" i="6"/>
  <c r="AX9" i="6"/>
  <c r="AY9" i="6"/>
  <c r="AZ9" i="6"/>
  <c r="BA9" i="6"/>
  <c r="T10" i="6"/>
  <c r="V10" i="6"/>
  <c r="W10" i="6"/>
  <c r="AD10" i="6"/>
  <c r="AE10" i="6"/>
  <c r="AF10" i="6"/>
  <c r="AG10" i="6"/>
  <c r="AH10" i="6"/>
  <c r="AI10" i="6"/>
  <c r="AK10" i="6"/>
  <c r="AS10" i="6"/>
  <c r="AV10" i="6"/>
  <c r="AX10" i="6"/>
  <c r="AY10" i="6"/>
  <c r="AZ10" i="6"/>
  <c r="BA10" i="6"/>
  <c r="T11" i="6"/>
  <c r="V11" i="6"/>
  <c r="W11" i="6"/>
  <c r="AD11" i="6"/>
  <c r="AE11" i="6"/>
  <c r="AF11" i="6"/>
  <c r="AG11" i="6"/>
  <c r="AH11" i="6"/>
  <c r="AI11" i="6"/>
  <c r="AK11" i="6"/>
  <c r="AS11" i="6"/>
  <c r="AV11" i="6"/>
  <c r="AX11" i="6"/>
  <c r="AY11" i="6"/>
  <c r="AZ11" i="6"/>
  <c r="BA11" i="6"/>
  <c r="T12" i="6"/>
  <c r="V12" i="6"/>
  <c r="W12" i="6"/>
  <c r="AD12" i="6"/>
  <c r="AE12" i="6"/>
  <c r="AF12" i="6"/>
  <c r="AG12" i="6"/>
  <c r="AH12" i="6"/>
  <c r="AI12" i="6"/>
  <c r="AK12" i="6"/>
  <c r="AS12" i="6"/>
  <c r="AV12" i="6"/>
  <c r="AX12" i="6"/>
  <c r="AY12" i="6"/>
  <c r="AZ12" i="6"/>
  <c r="BA12" i="6"/>
  <c r="T13" i="6"/>
  <c r="V13" i="6"/>
  <c r="W13" i="6"/>
  <c r="AD13" i="6"/>
  <c r="AE13" i="6"/>
  <c r="AF13" i="6"/>
  <c r="AG13" i="6"/>
  <c r="AH13" i="6"/>
  <c r="AI13" i="6"/>
  <c r="AK13" i="6"/>
  <c r="AS13" i="6"/>
  <c r="AV13" i="6"/>
  <c r="AX13" i="6"/>
  <c r="AY13" i="6"/>
  <c r="AZ13" i="6"/>
  <c r="BA13" i="6"/>
  <c r="T14" i="6"/>
  <c r="V14" i="6"/>
  <c r="W14" i="6"/>
  <c r="AD14" i="6"/>
  <c r="AE14" i="6"/>
  <c r="AF14" i="6"/>
  <c r="AG14" i="6"/>
  <c r="AH14" i="6"/>
  <c r="AI14" i="6"/>
  <c r="AK14" i="6"/>
  <c r="AS14" i="6"/>
  <c r="AV14" i="6"/>
  <c r="AX14" i="6"/>
  <c r="AY14" i="6"/>
  <c r="AZ14" i="6"/>
  <c r="BA14" i="6"/>
  <c r="T15" i="6"/>
  <c r="V15" i="6"/>
  <c r="W15" i="6"/>
  <c r="AD15" i="6"/>
  <c r="AE15" i="6"/>
  <c r="AF15" i="6"/>
  <c r="AG15" i="6"/>
  <c r="AH15" i="6"/>
  <c r="AI15" i="6"/>
  <c r="AK15" i="6"/>
  <c r="AS15" i="6"/>
  <c r="AV15" i="6"/>
  <c r="AX15" i="6"/>
  <c r="AY15" i="6"/>
  <c r="AZ15" i="6"/>
  <c r="BA15" i="6"/>
  <c r="T16" i="6"/>
  <c r="V16" i="6"/>
  <c r="W16" i="6"/>
  <c r="AD16" i="6"/>
  <c r="AE16" i="6"/>
  <c r="AF16" i="6"/>
  <c r="AG16" i="6"/>
  <c r="AH16" i="6"/>
  <c r="AI16" i="6"/>
  <c r="AK16" i="6"/>
  <c r="AS16" i="6"/>
  <c r="AV16" i="6"/>
  <c r="AX16" i="6"/>
  <c r="AY16" i="6"/>
  <c r="AZ16" i="6"/>
  <c r="BA16" i="6"/>
  <c r="T17" i="6"/>
  <c r="V17" i="6"/>
  <c r="W17" i="6"/>
  <c r="AD17" i="6"/>
  <c r="AE17" i="6"/>
  <c r="AF17" i="6"/>
  <c r="AG17" i="6"/>
  <c r="AH17" i="6"/>
  <c r="AI17" i="6"/>
  <c r="AK17" i="6"/>
  <c r="AS17" i="6"/>
  <c r="AV17" i="6"/>
  <c r="AX17" i="6"/>
  <c r="AY17" i="6"/>
  <c r="AZ17" i="6"/>
  <c r="BA17" i="6"/>
  <c r="T18" i="6"/>
  <c r="V18" i="6"/>
  <c r="W18" i="6"/>
  <c r="AD18" i="6"/>
  <c r="AE18" i="6"/>
  <c r="AF18" i="6"/>
  <c r="AG18" i="6"/>
  <c r="AH18" i="6"/>
  <c r="AI18" i="6"/>
  <c r="AK18" i="6"/>
  <c r="AS18" i="6"/>
  <c r="AV18" i="6"/>
  <c r="AX18" i="6"/>
  <c r="AY18" i="6"/>
  <c r="AZ18" i="6"/>
  <c r="BA18" i="6"/>
  <c r="T19" i="6"/>
  <c r="V19" i="6"/>
  <c r="W19" i="6"/>
  <c r="AD19" i="6"/>
  <c r="AE19" i="6"/>
  <c r="AF19" i="6"/>
  <c r="AG19" i="6"/>
  <c r="AH19" i="6"/>
  <c r="AI19" i="6"/>
  <c r="AK19" i="6"/>
  <c r="AS19" i="6"/>
  <c r="AV19" i="6"/>
  <c r="AX19" i="6"/>
  <c r="AY19" i="6"/>
  <c r="AZ19" i="6"/>
  <c r="BA19" i="6"/>
  <c r="T20" i="6"/>
  <c r="V20" i="6"/>
  <c r="W20" i="6"/>
  <c r="AD20" i="6"/>
  <c r="AE20" i="6"/>
  <c r="AF20" i="6"/>
  <c r="AG20" i="6"/>
  <c r="AH20" i="6"/>
  <c r="AI20" i="6"/>
  <c r="AK20" i="6"/>
  <c r="AS20" i="6"/>
  <c r="AV20" i="6"/>
  <c r="AX20" i="6"/>
  <c r="AY20" i="6"/>
  <c r="AZ20" i="6"/>
  <c r="BA20" i="6"/>
  <c r="T21" i="6"/>
  <c r="V21" i="6"/>
  <c r="W21" i="6"/>
  <c r="AD21" i="6"/>
  <c r="AE21" i="6"/>
  <c r="AF21" i="6"/>
  <c r="AG21" i="6"/>
  <c r="AH21" i="6"/>
  <c r="AI21" i="6"/>
  <c r="AK21" i="6"/>
  <c r="AS21" i="6"/>
  <c r="AV21" i="6"/>
  <c r="AX21" i="6"/>
  <c r="AY21" i="6"/>
  <c r="AZ21" i="6"/>
  <c r="BA21" i="6"/>
  <c r="T22" i="6"/>
  <c r="V22" i="6"/>
  <c r="W22" i="6"/>
  <c r="AD22" i="6"/>
  <c r="AE22" i="6"/>
  <c r="AF22" i="6"/>
  <c r="AG22" i="6"/>
  <c r="AH22" i="6"/>
  <c r="AI22" i="6"/>
  <c r="AK22" i="6"/>
  <c r="AS22" i="6"/>
  <c r="AV22" i="6"/>
  <c r="AX22" i="6"/>
  <c r="AY22" i="6"/>
  <c r="AZ22" i="6"/>
  <c r="BA22" i="6"/>
  <c r="T23" i="6"/>
  <c r="V23" i="6"/>
  <c r="W23" i="6"/>
  <c r="AD23" i="6"/>
  <c r="AE23" i="6"/>
  <c r="AF23" i="6"/>
  <c r="AG23" i="6"/>
  <c r="AH23" i="6"/>
  <c r="AI23" i="6"/>
  <c r="AK23" i="6"/>
  <c r="AS23" i="6"/>
  <c r="AV23" i="6"/>
  <c r="AX23" i="6"/>
  <c r="AY23" i="6"/>
  <c r="AZ23" i="6"/>
  <c r="BA23" i="6"/>
  <c r="T24" i="6"/>
  <c r="V24" i="6"/>
  <c r="W24" i="6"/>
  <c r="AD24" i="6"/>
  <c r="AE24" i="6"/>
  <c r="AF24" i="6"/>
  <c r="AG24" i="6"/>
  <c r="AH24" i="6"/>
  <c r="AI24" i="6"/>
  <c r="AK24" i="6"/>
  <c r="AS24" i="6"/>
  <c r="AV24" i="6"/>
  <c r="AX24" i="6"/>
  <c r="AY24" i="6"/>
  <c r="AZ24" i="6"/>
  <c r="BA24" i="6"/>
  <c r="T25" i="6"/>
  <c r="V25" i="6"/>
  <c r="W25" i="6"/>
  <c r="AD25" i="6"/>
  <c r="AE25" i="6"/>
  <c r="AF25" i="6"/>
  <c r="AG25" i="6"/>
  <c r="AH25" i="6"/>
  <c r="AI25" i="6"/>
  <c r="AK25" i="6"/>
  <c r="AS25" i="6"/>
  <c r="AV25" i="6"/>
  <c r="AX25" i="6"/>
  <c r="AY25" i="6"/>
  <c r="AZ25" i="6"/>
  <c r="BA25" i="6"/>
  <c r="T26" i="6"/>
  <c r="V26" i="6"/>
  <c r="W26" i="6"/>
  <c r="AD26" i="6"/>
  <c r="AE26" i="6"/>
  <c r="AF26" i="6"/>
  <c r="AG26" i="6"/>
  <c r="AH26" i="6"/>
  <c r="AI26" i="6"/>
  <c r="AK26" i="6"/>
  <c r="AS26" i="6"/>
  <c r="AV26" i="6"/>
  <c r="AX26" i="6"/>
  <c r="AY26" i="6"/>
  <c r="AZ26" i="6"/>
  <c r="BA26" i="6"/>
  <c r="T27" i="6"/>
  <c r="V27" i="6"/>
  <c r="W27" i="6"/>
  <c r="AD27" i="6"/>
  <c r="AE27" i="6"/>
  <c r="AF27" i="6"/>
  <c r="AG27" i="6"/>
  <c r="AH27" i="6"/>
  <c r="AI27" i="6"/>
  <c r="AK27" i="6"/>
  <c r="AS27" i="6"/>
  <c r="AV27" i="6"/>
  <c r="AX27" i="6"/>
  <c r="AY27" i="6"/>
  <c r="AZ27" i="6"/>
  <c r="BA27" i="6"/>
  <c r="T28" i="6"/>
  <c r="V28" i="6"/>
  <c r="W28" i="6"/>
  <c r="AD28" i="6"/>
  <c r="AE28" i="6"/>
  <c r="AF28" i="6"/>
  <c r="AG28" i="6"/>
  <c r="AH28" i="6"/>
  <c r="AI28" i="6"/>
  <c r="AK28" i="6"/>
  <c r="AS28" i="6"/>
  <c r="AV28" i="6"/>
  <c r="AX28" i="6"/>
  <c r="AY28" i="6"/>
  <c r="AZ28" i="6"/>
  <c r="BA28" i="6"/>
  <c r="T29" i="6"/>
  <c r="V29" i="6"/>
  <c r="W29" i="6"/>
  <c r="AD29" i="6"/>
  <c r="AE29" i="6"/>
  <c r="AF29" i="6"/>
  <c r="AG29" i="6"/>
  <c r="AH29" i="6"/>
  <c r="AI29" i="6"/>
  <c r="AK29" i="6"/>
  <c r="AS29" i="6"/>
  <c r="AV29" i="6"/>
  <c r="AX29" i="6"/>
  <c r="AY29" i="6"/>
  <c r="AZ29" i="6"/>
  <c r="BA29" i="6"/>
  <c r="T30" i="6"/>
  <c r="V30" i="6"/>
  <c r="W30" i="6"/>
  <c r="AD30" i="6"/>
  <c r="AE30" i="6"/>
  <c r="AF30" i="6"/>
  <c r="AG30" i="6"/>
  <c r="AH30" i="6"/>
  <c r="AI30" i="6"/>
  <c r="AK30" i="6"/>
  <c r="AS30" i="6"/>
  <c r="AV30" i="6"/>
  <c r="AX30" i="6"/>
  <c r="AY30" i="6"/>
  <c r="AZ30" i="6"/>
  <c r="BA30" i="6"/>
  <c r="T31" i="6"/>
  <c r="V31" i="6"/>
  <c r="W31" i="6"/>
  <c r="AD31" i="6"/>
  <c r="AE31" i="6"/>
  <c r="AF31" i="6"/>
  <c r="AG31" i="6"/>
  <c r="AH31" i="6"/>
  <c r="AI31" i="6"/>
  <c r="AK31" i="6"/>
  <c r="AS31" i="6"/>
  <c r="AV31" i="6"/>
  <c r="AX31" i="6"/>
  <c r="AY31" i="6"/>
  <c r="AZ31" i="6"/>
  <c r="BA31" i="6"/>
  <c r="T32" i="6"/>
  <c r="V32" i="6"/>
  <c r="W32" i="6"/>
  <c r="AD32" i="6"/>
  <c r="AE32" i="6"/>
  <c r="AF32" i="6"/>
  <c r="AG32" i="6"/>
  <c r="AH32" i="6"/>
  <c r="AI32" i="6"/>
  <c r="AK32" i="6"/>
  <c r="AS32" i="6"/>
  <c r="AV32" i="6"/>
  <c r="AX32" i="6"/>
  <c r="AY32" i="6"/>
  <c r="AZ32" i="6"/>
  <c r="BA32" i="6"/>
  <c r="T33" i="6"/>
  <c r="V33" i="6"/>
  <c r="W33" i="6"/>
  <c r="AD33" i="6"/>
  <c r="AE33" i="6"/>
  <c r="AF33" i="6"/>
  <c r="AG33" i="6"/>
  <c r="AH33" i="6"/>
  <c r="AI33" i="6"/>
  <c r="AK33" i="6"/>
  <c r="AS33" i="6"/>
  <c r="AV33" i="6"/>
  <c r="AX33" i="6"/>
  <c r="AY33" i="6"/>
  <c r="AZ33" i="6"/>
  <c r="BA33" i="6"/>
  <c r="T34" i="6"/>
  <c r="V34" i="6"/>
  <c r="W34" i="6"/>
  <c r="AD34" i="6"/>
  <c r="AE34" i="6"/>
  <c r="AF34" i="6"/>
  <c r="AG34" i="6"/>
  <c r="AH34" i="6"/>
  <c r="AI34" i="6"/>
  <c r="AK34" i="6"/>
  <c r="AS34" i="6"/>
  <c r="AV34" i="6"/>
  <c r="AX34" i="6"/>
  <c r="AY34" i="6"/>
  <c r="AZ34" i="6"/>
  <c r="BA34" i="6"/>
  <c r="T35" i="6"/>
  <c r="V35" i="6"/>
  <c r="W35" i="6"/>
  <c r="AD35" i="6"/>
  <c r="AE35" i="6"/>
  <c r="AF35" i="6"/>
  <c r="AG35" i="6"/>
  <c r="AH35" i="6"/>
  <c r="AI35" i="6"/>
  <c r="AK35" i="6"/>
  <c r="AS35" i="6"/>
  <c r="AV35" i="6"/>
  <c r="AX35" i="6"/>
  <c r="AY35" i="6"/>
  <c r="AZ35" i="6"/>
  <c r="BA35" i="6"/>
  <c r="T36" i="6"/>
  <c r="V36" i="6"/>
  <c r="W36" i="6"/>
  <c r="AD36" i="6"/>
  <c r="AE36" i="6"/>
  <c r="AF36" i="6"/>
  <c r="AG36" i="6"/>
  <c r="AH36" i="6"/>
  <c r="AI36" i="6"/>
  <c r="AK36" i="6"/>
  <c r="AS36" i="6"/>
  <c r="AV36" i="6"/>
  <c r="AX36" i="6"/>
  <c r="AY36" i="6"/>
  <c r="AZ36" i="6"/>
  <c r="BA36" i="6"/>
  <c r="T37" i="6"/>
  <c r="V37" i="6"/>
  <c r="W37" i="6"/>
  <c r="AD37" i="6"/>
  <c r="AE37" i="6"/>
  <c r="AF37" i="6"/>
  <c r="AG37" i="6"/>
  <c r="AH37" i="6"/>
  <c r="AI37" i="6"/>
  <c r="AK37" i="6"/>
  <c r="AS37" i="6"/>
  <c r="AV37" i="6"/>
  <c r="AX37" i="6"/>
  <c r="AY37" i="6"/>
  <c r="AZ37" i="6"/>
  <c r="BA37" i="6"/>
  <c r="T38" i="6"/>
  <c r="V38" i="6"/>
  <c r="W38" i="6"/>
  <c r="AD38" i="6"/>
  <c r="AE38" i="6"/>
  <c r="AF38" i="6"/>
  <c r="AG38" i="6"/>
  <c r="AH38" i="6"/>
  <c r="AI38" i="6"/>
  <c r="AK38" i="6"/>
  <c r="AS38" i="6"/>
  <c r="AV38" i="6"/>
  <c r="AX38" i="6"/>
  <c r="AY38" i="6"/>
  <c r="AZ38" i="6"/>
  <c r="BA38" i="6"/>
  <c r="T39" i="6"/>
  <c r="V39" i="6"/>
  <c r="W39" i="6"/>
  <c r="AD39" i="6"/>
  <c r="AE39" i="6"/>
  <c r="AF39" i="6"/>
  <c r="AG39" i="6"/>
  <c r="AH39" i="6"/>
  <c r="AI39" i="6"/>
  <c r="AK39" i="6"/>
  <c r="AS39" i="6"/>
  <c r="AV39" i="6"/>
  <c r="AX39" i="6"/>
  <c r="AY39" i="6"/>
  <c r="AZ39" i="6"/>
  <c r="BA39" i="6"/>
  <c r="T40" i="6"/>
  <c r="V40" i="6"/>
  <c r="W40" i="6"/>
  <c r="AD40" i="6"/>
  <c r="AE40" i="6"/>
  <c r="AF40" i="6"/>
  <c r="AG40" i="6"/>
  <c r="AH40" i="6"/>
  <c r="AI40" i="6"/>
  <c r="AK40" i="6"/>
  <c r="AS40" i="6"/>
  <c r="AV40" i="6"/>
  <c r="AX40" i="6"/>
  <c r="AY40" i="6"/>
  <c r="AZ40" i="6"/>
  <c r="BA40" i="6"/>
  <c r="T41" i="6"/>
  <c r="V41" i="6"/>
  <c r="W41" i="6"/>
  <c r="AD41" i="6"/>
  <c r="AE41" i="6"/>
  <c r="AF41" i="6"/>
  <c r="AG41" i="6"/>
  <c r="AH41" i="6"/>
  <c r="AI41" i="6"/>
  <c r="AK41" i="6"/>
  <c r="AS41" i="6"/>
  <c r="AV41" i="6"/>
  <c r="AX41" i="6"/>
  <c r="AY41" i="6"/>
  <c r="AZ41" i="6"/>
  <c r="BA41" i="6"/>
  <c r="T42" i="6"/>
  <c r="V42" i="6"/>
  <c r="W42" i="6"/>
  <c r="AD42" i="6"/>
  <c r="AE42" i="6"/>
  <c r="AF42" i="6"/>
  <c r="AG42" i="6"/>
  <c r="AH42" i="6"/>
  <c r="AI42" i="6"/>
  <c r="AK42" i="6"/>
  <c r="AS42" i="6"/>
  <c r="AV42" i="6"/>
  <c r="AX42" i="6"/>
  <c r="AY42" i="6"/>
  <c r="AZ42" i="6"/>
  <c r="BA42" i="6"/>
  <c r="T43" i="6"/>
  <c r="V43" i="6"/>
  <c r="W43" i="6"/>
  <c r="AD43" i="6"/>
  <c r="AE43" i="6"/>
  <c r="AF43" i="6"/>
  <c r="AG43" i="6"/>
  <c r="AH43" i="6"/>
  <c r="AI43" i="6"/>
  <c r="AK43" i="6"/>
  <c r="AS43" i="6"/>
  <c r="AV43" i="6"/>
  <c r="AX43" i="6"/>
  <c r="AY43" i="6"/>
  <c r="AZ43" i="6"/>
  <c r="BA43" i="6"/>
  <c r="T44" i="6"/>
  <c r="V44" i="6"/>
  <c r="W44" i="6"/>
  <c r="AD44" i="6"/>
  <c r="AE44" i="6"/>
  <c r="AF44" i="6"/>
  <c r="AG44" i="6"/>
  <c r="AH44" i="6"/>
  <c r="AI44" i="6"/>
  <c r="AK44" i="6"/>
  <c r="AS44" i="6"/>
  <c r="AV44" i="6"/>
  <c r="AX44" i="6"/>
  <c r="AY44" i="6"/>
  <c r="AZ44" i="6"/>
  <c r="BA44" i="6"/>
  <c r="T45" i="6"/>
  <c r="V45" i="6"/>
  <c r="W45" i="6"/>
  <c r="AD45" i="6"/>
  <c r="AE45" i="6"/>
  <c r="AF45" i="6"/>
  <c r="AG45" i="6"/>
  <c r="AH45" i="6"/>
  <c r="AI45" i="6"/>
  <c r="AK45" i="6"/>
  <c r="AS45" i="6"/>
  <c r="AV45" i="6"/>
  <c r="AX45" i="6"/>
  <c r="AY45" i="6"/>
  <c r="AZ45" i="6"/>
  <c r="BA45" i="6"/>
  <c r="T46" i="6"/>
  <c r="V46" i="6"/>
  <c r="W46" i="6"/>
  <c r="AD46" i="6"/>
  <c r="AE46" i="6"/>
  <c r="AF46" i="6"/>
  <c r="AG46" i="6"/>
  <c r="AH46" i="6"/>
  <c r="AI46" i="6"/>
  <c r="AK46" i="6"/>
  <c r="AS46" i="6"/>
  <c r="AV46" i="6"/>
  <c r="AX46" i="6"/>
  <c r="AY46" i="6"/>
  <c r="AZ46" i="6"/>
  <c r="BA46" i="6"/>
  <c r="T47" i="6"/>
  <c r="V47" i="6"/>
  <c r="W47" i="6"/>
  <c r="AD47" i="6"/>
  <c r="AE47" i="6"/>
  <c r="AF47" i="6"/>
  <c r="AG47" i="6"/>
  <c r="AH47" i="6"/>
  <c r="AI47" i="6"/>
  <c r="AK47" i="6"/>
  <c r="AS47" i="6"/>
  <c r="AV47" i="6"/>
  <c r="AX47" i="6"/>
  <c r="AY47" i="6"/>
  <c r="AZ47" i="6"/>
  <c r="BA47" i="6"/>
  <c r="T48" i="6"/>
  <c r="V48" i="6"/>
  <c r="W48" i="6"/>
  <c r="AD48" i="6"/>
  <c r="AE48" i="6"/>
  <c r="AF48" i="6"/>
  <c r="AG48" i="6"/>
  <c r="AH48" i="6"/>
  <c r="AI48" i="6"/>
  <c r="AK48" i="6"/>
  <c r="AS48" i="6"/>
  <c r="AV48" i="6"/>
  <c r="AX48" i="6"/>
  <c r="AY48" i="6"/>
  <c r="AZ48" i="6"/>
  <c r="BA48" i="6"/>
  <c r="T49" i="6"/>
  <c r="V49" i="6"/>
  <c r="W49" i="6"/>
  <c r="AD49" i="6"/>
  <c r="AE49" i="6"/>
  <c r="AF49" i="6"/>
  <c r="AG49" i="6"/>
  <c r="AH49" i="6"/>
  <c r="AI49" i="6"/>
  <c r="AK49" i="6"/>
  <c r="AS49" i="6"/>
  <c r="AV49" i="6"/>
  <c r="AX49" i="6"/>
  <c r="AY49" i="6"/>
  <c r="AZ49" i="6"/>
  <c r="BA49" i="6"/>
  <c r="T50" i="6"/>
  <c r="V50" i="6"/>
  <c r="W50" i="6"/>
  <c r="AD50" i="6"/>
  <c r="AE50" i="6"/>
  <c r="AF50" i="6"/>
  <c r="AG50" i="6"/>
  <c r="AH50" i="6"/>
  <c r="AI50" i="6"/>
  <c r="AK50" i="6"/>
  <c r="AS50" i="6"/>
  <c r="AV50" i="6"/>
  <c r="AX50" i="6"/>
  <c r="AY50" i="6"/>
  <c r="AZ50" i="6"/>
  <c r="BA50" i="6"/>
  <c r="T51" i="6"/>
  <c r="V51" i="6"/>
  <c r="W51" i="6"/>
  <c r="AD51" i="6"/>
  <c r="AE51" i="6"/>
  <c r="AF51" i="6"/>
  <c r="AG51" i="6"/>
  <c r="AH51" i="6"/>
  <c r="AI51" i="6"/>
  <c r="AK51" i="6"/>
  <c r="AS51" i="6"/>
  <c r="AV51" i="6"/>
  <c r="AX51" i="6"/>
  <c r="AY51" i="6"/>
  <c r="AZ51" i="6"/>
  <c r="BA51" i="6"/>
  <c r="T52" i="6"/>
  <c r="V52" i="6"/>
  <c r="W52" i="6"/>
  <c r="AD52" i="6"/>
  <c r="AE52" i="6"/>
  <c r="AF52" i="6"/>
  <c r="AG52" i="6"/>
  <c r="AH52" i="6"/>
  <c r="AI52" i="6"/>
  <c r="AK52" i="6"/>
  <c r="AS52" i="6"/>
  <c r="AV52" i="6"/>
  <c r="AX52" i="6"/>
  <c r="AY52" i="6"/>
  <c r="AZ52" i="6"/>
  <c r="BA52" i="6"/>
  <c r="T53" i="6"/>
  <c r="V53" i="6"/>
  <c r="W53" i="6"/>
  <c r="AD53" i="6"/>
  <c r="AE53" i="6"/>
  <c r="AF53" i="6"/>
  <c r="AG53" i="6"/>
  <c r="AH53" i="6"/>
  <c r="AI53" i="6"/>
  <c r="AK53" i="6"/>
  <c r="AS53" i="6"/>
  <c r="AV53" i="6"/>
  <c r="AX53" i="6"/>
  <c r="AY53" i="6"/>
  <c r="AZ53" i="6"/>
  <c r="BA53" i="6"/>
  <c r="T54" i="6"/>
  <c r="V54" i="6"/>
  <c r="W54" i="6"/>
  <c r="AD54" i="6"/>
  <c r="AE54" i="6"/>
  <c r="AF54" i="6"/>
  <c r="AG54" i="6"/>
  <c r="AH54" i="6"/>
  <c r="AI54" i="6"/>
  <c r="AK54" i="6"/>
  <c r="AS54" i="6"/>
  <c r="AV54" i="6"/>
  <c r="AX54" i="6"/>
  <c r="AY54" i="6"/>
  <c r="AZ54" i="6"/>
  <c r="BA54" i="6"/>
  <c r="T55" i="6"/>
  <c r="V55" i="6"/>
  <c r="W55" i="6"/>
  <c r="AD55" i="6"/>
  <c r="AE55" i="6"/>
  <c r="AF55" i="6"/>
  <c r="AG55" i="6"/>
  <c r="AH55" i="6"/>
  <c r="AI55" i="6"/>
  <c r="AK55" i="6"/>
  <c r="AS55" i="6"/>
  <c r="AV55" i="6"/>
  <c r="AX55" i="6"/>
  <c r="AY55" i="6"/>
  <c r="AZ55" i="6"/>
  <c r="BA55" i="6"/>
  <c r="T56" i="6"/>
  <c r="V56" i="6"/>
  <c r="W56" i="6"/>
  <c r="AD56" i="6"/>
  <c r="AE56" i="6"/>
  <c r="AF56" i="6"/>
  <c r="AG56" i="6"/>
  <c r="AH56" i="6"/>
  <c r="AI56" i="6"/>
  <c r="AK56" i="6"/>
  <c r="AS56" i="6"/>
  <c r="AV56" i="6"/>
  <c r="AX56" i="6"/>
  <c r="AY56" i="6"/>
  <c r="AZ56" i="6"/>
  <c r="BA56" i="6"/>
  <c r="T57" i="6"/>
  <c r="V57" i="6"/>
  <c r="W57" i="6"/>
  <c r="AD57" i="6"/>
  <c r="AE57" i="6"/>
  <c r="AF57" i="6"/>
  <c r="AG57" i="6"/>
  <c r="AH57" i="6"/>
  <c r="AI57" i="6"/>
  <c r="AK57" i="6"/>
  <c r="AS57" i="6"/>
  <c r="AV57" i="6"/>
  <c r="AX57" i="6"/>
  <c r="AY57" i="6"/>
  <c r="AZ57" i="6"/>
  <c r="BA57" i="6"/>
  <c r="T58" i="6"/>
  <c r="V58" i="6"/>
  <c r="W58" i="6"/>
  <c r="AD58" i="6"/>
  <c r="AE58" i="6"/>
  <c r="AF58" i="6"/>
  <c r="AG58" i="6"/>
  <c r="AH58" i="6"/>
  <c r="AI58" i="6"/>
  <c r="AK58" i="6"/>
  <c r="AS58" i="6"/>
  <c r="AV58" i="6"/>
  <c r="AX58" i="6"/>
  <c r="AY58" i="6"/>
  <c r="AZ58" i="6"/>
  <c r="BA58" i="6"/>
  <c r="T59" i="6"/>
  <c r="V59" i="6"/>
  <c r="W59" i="6"/>
  <c r="AD59" i="6"/>
  <c r="AE59" i="6"/>
  <c r="AF59" i="6"/>
  <c r="AG59" i="6"/>
  <c r="AH59" i="6"/>
  <c r="AI59" i="6"/>
  <c r="AK59" i="6"/>
  <c r="AS59" i="6"/>
  <c r="AV59" i="6"/>
  <c r="AX59" i="6"/>
  <c r="AY59" i="6"/>
  <c r="AZ59" i="6"/>
  <c r="BA59" i="6"/>
  <c r="T60" i="6"/>
  <c r="V60" i="6"/>
  <c r="W60" i="6"/>
  <c r="AD60" i="6"/>
  <c r="AE60" i="6"/>
  <c r="AF60" i="6"/>
  <c r="AG60" i="6"/>
  <c r="AH60" i="6"/>
  <c r="AI60" i="6"/>
  <c r="AK60" i="6"/>
  <c r="AS60" i="6"/>
  <c r="AV60" i="6"/>
  <c r="AX60" i="6"/>
  <c r="AY60" i="6"/>
  <c r="AZ60" i="6"/>
  <c r="BA60" i="6"/>
  <c r="T61" i="6"/>
  <c r="V61" i="6"/>
  <c r="W61" i="6"/>
  <c r="AD61" i="6"/>
  <c r="AE61" i="6"/>
  <c r="AF61" i="6"/>
  <c r="AG61" i="6"/>
  <c r="AH61" i="6"/>
  <c r="AI61" i="6"/>
  <c r="AK61" i="6"/>
  <c r="AS61" i="6"/>
  <c r="AV61" i="6"/>
  <c r="AX61" i="6"/>
  <c r="AY61" i="6"/>
  <c r="AZ61" i="6"/>
  <c r="BA61" i="6"/>
  <c r="T62" i="6"/>
  <c r="V62" i="6"/>
  <c r="W62" i="6"/>
  <c r="AD62" i="6"/>
  <c r="AE62" i="6"/>
  <c r="AF62" i="6"/>
  <c r="AG62" i="6"/>
  <c r="AH62" i="6"/>
  <c r="AI62" i="6"/>
  <c r="AK62" i="6"/>
  <c r="AS62" i="6"/>
  <c r="AV62" i="6"/>
  <c r="AX62" i="6"/>
  <c r="AY62" i="6"/>
  <c r="AZ62" i="6"/>
  <c r="BA62" i="6"/>
  <c r="T63" i="6"/>
  <c r="V63" i="6"/>
  <c r="W63" i="6"/>
  <c r="AD63" i="6"/>
  <c r="AE63" i="6"/>
  <c r="AF63" i="6"/>
  <c r="AG63" i="6"/>
  <c r="AH63" i="6"/>
  <c r="AI63" i="6"/>
  <c r="AK63" i="6"/>
  <c r="AS63" i="6"/>
  <c r="AV63" i="6"/>
  <c r="AX63" i="6"/>
  <c r="AY63" i="6"/>
  <c r="AZ63" i="6"/>
  <c r="BA63" i="6"/>
  <c r="T64" i="6"/>
  <c r="V64" i="6"/>
  <c r="W64" i="6"/>
  <c r="AD64" i="6"/>
  <c r="AE64" i="6"/>
  <c r="AF64" i="6"/>
  <c r="AG64" i="6"/>
  <c r="AH64" i="6"/>
  <c r="AI64" i="6"/>
  <c r="AK64" i="6"/>
  <c r="AS64" i="6"/>
  <c r="AV64" i="6"/>
  <c r="AX64" i="6"/>
  <c r="AY64" i="6"/>
  <c r="AZ64" i="6"/>
  <c r="BA64" i="6"/>
  <c r="T65" i="6"/>
  <c r="V65" i="6"/>
  <c r="W65" i="6"/>
  <c r="AD65" i="6"/>
  <c r="AE65" i="6"/>
  <c r="AF65" i="6"/>
  <c r="AG65" i="6"/>
  <c r="AH65" i="6"/>
  <c r="AI65" i="6"/>
  <c r="AK65" i="6"/>
  <c r="AS65" i="6"/>
  <c r="AV65" i="6"/>
  <c r="AX65" i="6"/>
  <c r="AY65" i="6"/>
  <c r="AZ65" i="6"/>
  <c r="BA65" i="6"/>
  <c r="T66" i="6"/>
  <c r="V66" i="6"/>
  <c r="W66" i="6"/>
  <c r="AD66" i="6"/>
  <c r="AE66" i="6"/>
  <c r="AF66" i="6"/>
  <c r="AG66" i="6"/>
  <c r="AH66" i="6"/>
  <c r="AI66" i="6"/>
  <c r="AK66" i="6"/>
  <c r="AS66" i="6"/>
  <c r="AV66" i="6"/>
  <c r="AX66" i="6"/>
  <c r="AY66" i="6"/>
  <c r="AZ66" i="6"/>
  <c r="BA66" i="6"/>
  <c r="T67" i="6"/>
  <c r="V67" i="6"/>
  <c r="W67" i="6"/>
  <c r="AD67" i="6"/>
  <c r="AE67" i="6"/>
  <c r="AF67" i="6"/>
  <c r="AG67" i="6"/>
  <c r="AH67" i="6"/>
  <c r="AI67" i="6"/>
  <c r="AK67" i="6"/>
  <c r="AS67" i="6"/>
  <c r="AV67" i="6"/>
  <c r="AX67" i="6"/>
  <c r="AY67" i="6"/>
  <c r="AZ67" i="6"/>
  <c r="BA67" i="6"/>
  <c r="T68" i="6"/>
  <c r="V68" i="6"/>
  <c r="W68" i="6"/>
  <c r="AD68" i="6"/>
  <c r="AE68" i="6"/>
  <c r="AF68" i="6"/>
  <c r="AG68" i="6"/>
  <c r="AH68" i="6"/>
  <c r="AI68" i="6"/>
  <c r="AK68" i="6"/>
  <c r="AS68" i="6"/>
  <c r="AV68" i="6"/>
  <c r="AX68" i="6"/>
  <c r="AY68" i="6"/>
  <c r="AZ68" i="6"/>
  <c r="BA68" i="6"/>
  <c r="T69" i="6"/>
  <c r="V69" i="6"/>
  <c r="W69" i="6"/>
  <c r="AD69" i="6"/>
  <c r="AE69" i="6"/>
  <c r="AF69" i="6"/>
  <c r="AG69" i="6"/>
  <c r="AH69" i="6"/>
  <c r="AI69" i="6"/>
  <c r="AK69" i="6"/>
  <c r="AS69" i="6"/>
  <c r="AV69" i="6"/>
  <c r="AX69" i="6"/>
  <c r="AY69" i="6"/>
  <c r="AZ69" i="6"/>
  <c r="BA69" i="6"/>
  <c r="T70" i="6"/>
  <c r="V70" i="6"/>
  <c r="W70" i="6"/>
  <c r="AD70" i="6"/>
  <c r="AE70" i="6"/>
  <c r="AF70" i="6"/>
  <c r="AG70" i="6"/>
  <c r="AH70" i="6"/>
  <c r="AI70" i="6"/>
  <c r="AK70" i="6"/>
  <c r="AS70" i="6"/>
  <c r="AV70" i="6"/>
  <c r="AX70" i="6"/>
  <c r="AY70" i="6"/>
  <c r="AZ70" i="6"/>
  <c r="BA70" i="6"/>
  <c r="T71" i="6"/>
  <c r="V71" i="6"/>
  <c r="W71" i="6"/>
  <c r="AD71" i="6"/>
  <c r="AE71" i="6"/>
  <c r="AF71" i="6"/>
  <c r="AG71" i="6"/>
  <c r="AH71" i="6"/>
  <c r="AI71" i="6"/>
  <c r="AK71" i="6"/>
  <c r="AS71" i="6"/>
  <c r="AV71" i="6"/>
  <c r="AX71" i="6"/>
  <c r="AY71" i="6"/>
  <c r="AZ71" i="6"/>
  <c r="BA71" i="6"/>
  <c r="T72" i="6"/>
  <c r="V72" i="6"/>
  <c r="W72" i="6"/>
  <c r="AD72" i="6"/>
  <c r="AE72" i="6"/>
  <c r="AF72" i="6"/>
  <c r="AG72" i="6"/>
  <c r="AH72" i="6"/>
  <c r="AI72" i="6"/>
  <c r="AK72" i="6"/>
  <c r="AS72" i="6"/>
  <c r="AV72" i="6"/>
  <c r="AX72" i="6"/>
  <c r="AY72" i="6"/>
  <c r="AZ72" i="6"/>
  <c r="BA72" i="6"/>
  <c r="T73" i="6"/>
  <c r="V73" i="6"/>
  <c r="W73" i="6"/>
  <c r="AD73" i="6"/>
  <c r="AE73" i="6"/>
  <c r="AF73" i="6"/>
  <c r="AG73" i="6"/>
  <c r="AH73" i="6"/>
  <c r="AI73" i="6"/>
  <c r="AK73" i="6"/>
  <c r="AS73" i="6"/>
  <c r="AV73" i="6"/>
  <c r="AX73" i="6"/>
  <c r="AY73" i="6"/>
  <c r="AZ73" i="6"/>
  <c r="BA73" i="6"/>
  <c r="T74" i="6"/>
  <c r="V74" i="6"/>
  <c r="W74" i="6"/>
  <c r="AD74" i="6"/>
  <c r="AE74" i="6"/>
  <c r="AF74" i="6"/>
  <c r="AG74" i="6"/>
  <c r="AH74" i="6"/>
  <c r="AI74" i="6"/>
  <c r="AK74" i="6"/>
  <c r="AS74" i="6"/>
  <c r="AV74" i="6"/>
  <c r="AX74" i="6"/>
  <c r="AY74" i="6"/>
  <c r="AZ74" i="6"/>
  <c r="BA74" i="6"/>
  <c r="T75" i="6"/>
  <c r="V75" i="6"/>
  <c r="W75" i="6"/>
  <c r="AD75" i="6"/>
  <c r="AE75" i="6"/>
  <c r="AF75" i="6"/>
  <c r="AG75" i="6"/>
  <c r="AH75" i="6"/>
  <c r="AI75" i="6"/>
  <c r="AK75" i="6"/>
  <c r="AS75" i="6"/>
  <c r="AV75" i="6"/>
  <c r="AX75" i="6"/>
  <c r="AY75" i="6"/>
  <c r="AZ75" i="6"/>
  <c r="BA75" i="6"/>
  <c r="T76" i="6"/>
  <c r="V76" i="6"/>
  <c r="W76" i="6"/>
  <c r="AD76" i="6"/>
  <c r="AE76" i="6"/>
  <c r="AF76" i="6"/>
  <c r="AG76" i="6"/>
  <c r="AH76" i="6"/>
  <c r="AI76" i="6"/>
  <c r="AK76" i="6"/>
  <c r="AS76" i="6"/>
  <c r="AV76" i="6"/>
  <c r="AX76" i="6"/>
  <c r="AY76" i="6"/>
  <c r="AZ76" i="6"/>
  <c r="BA76" i="6"/>
  <c r="T77" i="6"/>
  <c r="V77" i="6"/>
  <c r="W77" i="6"/>
  <c r="AD77" i="6"/>
  <c r="AE77" i="6"/>
  <c r="AF77" i="6"/>
  <c r="AG77" i="6"/>
  <c r="AH77" i="6"/>
  <c r="AI77" i="6"/>
  <c r="AK77" i="6"/>
  <c r="AS77" i="6"/>
  <c r="AV77" i="6"/>
  <c r="AX77" i="6"/>
  <c r="AY77" i="6"/>
  <c r="AZ77" i="6"/>
  <c r="BA77" i="6"/>
  <c r="T78" i="6"/>
  <c r="V78" i="6"/>
  <c r="W78" i="6"/>
  <c r="AD78" i="6"/>
  <c r="AE78" i="6"/>
  <c r="AF78" i="6"/>
  <c r="AG78" i="6"/>
  <c r="AH78" i="6"/>
  <c r="AI78" i="6"/>
  <c r="AK78" i="6"/>
  <c r="AS78" i="6"/>
  <c r="AV78" i="6"/>
  <c r="AX78" i="6"/>
  <c r="AY78" i="6"/>
  <c r="AZ78" i="6"/>
  <c r="BA78" i="6"/>
  <c r="T79" i="6"/>
  <c r="V79" i="6"/>
  <c r="W79" i="6"/>
  <c r="AD79" i="6"/>
  <c r="AE79" i="6"/>
  <c r="AF79" i="6"/>
  <c r="AG79" i="6"/>
  <c r="AH79" i="6"/>
  <c r="AI79" i="6"/>
  <c r="AK79" i="6"/>
  <c r="AS79" i="6"/>
  <c r="AV79" i="6"/>
  <c r="AX79" i="6"/>
  <c r="AY79" i="6"/>
  <c r="AZ79" i="6"/>
  <c r="BA79" i="6"/>
  <c r="T80" i="6"/>
  <c r="V80" i="6"/>
  <c r="W80" i="6"/>
  <c r="AD80" i="6"/>
  <c r="AE80" i="6"/>
  <c r="AF80" i="6"/>
  <c r="AG80" i="6"/>
  <c r="AH80" i="6"/>
  <c r="AI80" i="6"/>
  <c r="AK80" i="6"/>
  <c r="AS80" i="6"/>
  <c r="AV80" i="6"/>
  <c r="AX80" i="6"/>
  <c r="AY80" i="6"/>
  <c r="AZ80" i="6"/>
  <c r="BA80" i="6"/>
  <c r="T81" i="6"/>
  <c r="V81" i="6"/>
  <c r="W81" i="6"/>
  <c r="AD81" i="6"/>
  <c r="AE81" i="6"/>
  <c r="AF81" i="6"/>
  <c r="AG81" i="6"/>
  <c r="AH81" i="6"/>
  <c r="AI81" i="6"/>
  <c r="AK81" i="6"/>
  <c r="AS81" i="6"/>
  <c r="AV81" i="6"/>
  <c r="AX81" i="6"/>
  <c r="AY81" i="6"/>
  <c r="AZ81" i="6"/>
  <c r="BA81" i="6"/>
  <c r="T82" i="6"/>
  <c r="V82" i="6"/>
  <c r="W82" i="6"/>
  <c r="AD82" i="6"/>
  <c r="AE82" i="6"/>
  <c r="AF82" i="6"/>
  <c r="AG82" i="6"/>
  <c r="AH82" i="6"/>
  <c r="AI82" i="6"/>
  <c r="AK82" i="6"/>
  <c r="AS82" i="6"/>
  <c r="AV82" i="6"/>
  <c r="AX82" i="6"/>
  <c r="AY82" i="6"/>
  <c r="AZ82" i="6"/>
  <c r="BA82" i="6"/>
  <c r="T83" i="6"/>
  <c r="V83" i="6"/>
  <c r="W83" i="6"/>
  <c r="AD83" i="6"/>
  <c r="AE83" i="6"/>
  <c r="AF83" i="6"/>
  <c r="AG83" i="6"/>
  <c r="AH83" i="6"/>
  <c r="AI83" i="6"/>
  <c r="AK83" i="6"/>
  <c r="AS83" i="6"/>
  <c r="AV83" i="6"/>
  <c r="AX83" i="6"/>
  <c r="AY83" i="6"/>
  <c r="AZ83" i="6"/>
  <c r="BA83" i="6"/>
  <c r="T84" i="6"/>
  <c r="V84" i="6"/>
  <c r="W84" i="6"/>
  <c r="AD84" i="6"/>
  <c r="AE84" i="6"/>
  <c r="AF84" i="6"/>
  <c r="AG84" i="6"/>
  <c r="AH84" i="6"/>
  <c r="AI84" i="6"/>
  <c r="AK84" i="6"/>
  <c r="AS84" i="6"/>
  <c r="AV84" i="6"/>
  <c r="AX84" i="6"/>
  <c r="AY84" i="6"/>
  <c r="AZ84" i="6"/>
  <c r="BA84" i="6"/>
  <c r="T85" i="6"/>
  <c r="V85" i="6"/>
  <c r="W85" i="6"/>
  <c r="AD85" i="6"/>
  <c r="AE85" i="6"/>
  <c r="AF85" i="6"/>
  <c r="AG85" i="6"/>
  <c r="AH85" i="6"/>
  <c r="AI85" i="6"/>
  <c r="AK85" i="6"/>
  <c r="AS85" i="6"/>
  <c r="AV85" i="6"/>
  <c r="AX85" i="6"/>
  <c r="AY85" i="6"/>
  <c r="AZ85" i="6"/>
  <c r="BA85" i="6"/>
  <c r="T86" i="6"/>
  <c r="V86" i="6"/>
  <c r="W86" i="6"/>
  <c r="AD86" i="6"/>
  <c r="AE86" i="6"/>
  <c r="AF86" i="6"/>
  <c r="AG86" i="6"/>
  <c r="AH86" i="6"/>
  <c r="AI86" i="6"/>
  <c r="AK86" i="6"/>
  <c r="AS86" i="6"/>
  <c r="AV86" i="6"/>
  <c r="AX86" i="6"/>
  <c r="AY86" i="6"/>
  <c r="AZ86" i="6"/>
  <c r="BA86" i="6"/>
  <c r="T87" i="6"/>
  <c r="V87" i="6"/>
  <c r="W87" i="6"/>
  <c r="AD87" i="6"/>
  <c r="AE87" i="6"/>
  <c r="AF87" i="6"/>
  <c r="AG87" i="6"/>
  <c r="AH87" i="6"/>
  <c r="AI87" i="6"/>
  <c r="AK87" i="6"/>
  <c r="AS87" i="6"/>
  <c r="AV87" i="6"/>
  <c r="AX87" i="6"/>
  <c r="AY87" i="6"/>
  <c r="AZ87" i="6"/>
  <c r="BA87" i="6"/>
  <c r="T88" i="6"/>
  <c r="V88" i="6"/>
  <c r="W88" i="6"/>
  <c r="AD88" i="6"/>
  <c r="AE88" i="6"/>
  <c r="AF88" i="6"/>
  <c r="AG88" i="6"/>
  <c r="AH88" i="6"/>
  <c r="AI88" i="6"/>
  <c r="AK88" i="6"/>
  <c r="AS88" i="6"/>
  <c r="AV88" i="6"/>
  <c r="AX88" i="6"/>
  <c r="AY88" i="6"/>
  <c r="AZ88" i="6"/>
  <c r="BA88" i="6"/>
  <c r="T89" i="6"/>
  <c r="V89" i="6"/>
  <c r="W89" i="6"/>
  <c r="AD89" i="6"/>
  <c r="AE89" i="6"/>
  <c r="AF89" i="6"/>
  <c r="AG89" i="6"/>
  <c r="AH89" i="6"/>
  <c r="AI89" i="6"/>
  <c r="AK89" i="6"/>
  <c r="AS89" i="6"/>
  <c r="AV89" i="6"/>
  <c r="AX89" i="6"/>
  <c r="AY89" i="6"/>
  <c r="AZ89" i="6"/>
  <c r="BA89" i="6"/>
  <c r="T90" i="6"/>
  <c r="V90" i="6"/>
  <c r="W90" i="6"/>
  <c r="AD90" i="6"/>
  <c r="AE90" i="6"/>
  <c r="AF90" i="6"/>
  <c r="AG90" i="6"/>
  <c r="AH90" i="6"/>
  <c r="AI90" i="6"/>
  <c r="AK90" i="6"/>
  <c r="AS90" i="6"/>
  <c r="AV90" i="6"/>
  <c r="AX90" i="6"/>
  <c r="AY90" i="6"/>
  <c r="AZ90" i="6"/>
  <c r="BA90" i="6"/>
  <c r="T91" i="6"/>
  <c r="V91" i="6"/>
  <c r="W91" i="6"/>
  <c r="AD91" i="6"/>
  <c r="AE91" i="6"/>
  <c r="AF91" i="6"/>
  <c r="AG91" i="6"/>
  <c r="AH91" i="6"/>
  <c r="AI91" i="6"/>
  <c r="AK91" i="6"/>
  <c r="AS91" i="6"/>
  <c r="AV91" i="6"/>
  <c r="AX91" i="6"/>
  <c r="AY91" i="6"/>
  <c r="AZ91" i="6"/>
  <c r="BA91" i="6"/>
  <c r="T92" i="6"/>
  <c r="V92" i="6"/>
  <c r="W92" i="6"/>
  <c r="AD92" i="6"/>
  <c r="AE92" i="6"/>
  <c r="AF92" i="6"/>
  <c r="AG92" i="6"/>
  <c r="AH92" i="6"/>
  <c r="AI92" i="6"/>
  <c r="AK92" i="6"/>
  <c r="AS92" i="6"/>
  <c r="AV92" i="6"/>
  <c r="AX92" i="6"/>
  <c r="AY92" i="6"/>
  <c r="AZ92" i="6"/>
  <c r="BA92" i="6"/>
  <c r="T93" i="6"/>
  <c r="V93" i="6"/>
  <c r="W93" i="6"/>
  <c r="AD93" i="6"/>
  <c r="AE93" i="6"/>
  <c r="AF93" i="6"/>
  <c r="AG93" i="6"/>
  <c r="AH93" i="6"/>
  <c r="AI93" i="6"/>
  <c r="AK93" i="6"/>
  <c r="AS93" i="6"/>
  <c r="AV93" i="6"/>
  <c r="AX93" i="6"/>
  <c r="AY93" i="6"/>
  <c r="AZ93" i="6"/>
  <c r="BA93" i="6"/>
  <c r="T94" i="6"/>
  <c r="V94" i="6"/>
  <c r="W94" i="6"/>
  <c r="AD94" i="6"/>
  <c r="AE94" i="6"/>
  <c r="AF94" i="6"/>
  <c r="AG94" i="6"/>
  <c r="AH94" i="6"/>
  <c r="AI94" i="6"/>
  <c r="AK94" i="6"/>
  <c r="AS94" i="6"/>
  <c r="AV94" i="6"/>
  <c r="AX94" i="6"/>
  <c r="AY94" i="6"/>
  <c r="AZ94" i="6"/>
  <c r="BA94" i="6"/>
  <c r="T95" i="6"/>
  <c r="V95" i="6"/>
  <c r="W95" i="6"/>
  <c r="AD95" i="6"/>
  <c r="AE95" i="6"/>
  <c r="AF95" i="6"/>
  <c r="AG95" i="6"/>
  <c r="AH95" i="6"/>
  <c r="AI95" i="6"/>
  <c r="AK95" i="6"/>
  <c r="AS95" i="6"/>
  <c r="AV95" i="6"/>
  <c r="AX95" i="6"/>
  <c r="AY95" i="6"/>
  <c r="AZ95" i="6"/>
  <c r="BA95" i="6"/>
  <c r="T96" i="6"/>
  <c r="V96" i="6"/>
  <c r="W96" i="6"/>
  <c r="AD96" i="6"/>
  <c r="AE96" i="6"/>
  <c r="AF96" i="6"/>
  <c r="AG96" i="6"/>
  <c r="AH96" i="6"/>
  <c r="AI96" i="6"/>
  <c r="AK96" i="6"/>
  <c r="AS96" i="6"/>
  <c r="AV96" i="6"/>
  <c r="AX96" i="6"/>
  <c r="AY96" i="6"/>
  <c r="AZ96" i="6"/>
  <c r="BA96" i="6"/>
  <c r="T97" i="6"/>
  <c r="V97" i="6"/>
  <c r="W97" i="6"/>
  <c r="AD97" i="6"/>
  <c r="AE97" i="6"/>
  <c r="AF97" i="6"/>
  <c r="AG97" i="6"/>
  <c r="AH97" i="6"/>
  <c r="AI97" i="6"/>
  <c r="AK97" i="6"/>
  <c r="AS97" i="6"/>
  <c r="AV97" i="6"/>
  <c r="AX97" i="6"/>
  <c r="AY97" i="6"/>
  <c r="AZ97" i="6"/>
  <c r="BA97" i="6"/>
  <c r="T98" i="6"/>
  <c r="V98" i="6"/>
  <c r="W98" i="6"/>
  <c r="AD98" i="6"/>
  <c r="AE98" i="6"/>
  <c r="AF98" i="6"/>
  <c r="AG98" i="6"/>
  <c r="AH98" i="6"/>
  <c r="AI98" i="6"/>
  <c r="AK98" i="6"/>
  <c r="AS98" i="6"/>
  <c r="AV98" i="6"/>
  <c r="AX98" i="6"/>
  <c r="AY98" i="6"/>
  <c r="AZ98" i="6"/>
  <c r="BA98" i="6"/>
  <c r="T99" i="6"/>
  <c r="V99" i="6"/>
  <c r="W99" i="6"/>
  <c r="AD99" i="6"/>
  <c r="AE99" i="6"/>
  <c r="AF99" i="6"/>
  <c r="AG99" i="6"/>
  <c r="AH99" i="6"/>
  <c r="AI99" i="6"/>
  <c r="AK99" i="6"/>
  <c r="AS99" i="6"/>
  <c r="AV99" i="6"/>
  <c r="AX99" i="6"/>
  <c r="AY99" i="6"/>
  <c r="AZ99" i="6"/>
  <c r="BA99" i="6"/>
  <c r="T100" i="6"/>
  <c r="V100" i="6"/>
  <c r="W100" i="6"/>
  <c r="AD100" i="6"/>
  <c r="AE100" i="6"/>
  <c r="AF100" i="6"/>
  <c r="AG100" i="6"/>
  <c r="AH100" i="6"/>
  <c r="AI100" i="6"/>
  <c r="AK100" i="6"/>
  <c r="AS100" i="6"/>
  <c r="AV100" i="6"/>
  <c r="AX100" i="6"/>
  <c r="AY100" i="6"/>
  <c r="AZ100" i="6"/>
  <c r="BA100" i="6"/>
  <c r="T101" i="6"/>
  <c r="V101" i="6"/>
  <c r="W101" i="6"/>
  <c r="AD101" i="6"/>
  <c r="AE101" i="6"/>
  <c r="AF101" i="6"/>
  <c r="AG101" i="6"/>
  <c r="AH101" i="6"/>
  <c r="AI101" i="6"/>
  <c r="AK101" i="6"/>
  <c r="AS101" i="6"/>
  <c r="AV101" i="6"/>
  <c r="AX101" i="6"/>
  <c r="AY101" i="6"/>
  <c r="AZ101" i="6"/>
  <c r="BA101" i="6"/>
  <c r="T102" i="6"/>
  <c r="V102" i="6"/>
  <c r="W102" i="6"/>
  <c r="AD102" i="6"/>
  <c r="AE102" i="6"/>
  <c r="AF102" i="6"/>
  <c r="AG102" i="6"/>
  <c r="AH102" i="6"/>
  <c r="AI102" i="6"/>
  <c r="AK102" i="6"/>
  <c r="AS102" i="6"/>
  <c r="AV102" i="6"/>
  <c r="AX102" i="6"/>
  <c r="AY102" i="6"/>
  <c r="AZ102" i="6"/>
  <c r="BA102" i="6"/>
  <c r="T103" i="6"/>
  <c r="V103" i="6"/>
  <c r="W103" i="6"/>
  <c r="AD103" i="6"/>
  <c r="AE103" i="6"/>
  <c r="AF103" i="6"/>
  <c r="AG103" i="6"/>
  <c r="AH103" i="6"/>
  <c r="AI103" i="6"/>
  <c r="AK103" i="6"/>
  <c r="AS103" i="6"/>
  <c r="AV103" i="6"/>
  <c r="AX103" i="6"/>
  <c r="AY103" i="6"/>
  <c r="AZ103" i="6"/>
  <c r="BA103" i="6"/>
  <c r="T104" i="6"/>
  <c r="V104" i="6"/>
  <c r="W104" i="6"/>
  <c r="AD104" i="6"/>
  <c r="AE104" i="6"/>
  <c r="AF104" i="6"/>
  <c r="AG104" i="6"/>
  <c r="AH104" i="6"/>
  <c r="AI104" i="6"/>
  <c r="AK104" i="6"/>
  <c r="AS104" i="6"/>
  <c r="AV104" i="6"/>
  <c r="AX104" i="6"/>
  <c r="AY104" i="6"/>
  <c r="AZ104" i="6"/>
  <c r="BA104" i="6"/>
  <c r="T105" i="6"/>
  <c r="V105" i="6"/>
  <c r="W105" i="6"/>
  <c r="AD105" i="6"/>
  <c r="AE105" i="6"/>
  <c r="AF105" i="6"/>
  <c r="AG105" i="6"/>
  <c r="AH105" i="6"/>
  <c r="AI105" i="6"/>
  <c r="AK105" i="6"/>
  <c r="AS105" i="6"/>
  <c r="AV105" i="6"/>
  <c r="AX105" i="6"/>
  <c r="AY105" i="6"/>
  <c r="AZ105" i="6"/>
  <c r="BA105" i="6"/>
  <c r="T106" i="6"/>
  <c r="V106" i="6"/>
  <c r="W106" i="6"/>
  <c r="AD106" i="6"/>
  <c r="AE106" i="6"/>
  <c r="AF106" i="6"/>
  <c r="AG106" i="6"/>
  <c r="AH106" i="6"/>
  <c r="AI106" i="6"/>
  <c r="AK106" i="6"/>
  <c r="AS106" i="6"/>
  <c r="AV106" i="6"/>
  <c r="AX106" i="6"/>
  <c r="AY106" i="6"/>
  <c r="AZ106" i="6"/>
  <c r="BA106" i="6"/>
  <c r="T107" i="6"/>
  <c r="V107" i="6"/>
  <c r="W107" i="6"/>
  <c r="AD107" i="6"/>
  <c r="AE107" i="6"/>
  <c r="AF107" i="6"/>
  <c r="AG107" i="6"/>
  <c r="AH107" i="6"/>
  <c r="AI107" i="6"/>
  <c r="AK107" i="6"/>
  <c r="AS107" i="6"/>
  <c r="AV107" i="6"/>
  <c r="AX107" i="6"/>
  <c r="AY107" i="6"/>
  <c r="AZ107" i="6"/>
  <c r="BA107" i="6"/>
  <c r="T108" i="6"/>
  <c r="V108" i="6"/>
  <c r="W108" i="6"/>
  <c r="AD108" i="6"/>
  <c r="AE108" i="6"/>
  <c r="AF108" i="6"/>
  <c r="AG108" i="6"/>
  <c r="AH108" i="6"/>
  <c r="AI108" i="6"/>
  <c r="AK108" i="6"/>
  <c r="AS108" i="6"/>
  <c r="AV108" i="6"/>
  <c r="AX108" i="6"/>
  <c r="AY108" i="6"/>
  <c r="AZ108" i="6"/>
  <c r="BA108" i="6"/>
  <c r="T109" i="6"/>
  <c r="V109" i="6"/>
  <c r="W109" i="6"/>
  <c r="AD109" i="6"/>
  <c r="AE109" i="6"/>
  <c r="AF109" i="6"/>
  <c r="AG109" i="6"/>
  <c r="AH109" i="6"/>
  <c r="AI109" i="6"/>
  <c r="AK109" i="6"/>
  <c r="AS109" i="6"/>
  <c r="AV109" i="6"/>
  <c r="AX109" i="6"/>
  <c r="AY109" i="6"/>
  <c r="AZ109" i="6"/>
  <c r="BA109" i="6"/>
  <c r="T110" i="6"/>
  <c r="V110" i="6"/>
  <c r="W110" i="6"/>
  <c r="AD110" i="6"/>
  <c r="AE110" i="6"/>
  <c r="AF110" i="6"/>
  <c r="AG110" i="6"/>
  <c r="AH110" i="6"/>
  <c r="AI110" i="6"/>
  <c r="AK110" i="6"/>
  <c r="AS110" i="6"/>
  <c r="AV110" i="6"/>
  <c r="AX110" i="6"/>
  <c r="AY110" i="6"/>
  <c r="AZ110" i="6"/>
  <c r="BA110" i="6"/>
  <c r="T111" i="6"/>
  <c r="V111" i="6"/>
  <c r="W111" i="6"/>
  <c r="AD111" i="6"/>
  <c r="AE111" i="6"/>
  <c r="AF111" i="6"/>
  <c r="AG111" i="6"/>
  <c r="AH111" i="6"/>
  <c r="AI111" i="6"/>
  <c r="AK111" i="6"/>
  <c r="AS111" i="6"/>
  <c r="AV111" i="6"/>
  <c r="AX111" i="6"/>
  <c r="AY111" i="6"/>
  <c r="AZ111" i="6"/>
  <c r="BA111" i="6"/>
  <c r="T112" i="6"/>
  <c r="V112" i="6"/>
  <c r="W112" i="6"/>
  <c r="AD112" i="6"/>
  <c r="AE112" i="6"/>
  <c r="AF112" i="6"/>
  <c r="AG112" i="6"/>
  <c r="AH112" i="6"/>
  <c r="AI112" i="6"/>
  <c r="AK112" i="6"/>
  <c r="AS112" i="6"/>
  <c r="AV112" i="6"/>
  <c r="AX112" i="6"/>
  <c r="AY112" i="6"/>
  <c r="AZ112" i="6"/>
  <c r="BA112" i="6"/>
  <c r="T113" i="6"/>
  <c r="V113" i="6"/>
  <c r="W113" i="6"/>
  <c r="AD113" i="6"/>
  <c r="AE113" i="6"/>
  <c r="AF113" i="6"/>
  <c r="AG113" i="6"/>
  <c r="AH113" i="6"/>
  <c r="AI113" i="6"/>
  <c r="AK113" i="6"/>
  <c r="AS113" i="6"/>
  <c r="AV113" i="6"/>
  <c r="AX113" i="6"/>
  <c r="AY113" i="6"/>
  <c r="AZ113" i="6"/>
  <c r="BA113" i="6"/>
  <c r="T114" i="6"/>
  <c r="V114" i="6"/>
  <c r="W114" i="6"/>
  <c r="AD114" i="6"/>
  <c r="AE114" i="6"/>
  <c r="AF114" i="6"/>
  <c r="AG114" i="6"/>
  <c r="AH114" i="6"/>
  <c r="AI114" i="6"/>
  <c r="AK114" i="6"/>
  <c r="AS114" i="6"/>
  <c r="AV114" i="6"/>
  <c r="AX114" i="6"/>
  <c r="AY114" i="6"/>
  <c r="AZ114" i="6"/>
  <c r="BA114" i="6"/>
  <c r="T115" i="6"/>
  <c r="V115" i="6"/>
  <c r="W115" i="6"/>
  <c r="AD115" i="6"/>
  <c r="AE115" i="6"/>
  <c r="AF115" i="6"/>
  <c r="AG115" i="6"/>
  <c r="AH115" i="6"/>
  <c r="AI115" i="6"/>
  <c r="AK115" i="6"/>
  <c r="AS115" i="6"/>
  <c r="AV115" i="6"/>
  <c r="AX115" i="6"/>
  <c r="AY115" i="6"/>
  <c r="AZ115" i="6"/>
  <c r="BA115" i="6"/>
  <c r="T116" i="6"/>
  <c r="V116" i="6"/>
  <c r="W116" i="6"/>
  <c r="AD116" i="6"/>
  <c r="AE116" i="6"/>
  <c r="AF116" i="6"/>
  <c r="AG116" i="6"/>
  <c r="AH116" i="6"/>
  <c r="AI116" i="6"/>
  <c r="AK116" i="6"/>
  <c r="AS116" i="6"/>
  <c r="AV116" i="6"/>
  <c r="AX116" i="6"/>
  <c r="AY116" i="6"/>
  <c r="AZ116" i="6"/>
  <c r="BA116" i="6"/>
  <c r="T117" i="6"/>
  <c r="V117" i="6"/>
  <c r="W117" i="6"/>
  <c r="AD117" i="6"/>
  <c r="AE117" i="6"/>
  <c r="AF117" i="6"/>
  <c r="AG117" i="6"/>
  <c r="AH117" i="6"/>
  <c r="AI117" i="6"/>
  <c r="AK117" i="6"/>
  <c r="AS117" i="6"/>
  <c r="AV117" i="6"/>
  <c r="AX117" i="6"/>
  <c r="AY117" i="6"/>
  <c r="AZ117" i="6"/>
  <c r="BA117" i="6"/>
  <c r="T118" i="6"/>
  <c r="V118" i="6"/>
  <c r="W118" i="6"/>
  <c r="AD118" i="6"/>
  <c r="AE118" i="6"/>
  <c r="AF118" i="6"/>
  <c r="AG118" i="6"/>
  <c r="AH118" i="6"/>
  <c r="AI118" i="6"/>
  <c r="AK118" i="6"/>
  <c r="AS118" i="6"/>
  <c r="AV118" i="6"/>
  <c r="AX118" i="6"/>
  <c r="AY118" i="6"/>
  <c r="AZ118" i="6"/>
  <c r="BA118" i="6"/>
  <c r="T119" i="6"/>
  <c r="V119" i="6"/>
  <c r="W119" i="6"/>
  <c r="AD119" i="6"/>
  <c r="AE119" i="6"/>
  <c r="AF119" i="6"/>
  <c r="AG119" i="6"/>
  <c r="AH119" i="6"/>
  <c r="AI119" i="6"/>
  <c r="AK119" i="6"/>
  <c r="AS119" i="6"/>
  <c r="AV119" i="6"/>
  <c r="AX119" i="6"/>
  <c r="AY119" i="6"/>
  <c r="AZ119" i="6"/>
  <c r="BA119" i="6"/>
  <c r="T120" i="6"/>
  <c r="V120" i="6"/>
  <c r="W120" i="6"/>
  <c r="AD120" i="6"/>
  <c r="AE120" i="6"/>
  <c r="AF120" i="6"/>
  <c r="AG120" i="6"/>
  <c r="AH120" i="6"/>
  <c r="AI120" i="6"/>
  <c r="AK120" i="6"/>
  <c r="AS120" i="6"/>
  <c r="AV120" i="6"/>
  <c r="AX120" i="6"/>
  <c r="AY120" i="6"/>
  <c r="AZ120" i="6"/>
  <c r="BA120" i="6"/>
  <c r="T121" i="6"/>
  <c r="V121" i="6"/>
  <c r="W121" i="6"/>
  <c r="AD121" i="6"/>
  <c r="AE121" i="6"/>
  <c r="AF121" i="6"/>
  <c r="AG121" i="6"/>
  <c r="AH121" i="6"/>
  <c r="AI121" i="6"/>
  <c r="AK121" i="6"/>
  <c r="AS121" i="6"/>
  <c r="AV121" i="6"/>
  <c r="AX121" i="6"/>
  <c r="AY121" i="6"/>
  <c r="AZ121" i="6"/>
  <c r="BA121" i="6"/>
  <c r="T122" i="6"/>
  <c r="V122" i="6"/>
  <c r="W122" i="6"/>
  <c r="AD122" i="6"/>
  <c r="AE122" i="6"/>
  <c r="AF122" i="6"/>
  <c r="AG122" i="6"/>
  <c r="AH122" i="6"/>
  <c r="AI122" i="6"/>
  <c r="AK122" i="6"/>
  <c r="AS122" i="6"/>
  <c r="AV122" i="6"/>
  <c r="AX122" i="6"/>
  <c r="AY122" i="6"/>
  <c r="AZ122" i="6"/>
  <c r="BA122" i="6"/>
  <c r="T123" i="6"/>
  <c r="V123" i="6"/>
  <c r="W123" i="6"/>
  <c r="AD123" i="6"/>
  <c r="AE123" i="6"/>
  <c r="AF123" i="6"/>
  <c r="AG123" i="6"/>
  <c r="AH123" i="6"/>
  <c r="AI123" i="6"/>
  <c r="AK123" i="6"/>
  <c r="AS123" i="6"/>
  <c r="AV123" i="6"/>
  <c r="AX123" i="6"/>
  <c r="AY123" i="6"/>
  <c r="AZ123" i="6"/>
  <c r="BA123" i="6"/>
  <c r="T124" i="6"/>
  <c r="V124" i="6"/>
  <c r="W124" i="6"/>
  <c r="AD124" i="6"/>
  <c r="AE124" i="6"/>
  <c r="AF124" i="6"/>
  <c r="AG124" i="6"/>
  <c r="AH124" i="6"/>
  <c r="AI124" i="6"/>
  <c r="AK124" i="6"/>
  <c r="AS124" i="6"/>
  <c r="AV124" i="6"/>
  <c r="AX124" i="6"/>
  <c r="AY124" i="6"/>
  <c r="AZ124" i="6"/>
  <c r="BA124" i="6"/>
  <c r="T125" i="6"/>
  <c r="V125" i="6"/>
  <c r="W125" i="6"/>
  <c r="AD125" i="6"/>
  <c r="AE125" i="6"/>
  <c r="AF125" i="6"/>
  <c r="AG125" i="6"/>
  <c r="AH125" i="6"/>
  <c r="AI125" i="6"/>
  <c r="AK125" i="6"/>
  <c r="AS125" i="6"/>
  <c r="AV125" i="6"/>
  <c r="AX125" i="6"/>
  <c r="AY125" i="6"/>
  <c r="AZ125" i="6"/>
  <c r="BA125" i="6"/>
  <c r="T126" i="6"/>
  <c r="V126" i="6"/>
  <c r="W126" i="6"/>
  <c r="AD126" i="6"/>
  <c r="AE126" i="6"/>
  <c r="AF126" i="6"/>
  <c r="AG126" i="6"/>
  <c r="AH126" i="6"/>
  <c r="AI126" i="6"/>
  <c r="AK126" i="6"/>
  <c r="AS126" i="6"/>
  <c r="AV126" i="6"/>
  <c r="AX126" i="6"/>
  <c r="AY126" i="6"/>
  <c r="AZ126" i="6"/>
  <c r="BA126" i="6"/>
  <c r="T127" i="6"/>
  <c r="V127" i="6"/>
  <c r="W127" i="6"/>
  <c r="AD127" i="6"/>
  <c r="AE127" i="6"/>
  <c r="AF127" i="6"/>
  <c r="AG127" i="6"/>
  <c r="AH127" i="6"/>
  <c r="AI127" i="6"/>
  <c r="AK127" i="6"/>
  <c r="AS127" i="6"/>
  <c r="AV127" i="6"/>
  <c r="AX127" i="6"/>
  <c r="AY127" i="6"/>
  <c r="AZ127" i="6"/>
  <c r="BA127" i="6"/>
  <c r="T128" i="6"/>
  <c r="V128" i="6"/>
  <c r="W128" i="6"/>
  <c r="AD128" i="6"/>
  <c r="AE128" i="6"/>
  <c r="AF128" i="6"/>
  <c r="AG128" i="6"/>
  <c r="AH128" i="6"/>
  <c r="AI128" i="6"/>
  <c r="AK128" i="6"/>
  <c r="AS128" i="6"/>
  <c r="AV128" i="6"/>
  <c r="AX128" i="6"/>
  <c r="AY128" i="6"/>
  <c r="AZ128" i="6"/>
  <c r="BA128" i="6"/>
  <c r="T129" i="6"/>
  <c r="V129" i="6"/>
  <c r="W129" i="6"/>
  <c r="AD129" i="6"/>
  <c r="AE129" i="6"/>
  <c r="AF129" i="6"/>
  <c r="AG129" i="6"/>
  <c r="AH129" i="6"/>
  <c r="AI129" i="6"/>
  <c r="AK129" i="6"/>
  <c r="AS129" i="6"/>
  <c r="AV129" i="6"/>
  <c r="AX129" i="6"/>
  <c r="AY129" i="6"/>
  <c r="AZ129" i="6"/>
  <c r="BA129" i="6"/>
  <c r="T130" i="6"/>
  <c r="V130" i="6"/>
  <c r="W130" i="6"/>
  <c r="AD130" i="6"/>
  <c r="AE130" i="6"/>
  <c r="AF130" i="6"/>
  <c r="AG130" i="6"/>
  <c r="AH130" i="6"/>
  <c r="AI130" i="6"/>
  <c r="AK130" i="6"/>
  <c r="AS130" i="6"/>
  <c r="AV130" i="6"/>
  <c r="AX130" i="6"/>
  <c r="AY130" i="6"/>
  <c r="AZ130" i="6"/>
  <c r="BA130" i="6"/>
  <c r="T131" i="6"/>
  <c r="V131" i="6"/>
  <c r="W131" i="6"/>
  <c r="AD131" i="6"/>
  <c r="AE131" i="6"/>
  <c r="AF131" i="6"/>
  <c r="AG131" i="6"/>
  <c r="AH131" i="6"/>
  <c r="AI131" i="6"/>
  <c r="AK131" i="6"/>
  <c r="AS131" i="6"/>
  <c r="AV131" i="6"/>
  <c r="AX131" i="6"/>
  <c r="AY131" i="6"/>
  <c r="AZ131" i="6"/>
  <c r="BA131" i="6"/>
  <c r="T132" i="6"/>
  <c r="V132" i="6"/>
  <c r="W132" i="6"/>
  <c r="AD132" i="6"/>
  <c r="AE132" i="6"/>
  <c r="AF132" i="6"/>
  <c r="AG132" i="6"/>
  <c r="AH132" i="6"/>
  <c r="AI132" i="6"/>
  <c r="AK132" i="6"/>
  <c r="AS132" i="6"/>
  <c r="AV132" i="6"/>
  <c r="AX132" i="6"/>
  <c r="AY132" i="6"/>
  <c r="AZ132" i="6"/>
  <c r="BA132" i="6"/>
  <c r="T133" i="6"/>
  <c r="V133" i="6"/>
  <c r="W133" i="6"/>
  <c r="AD133" i="6"/>
  <c r="AE133" i="6"/>
  <c r="AF133" i="6"/>
  <c r="AG133" i="6"/>
  <c r="AH133" i="6"/>
  <c r="AI133" i="6"/>
  <c r="AK133" i="6"/>
  <c r="AS133" i="6"/>
  <c r="AV133" i="6"/>
  <c r="AX133" i="6"/>
  <c r="AY133" i="6"/>
  <c r="AZ133" i="6"/>
  <c r="BA133" i="6"/>
  <c r="T134" i="6"/>
  <c r="V134" i="6"/>
  <c r="W134" i="6"/>
  <c r="AD134" i="6"/>
  <c r="AE134" i="6"/>
  <c r="AF134" i="6"/>
  <c r="AG134" i="6"/>
  <c r="AH134" i="6"/>
  <c r="AI134" i="6"/>
  <c r="AK134" i="6"/>
  <c r="AS134" i="6"/>
  <c r="AV134" i="6"/>
  <c r="AX134" i="6"/>
  <c r="AY134" i="6"/>
  <c r="AZ134" i="6"/>
  <c r="BA134" i="6"/>
  <c r="T135" i="6"/>
  <c r="V135" i="6"/>
  <c r="W135" i="6"/>
  <c r="AD135" i="6"/>
  <c r="AE135" i="6"/>
  <c r="AF135" i="6"/>
  <c r="AG135" i="6"/>
  <c r="AH135" i="6"/>
  <c r="AI135" i="6"/>
  <c r="AK135" i="6"/>
  <c r="AS135" i="6"/>
  <c r="AV135" i="6"/>
  <c r="AX135" i="6"/>
  <c r="AY135" i="6"/>
  <c r="AZ135" i="6"/>
  <c r="BA135" i="6"/>
  <c r="T136" i="6"/>
  <c r="V136" i="6"/>
  <c r="W136" i="6"/>
  <c r="AD136" i="6"/>
  <c r="AE136" i="6"/>
  <c r="AF136" i="6"/>
  <c r="AG136" i="6"/>
  <c r="AH136" i="6"/>
  <c r="AI136" i="6"/>
  <c r="AK136" i="6"/>
  <c r="AS136" i="6"/>
  <c r="AV136" i="6"/>
  <c r="AX136" i="6"/>
  <c r="AY136" i="6"/>
  <c r="AZ136" i="6"/>
  <c r="BA136" i="6"/>
  <c r="T137" i="6"/>
  <c r="V137" i="6"/>
  <c r="W137" i="6"/>
  <c r="AD137" i="6"/>
  <c r="AE137" i="6"/>
  <c r="AF137" i="6"/>
  <c r="AG137" i="6"/>
  <c r="AH137" i="6"/>
  <c r="AI137" i="6"/>
  <c r="AK137" i="6"/>
  <c r="AS137" i="6"/>
  <c r="AV137" i="6"/>
  <c r="AX137" i="6"/>
  <c r="AY137" i="6"/>
  <c r="AZ137" i="6"/>
  <c r="BA137" i="6"/>
  <c r="T138" i="6"/>
  <c r="V138" i="6"/>
  <c r="W138" i="6"/>
  <c r="AD138" i="6"/>
  <c r="AE138" i="6"/>
  <c r="AF138" i="6"/>
  <c r="AG138" i="6"/>
  <c r="AH138" i="6"/>
  <c r="AI138" i="6"/>
  <c r="AK138" i="6"/>
  <c r="AS138" i="6"/>
  <c r="AV138" i="6"/>
  <c r="AX138" i="6"/>
  <c r="AY138" i="6"/>
  <c r="AZ138" i="6"/>
  <c r="BA138" i="6"/>
  <c r="T139" i="6"/>
  <c r="V139" i="6"/>
  <c r="W139" i="6"/>
  <c r="AD139" i="6"/>
  <c r="AE139" i="6"/>
  <c r="AF139" i="6"/>
  <c r="AG139" i="6"/>
  <c r="AH139" i="6"/>
  <c r="AI139" i="6"/>
  <c r="AK139" i="6"/>
  <c r="AS139" i="6"/>
  <c r="AV139" i="6"/>
  <c r="AX139" i="6"/>
  <c r="AY139" i="6"/>
  <c r="AZ139" i="6"/>
  <c r="BA139" i="6"/>
  <c r="T140" i="6"/>
  <c r="V140" i="6"/>
  <c r="W140" i="6"/>
  <c r="AD140" i="6"/>
  <c r="AE140" i="6"/>
  <c r="AF140" i="6"/>
  <c r="AG140" i="6"/>
  <c r="AH140" i="6"/>
  <c r="AI140" i="6"/>
  <c r="AK140" i="6"/>
  <c r="AS140" i="6"/>
  <c r="AV140" i="6"/>
  <c r="AX140" i="6"/>
  <c r="AY140" i="6"/>
  <c r="AZ140" i="6"/>
  <c r="BA140" i="6"/>
  <c r="T141" i="6"/>
  <c r="V141" i="6"/>
  <c r="W141" i="6"/>
  <c r="AD141" i="6"/>
  <c r="AE141" i="6"/>
  <c r="AF141" i="6"/>
  <c r="AG141" i="6"/>
  <c r="AH141" i="6"/>
  <c r="AI141" i="6"/>
  <c r="AK141" i="6"/>
  <c r="AS141" i="6"/>
  <c r="AV141" i="6"/>
  <c r="AX141" i="6"/>
  <c r="AY141" i="6"/>
  <c r="AZ141" i="6"/>
  <c r="BA141" i="6"/>
  <c r="T142" i="6"/>
  <c r="V142" i="6"/>
  <c r="W142" i="6"/>
  <c r="AD142" i="6"/>
  <c r="AE142" i="6"/>
  <c r="AF142" i="6"/>
  <c r="AG142" i="6"/>
  <c r="AH142" i="6"/>
  <c r="AI142" i="6"/>
  <c r="AK142" i="6"/>
  <c r="AS142" i="6"/>
  <c r="AV142" i="6"/>
  <c r="AX142" i="6"/>
  <c r="AY142" i="6"/>
  <c r="AZ142" i="6"/>
  <c r="BA142" i="6"/>
  <c r="T143" i="6"/>
  <c r="V143" i="6"/>
  <c r="W143" i="6"/>
  <c r="AD143" i="6"/>
  <c r="AE143" i="6"/>
  <c r="AF143" i="6"/>
  <c r="AG143" i="6"/>
  <c r="AH143" i="6"/>
  <c r="AI143" i="6"/>
  <c r="AK143" i="6"/>
  <c r="AS143" i="6"/>
  <c r="AV143" i="6"/>
  <c r="AX143" i="6"/>
  <c r="AY143" i="6"/>
  <c r="AZ143" i="6"/>
  <c r="BA143" i="6"/>
  <c r="T144" i="6"/>
  <c r="V144" i="6"/>
  <c r="W144" i="6"/>
  <c r="AD144" i="6"/>
  <c r="AE144" i="6"/>
  <c r="AF144" i="6"/>
  <c r="AG144" i="6"/>
  <c r="AH144" i="6"/>
  <c r="AI144" i="6"/>
  <c r="AK144" i="6"/>
  <c r="AS144" i="6"/>
  <c r="AV144" i="6"/>
  <c r="AX144" i="6"/>
  <c r="AY144" i="6"/>
  <c r="AZ144" i="6"/>
  <c r="BA144" i="6"/>
  <c r="T145" i="6"/>
  <c r="V145" i="6"/>
  <c r="W145" i="6"/>
  <c r="AD145" i="6"/>
  <c r="AE145" i="6"/>
  <c r="AF145" i="6"/>
  <c r="AG145" i="6"/>
  <c r="AH145" i="6"/>
  <c r="AI145" i="6"/>
  <c r="AK145" i="6"/>
  <c r="AS145" i="6"/>
  <c r="AV145" i="6"/>
  <c r="AX145" i="6"/>
  <c r="AY145" i="6"/>
  <c r="AZ145" i="6"/>
  <c r="BA145" i="6"/>
  <c r="T146" i="6"/>
  <c r="V146" i="6"/>
  <c r="W146" i="6"/>
  <c r="AD146" i="6"/>
  <c r="AE146" i="6"/>
  <c r="AF146" i="6"/>
  <c r="AG146" i="6"/>
  <c r="AH146" i="6"/>
  <c r="AI146" i="6"/>
  <c r="AK146" i="6"/>
  <c r="AS146" i="6"/>
  <c r="AV146" i="6"/>
  <c r="AX146" i="6"/>
  <c r="AY146" i="6"/>
  <c r="AZ146" i="6"/>
  <c r="BA146" i="6"/>
  <c r="T147" i="6"/>
  <c r="V147" i="6"/>
  <c r="W147" i="6"/>
  <c r="AD147" i="6"/>
  <c r="AE147" i="6"/>
  <c r="AF147" i="6"/>
  <c r="AG147" i="6"/>
  <c r="AH147" i="6"/>
  <c r="AI147" i="6"/>
  <c r="AK147" i="6"/>
  <c r="AS147" i="6"/>
  <c r="AV147" i="6"/>
  <c r="AX147" i="6"/>
  <c r="AY147" i="6"/>
  <c r="AZ147" i="6"/>
  <c r="BA147" i="6"/>
  <c r="T148" i="6"/>
  <c r="V148" i="6"/>
  <c r="W148" i="6"/>
  <c r="AD148" i="6"/>
  <c r="AE148" i="6"/>
  <c r="AF148" i="6"/>
  <c r="AG148" i="6"/>
  <c r="AH148" i="6"/>
  <c r="AI148" i="6"/>
  <c r="AK148" i="6"/>
  <c r="AS148" i="6"/>
  <c r="AV148" i="6"/>
  <c r="AX148" i="6"/>
  <c r="AY148" i="6"/>
  <c r="AZ148" i="6"/>
  <c r="BA148" i="6"/>
  <c r="T149" i="6"/>
  <c r="V149" i="6"/>
  <c r="W149" i="6"/>
  <c r="AD149" i="6"/>
  <c r="AE149" i="6"/>
  <c r="AF149" i="6"/>
  <c r="AG149" i="6"/>
  <c r="AH149" i="6"/>
  <c r="AI149" i="6"/>
  <c r="AK149" i="6"/>
  <c r="AS149" i="6"/>
  <c r="AV149" i="6"/>
  <c r="AX149" i="6"/>
  <c r="AY149" i="6"/>
  <c r="AZ149" i="6"/>
  <c r="BA149" i="6"/>
  <c r="T150" i="6"/>
  <c r="V150" i="6"/>
  <c r="W150" i="6"/>
  <c r="AD150" i="6"/>
  <c r="AE150" i="6"/>
  <c r="AF150" i="6"/>
  <c r="AG150" i="6"/>
  <c r="AH150" i="6"/>
  <c r="AI150" i="6"/>
  <c r="AK150" i="6"/>
  <c r="AS150" i="6"/>
  <c r="AV150" i="6"/>
  <c r="AX150" i="6"/>
  <c r="AY150" i="6"/>
  <c r="AZ150" i="6"/>
  <c r="BA150" i="6"/>
  <c r="T151" i="6"/>
  <c r="V151" i="6"/>
  <c r="W151" i="6"/>
  <c r="AD151" i="6"/>
  <c r="AE151" i="6"/>
  <c r="AF151" i="6"/>
  <c r="AG151" i="6"/>
  <c r="AH151" i="6"/>
  <c r="AI151" i="6"/>
  <c r="AK151" i="6"/>
  <c r="AS151" i="6"/>
  <c r="AV151" i="6"/>
  <c r="AX151" i="6"/>
  <c r="AY151" i="6"/>
  <c r="AZ151" i="6"/>
  <c r="BA151" i="6"/>
  <c r="T152" i="6"/>
  <c r="V152" i="6"/>
  <c r="W152" i="6"/>
  <c r="AD152" i="6"/>
  <c r="AE152" i="6"/>
  <c r="AF152" i="6"/>
  <c r="AG152" i="6"/>
  <c r="AH152" i="6"/>
  <c r="AI152" i="6"/>
  <c r="AK152" i="6"/>
  <c r="AS152" i="6"/>
  <c r="AV152" i="6"/>
  <c r="AX152" i="6"/>
  <c r="AY152" i="6"/>
  <c r="AZ152" i="6"/>
  <c r="BA152" i="6"/>
  <c r="T153" i="6"/>
  <c r="V153" i="6"/>
  <c r="W153" i="6"/>
  <c r="AD153" i="6"/>
  <c r="AE153" i="6"/>
  <c r="AF153" i="6"/>
  <c r="AG153" i="6"/>
  <c r="AH153" i="6"/>
  <c r="AI153" i="6"/>
  <c r="AK153" i="6"/>
  <c r="AS153" i="6"/>
  <c r="AV153" i="6"/>
  <c r="AX153" i="6"/>
  <c r="AY153" i="6"/>
  <c r="AZ153" i="6"/>
  <c r="BA153" i="6"/>
  <c r="T154" i="6"/>
  <c r="V154" i="6"/>
  <c r="W154" i="6"/>
  <c r="AD154" i="6"/>
  <c r="AE154" i="6"/>
  <c r="AF154" i="6"/>
  <c r="AG154" i="6"/>
  <c r="AH154" i="6"/>
  <c r="AI154" i="6"/>
  <c r="AK154" i="6"/>
  <c r="AS154" i="6"/>
  <c r="AV154" i="6"/>
  <c r="AX154" i="6"/>
  <c r="AY154" i="6"/>
  <c r="AZ154" i="6"/>
  <c r="BA154" i="6"/>
  <c r="T155" i="6"/>
  <c r="V155" i="6"/>
  <c r="W155" i="6"/>
  <c r="AD155" i="6"/>
  <c r="AE155" i="6"/>
  <c r="AF155" i="6"/>
  <c r="AG155" i="6"/>
  <c r="AH155" i="6"/>
  <c r="AI155" i="6"/>
  <c r="AK155" i="6"/>
  <c r="AS155" i="6"/>
  <c r="AV155" i="6"/>
  <c r="AX155" i="6"/>
  <c r="AY155" i="6"/>
  <c r="AZ155" i="6"/>
  <c r="BA155" i="6"/>
  <c r="T156" i="6"/>
  <c r="V156" i="6"/>
  <c r="W156" i="6"/>
  <c r="AD156" i="6"/>
  <c r="AE156" i="6"/>
  <c r="AF156" i="6"/>
  <c r="AG156" i="6"/>
  <c r="AH156" i="6"/>
  <c r="AI156" i="6"/>
  <c r="AK156" i="6"/>
  <c r="AS156" i="6"/>
  <c r="AV156" i="6"/>
  <c r="AX156" i="6"/>
  <c r="AY156" i="6"/>
  <c r="AZ156" i="6"/>
  <c r="BA156" i="6"/>
  <c r="T157" i="6"/>
  <c r="V157" i="6"/>
  <c r="W157" i="6"/>
  <c r="AD157" i="6"/>
  <c r="AE157" i="6"/>
  <c r="AF157" i="6"/>
  <c r="AG157" i="6"/>
  <c r="AH157" i="6"/>
  <c r="AI157" i="6"/>
  <c r="AK157" i="6"/>
  <c r="AS157" i="6"/>
  <c r="AV157" i="6"/>
  <c r="AX157" i="6"/>
  <c r="AY157" i="6"/>
  <c r="AZ157" i="6"/>
  <c r="BA157" i="6"/>
  <c r="T158" i="6"/>
  <c r="V158" i="6"/>
  <c r="W158" i="6"/>
  <c r="AD158" i="6"/>
  <c r="AE158" i="6"/>
  <c r="AF158" i="6"/>
  <c r="AG158" i="6"/>
  <c r="AH158" i="6"/>
  <c r="AI158" i="6"/>
  <c r="AK158" i="6"/>
  <c r="AS158" i="6"/>
  <c r="AV158" i="6"/>
  <c r="AX158" i="6"/>
  <c r="AY158" i="6"/>
  <c r="AZ158" i="6"/>
  <c r="BA158" i="6"/>
  <c r="T159" i="6"/>
  <c r="V159" i="6"/>
  <c r="W159" i="6"/>
  <c r="AD159" i="6"/>
  <c r="AE159" i="6"/>
  <c r="AF159" i="6"/>
  <c r="AG159" i="6"/>
  <c r="AH159" i="6"/>
  <c r="AI159" i="6"/>
  <c r="AK159" i="6"/>
  <c r="AS159" i="6"/>
  <c r="AV159" i="6"/>
  <c r="AX159" i="6"/>
  <c r="AY159" i="6"/>
  <c r="AZ159" i="6"/>
  <c r="BA159" i="6"/>
  <c r="T160" i="6"/>
  <c r="V160" i="6"/>
  <c r="W160" i="6"/>
  <c r="AD160" i="6"/>
  <c r="AE160" i="6"/>
  <c r="AF160" i="6"/>
  <c r="AG160" i="6"/>
  <c r="AH160" i="6"/>
  <c r="AI160" i="6"/>
  <c r="AK160" i="6"/>
  <c r="AS160" i="6"/>
  <c r="AV160" i="6"/>
  <c r="AX160" i="6"/>
  <c r="AY160" i="6"/>
  <c r="AZ160" i="6"/>
  <c r="BA160" i="6"/>
  <c r="T161" i="6"/>
  <c r="V161" i="6"/>
  <c r="W161" i="6"/>
  <c r="AD161" i="6"/>
  <c r="AE161" i="6"/>
  <c r="AF161" i="6"/>
  <c r="AG161" i="6"/>
  <c r="AH161" i="6"/>
  <c r="AI161" i="6"/>
  <c r="AK161" i="6"/>
  <c r="AS161" i="6"/>
  <c r="AV161" i="6"/>
  <c r="AX161" i="6"/>
  <c r="AY161" i="6"/>
  <c r="AZ161" i="6"/>
  <c r="BA161" i="6"/>
  <c r="T162" i="6"/>
  <c r="V162" i="6"/>
  <c r="W162" i="6"/>
  <c r="AD162" i="6"/>
  <c r="AE162" i="6"/>
  <c r="AF162" i="6"/>
  <c r="AG162" i="6"/>
  <c r="AH162" i="6"/>
  <c r="AI162" i="6"/>
  <c r="AK162" i="6"/>
  <c r="AS162" i="6"/>
  <c r="AV162" i="6"/>
  <c r="AX162" i="6"/>
  <c r="AY162" i="6"/>
  <c r="AZ162" i="6"/>
  <c r="BA162" i="6"/>
  <c r="T163" i="6"/>
  <c r="V163" i="6"/>
  <c r="W163" i="6"/>
  <c r="AD163" i="6"/>
  <c r="AE163" i="6"/>
  <c r="AF163" i="6"/>
  <c r="AG163" i="6"/>
  <c r="AH163" i="6"/>
  <c r="AI163" i="6"/>
  <c r="AK163" i="6"/>
  <c r="AS163" i="6"/>
  <c r="AV163" i="6"/>
  <c r="AX163" i="6"/>
  <c r="AY163" i="6"/>
  <c r="AZ163" i="6"/>
  <c r="BA163" i="6"/>
  <c r="T164" i="6"/>
  <c r="V164" i="6"/>
  <c r="W164" i="6"/>
  <c r="AD164" i="6"/>
  <c r="AE164" i="6"/>
  <c r="AF164" i="6"/>
  <c r="AG164" i="6"/>
  <c r="AH164" i="6"/>
  <c r="AI164" i="6"/>
  <c r="AK164" i="6"/>
  <c r="AS164" i="6"/>
  <c r="AV164" i="6"/>
  <c r="AX164" i="6"/>
  <c r="AY164" i="6"/>
  <c r="AZ164" i="6"/>
  <c r="BA164" i="6"/>
  <c r="T165" i="6"/>
  <c r="V165" i="6"/>
  <c r="W165" i="6"/>
  <c r="AD165" i="6"/>
  <c r="AE165" i="6"/>
  <c r="AF165" i="6"/>
  <c r="AG165" i="6"/>
  <c r="AH165" i="6"/>
  <c r="AI165" i="6"/>
  <c r="AK165" i="6"/>
  <c r="AS165" i="6"/>
  <c r="AV165" i="6"/>
  <c r="AX165" i="6"/>
  <c r="AY165" i="6"/>
  <c r="AZ165" i="6"/>
  <c r="BA165" i="6"/>
  <c r="T166" i="6"/>
  <c r="V166" i="6"/>
  <c r="W166" i="6"/>
  <c r="AD166" i="6"/>
  <c r="AE166" i="6"/>
  <c r="AF166" i="6"/>
  <c r="AG166" i="6"/>
  <c r="AH166" i="6"/>
  <c r="AI166" i="6"/>
  <c r="AK166" i="6"/>
  <c r="AS166" i="6"/>
  <c r="AV166" i="6"/>
  <c r="AX166" i="6"/>
  <c r="AY166" i="6"/>
  <c r="AZ166" i="6"/>
  <c r="BA166" i="6"/>
  <c r="T167" i="6"/>
  <c r="V167" i="6"/>
  <c r="W167" i="6"/>
  <c r="AD167" i="6"/>
  <c r="AE167" i="6"/>
  <c r="AF167" i="6"/>
  <c r="AG167" i="6"/>
  <c r="AH167" i="6"/>
  <c r="AI167" i="6"/>
  <c r="AK167" i="6"/>
  <c r="AS167" i="6"/>
  <c r="AV167" i="6"/>
  <c r="AX167" i="6"/>
  <c r="AY167" i="6"/>
  <c r="AZ167" i="6"/>
  <c r="BA167" i="6"/>
  <c r="T168" i="6"/>
  <c r="V168" i="6"/>
  <c r="W168" i="6"/>
  <c r="AD168" i="6"/>
  <c r="AE168" i="6"/>
  <c r="AF168" i="6"/>
  <c r="AG168" i="6"/>
  <c r="AH168" i="6"/>
  <c r="AI168" i="6"/>
  <c r="AK168" i="6"/>
  <c r="AS168" i="6"/>
  <c r="AV168" i="6"/>
  <c r="AX168" i="6"/>
  <c r="AY168" i="6"/>
  <c r="AZ168" i="6"/>
  <c r="BA168" i="6"/>
  <c r="T169" i="6"/>
  <c r="V169" i="6"/>
  <c r="W169" i="6"/>
  <c r="AD169" i="6"/>
  <c r="AE169" i="6"/>
  <c r="AF169" i="6"/>
  <c r="AG169" i="6"/>
  <c r="AH169" i="6"/>
  <c r="AI169" i="6"/>
  <c r="AK169" i="6"/>
  <c r="AS169" i="6"/>
  <c r="AV169" i="6"/>
  <c r="AX169" i="6"/>
  <c r="AY169" i="6"/>
  <c r="AZ169" i="6"/>
  <c r="BA169" i="6"/>
  <c r="T170" i="6"/>
  <c r="V170" i="6"/>
  <c r="W170" i="6"/>
  <c r="AD170" i="6"/>
  <c r="AE170" i="6"/>
  <c r="AF170" i="6"/>
  <c r="AG170" i="6"/>
  <c r="AH170" i="6"/>
  <c r="AI170" i="6"/>
  <c r="AK170" i="6"/>
  <c r="AS170" i="6"/>
  <c r="AV170" i="6"/>
  <c r="AX170" i="6"/>
  <c r="AY170" i="6"/>
  <c r="AZ170" i="6"/>
  <c r="BA170" i="6"/>
  <c r="T171" i="6"/>
  <c r="V171" i="6"/>
  <c r="W171" i="6"/>
  <c r="AD171" i="6"/>
  <c r="AE171" i="6"/>
  <c r="AF171" i="6"/>
  <c r="AG171" i="6"/>
  <c r="AH171" i="6"/>
  <c r="AI171" i="6"/>
  <c r="AK171" i="6"/>
  <c r="AS171" i="6"/>
  <c r="AV171" i="6"/>
  <c r="AX171" i="6"/>
  <c r="AY171" i="6"/>
  <c r="AZ171" i="6"/>
  <c r="BA171" i="6"/>
  <c r="T172" i="6"/>
  <c r="V172" i="6"/>
  <c r="W172" i="6"/>
  <c r="AD172" i="6"/>
  <c r="AE172" i="6"/>
  <c r="AF172" i="6"/>
  <c r="AG172" i="6"/>
  <c r="AH172" i="6"/>
  <c r="AI172" i="6"/>
  <c r="AK172" i="6"/>
  <c r="AS172" i="6"/>
  <c r="AV172" i="6"/>
  <c r="AX172" i="6"/>
  <c r="AY172" i="6"/>
  <c r="AZ172" i="6"/>
  <c r="BA172" i="6"/>
  <c r="T173" i="6"/>
  <c r="V173" i="6"/>
  <c r="W173" i="6"/>
  <c r="AD173" i="6"/>
  <c r="AE173" i="6"/>
  <c r="AF173" i="6"/>
  <c r="AG173" i="6"/>
  <c r="AH173" i="6"/>
  <c r="AI173" i="6"/>
  <c r="AK173" i="6"/>
  <c r="AS173" i="6"/>
  <c r="AV173" i="6"/>
  <c r="AX173" i="6"/>
  <c r="AY173" i="6"/>
  <c r="AZ173" i="6"/>
  <c r="BA173" i="6"/>
  <c r="T174" i="6"/>
  <c r="V174" i="6"/>
  <c r="W174" i="6"/>
  <c r="AD174" i="6"/>
  <c r="AE174" i="6"/>
  <c r="AF174" i="6"/>
  <c r="AG174" i="6"/>
  <c r="AH174" i="6"/>
  <c r="AI174" i="6"/>
  <c r="AK174" i="6"/>
  <c r="AS174" i="6"/>
  <c r="AV174" i="6"/>
  <c r="AX174" i="6"/>
  <c r="AY174" i="6"/>
  <c r="AZ174" i="6"/>
  <c r="BA174" i="6"/>
  <c r="T175" i="6"/>
  <c r="V175" i="6"/>
  <c r="W175" i="6"/>
  <c r="AD175" i="6"/>
  <c r="AE175" i="6"/>
  <c r="AF175" i="6"/>
  <c r="AG175" i="6"/>
  <c r="AH175" i="6"/>
  <c r="AI175" i="6"/>
  <c r="AK175" i="6"/>
  <c r="AS175" i="6"/>
  <c r="AV175" i="6"/>
  <c r="AX175" i="6"/>
  <c r="AY175" i="6"/>
  <c r="AZ175" i="6"/>
  <c r="BA175" i="6"/>
  <c r="T176" i="6"/>
  <c r="V176" i="6"/>
  <c r="W176" i="6"/>
  <c r="AD176" i="6"/>
  <c r="AE176" i="6"/>
  <c r="AF176" i="6"/>
  <c r="AG176" i="6"/>
  <c r="AH176" i="6"/>
  <c r="AI176" i="6"/>
  <c r="AK176" i="6"/>
  <c r="AS176" i="6"/>
  <c r="AV176" i="6"/>
  <c r="AX176" i="6"/>
  <c r="AY176" i="6"/>
  <c r="AZ176" i="6"/>
  <c r="BA176" i="6"/>
  <c r="T177" i="6"/>
  <c r="V177" i="6"/>
  <c r="W177" i="6"/>
  <c r="AD177" i="6"/>
  <c r="AE177" i="6"/>
  <c r="AF177" i="6"/>
  <c r="AG177" i="6"/>
  <c r="AH177" i="6"/>
  <c r="AI177" i="6"/>
  <c r="AK177" i="6"/>
  <c r="AS177" i="6"/>
  <c r="AV177" i="6"/>
  <c r="AX177" i="6"/>
  <c r="AY177" i="6"/>
  <c r="AZ177" i="6"/>
  <c r="BA177" i="6"/>
  <c r="T178" i="6"/>
  <c r="V178" i="6"/>
  <c r="W178" i="6"/>
  <c r="AD178" i="6"/>
  <c r="AE178" i="6"/>
  <c r="AF178" i="6"/>
  <c r="AG178" i="6"/>
  <c r="AH178" i="6"/>
  <c r="AI178" i="6"/>
  <c r="AK178" i="6"/>
  <c r="AS178" i="6"/>
  <c r="AV178" i="6"/>
  <c r="AX178" i="6"/>
  <c r="AY178" i="6"/>
  <c r="AZ178" i="6"/>
  <c r="BA178" i="6"/>
  <c r="T179" i="6"/>
  <c r="V179" i="6"/>
  <c r="W179" i="6"/>
  <c r="AD179" i="6"/>
  <c r="AE179" i="6"/>
  <c r="AF179" i="6"/>
  <c r="AG179" i="6"/>
  <c r="AH179" i="6"/>
  <c r="AI179" i="6"/>
  <c r="AK179" i="6"/>
  <c r="AS179" i="6"/>
  <c r="AV179" i="6"/>
  <c r="AX179" i="6"/>
  <c r="AY179" i="6"/>
  <c r="AZ179" i="6"/>
  <c r="BA179" i="6"/>
  <c r="T180" i="6"/>
  <c r="V180" i="6"/>
  <c r="W180" i="6"/>
  <c r="AD180" i="6"/>
  <c r="AE180" i="6"/>
  <c r="AF180" i="6"/>
  <c r="AG180" i="6"/>
  <c r="AH180" i="6"/>
  <c r="AI180" i="6"/>
  <c r="AK180" i="6"/>
  <c r="AS180" i="6"/>
  <c r="AV180" i="6"/>
  <c r="AX180" i="6"/>
  <c r="AY180" i="6"/>
  <c r="AZ180" i="6"/>
  <c r="BA180" i="6"/>
  <c r="T181" i="6"/>
  <c r="V181" i="6"/>
  <c r="W181" i="6"/>
  <c r="AD181" i="6"/>
  <c r="AE181" i="6"/>
  <c r="AF181" i="6"/>
  <c r="AG181" i="6"/>
  <c r="AH181" i="6"/>
  <c r="AI181" i="6"/>
  <c r="AK181" i="6"/>
  <c r="AS181" i="6"/>
  <c r="AV181" i="6"/>
  <c r="AX181" i="6"/>
  <c r="AY181" i="6"/>
  <c r="AZ181" i="6"/>
  <c r="BA181" i="6"/>
  <c r="T182" i="6"/>
  <c r="V182" i="6"/>
  <c r="W182" i="6"/>
  <c r="AD182" i="6"/>
  <c r="AE182" i="6"/>
  <c r="AF182" i="6"/>
  <c r="AG182" i="6"/>
  <c r="AH182" i="6"/>
  <c r="AI182" i="6"/>
  <c r="AK182" i="6"/>
  <c r="AS182" i="6"/>
  <c r="AV182" i="6"/>
  <c r="AX182" i="6"/>
  <c r="AY182" i="6"/>
  <c r="AZ182" i="6"/>
  <c r="BA182" i="6"/>
  <c r="T183" i="6"/>
  <c r="V183" i="6"/>
  <c r="W183" i="6"/>
  <c r="AD183" i="6"/>
  <c r="AE183" i="6"/>
  <c r="AF183" i="6"/>
  <c r="AG183" i="6"/>
  <c r="AH183" i="6"/>
  <c r="AI183" i="6"/>
  <c r="AK183" i="6"/>
  <c r="AS183" i="6"/>
  <c r="AV183" i="6"/>
  <c r="AX183" i="6"/>
  <c r="AY183" i="6"/>
  <c r="AZ183" i="6"/>
  <c r="BA183" i="6"/>
  <c r="T184" i="6"/>
  <c r="V184" i="6"/>
  <c r="W184" i="6"/>
  <c r="AD184" i="6"/>
  <c r="AE184" i="6"/>
  <c r="AF184" i="6"/>
  <c r="AG184" i="6"/>
  <c r="AH184" i="6"/>
  <c r="AI184" i="6"/>
  <c r="AK184" i="6"/>
  <c r="AS184" i="6"/>
  <c r="AV184" i="6"/>
  <c r="AX184" i="6"/>
  <c r="AY184" i="6"/>
  <c r="AZ184" i="6"/>
  <c r="BA184" i="6"/>
  <c r="T185" i="6"/>
  <c r="V185" i="6"/>
  <c r="W185" i="6"/>
  <c r="AD185" i="6"/>
  <c r="AE185" i="6"/>
  <c r="AF185" i="6"/>
  <c r="AG185" i="6"/>
  <c r="AH185" i="6"/>
  <c r="AI185" i="6"/>
  <c r="AK185" i="6"/>
  <c r="AS185" i="6"/>
  <c r="AV185" i="6"/>
  <c r="AX185" i="6"/>
  <c r="AY185" i="6"/>
  <c r="AZ185" i="6"/>
  <c r="BA185" i="6"/>
  <c r="T186" i="6"/>
  <c r="V186" i="6"/>
  <c r="W186" i="6"/>
  <c r="AD186" i="6"/>
  <c r="AE186" i="6"/>
  <c r="AF186" i="6"/>
  <c r="AG186" i="6"/>
  <c r="AH186" i="6"/>
  <c r="AI186" i="6"/>
  <c r="AK186" i="6"/>
  <c r="AS186" i="6"/>
  <c r="AV186" i="6"/>
  <c r="AX186" i="6"/>
  <c r="AY186" i="6"/>
  <c r="AZ186" i="6"/>
  <c r="BA186" i="6"/>
  <c r="T187" i="6"/>
  <c r="V187" i="6"/>
  <c r="W187" i="6"/>
  <c r="AD187" i="6"/>
  <c r="AE187" i="6"/>
  <c r="AF187" i="6"/>
  <c r="AG187" i="6"/>
  <c r="AH187" i="6"/>
  <c r="AI187" i="6"/>
  <c r="AK187" i="6"/>
  <c r="AS187" i="6"/>
  <c r="AV187" i="6"/>
  <c r="AX187" i="6"/>
  <c r="AY187" i="6"/>
  <c r="AZ187" i="6"/>
  <c r="BA187" i="6"/>
  <c r="T188" i="6"/>
  <c r="V188" i="6"/>
  <c r="W188" i="6"/>
  <c r="AD188" i="6"/>
  <c r="AE188" i="6"/>
  <c r="AF188" i="6"/>
  <c r="AG188" i="6"/>
  <c r="AH188" i="6"/>
  <c r="AI188" i="6"/>
  <c r="AK188" i="6"/>
  <c r="AS188" i="6"/>
  <c r="AV188" i="6"/>
  <c r="AX188" i="6"/>
  <c r="AY188" i="6"/>
  <c r="AZ188" i="6"/>
  <c r="BA188" i="6"/>
  <c r="T189" i="6"/>
  <c r="V189" i="6"/>
  <c r="W189" i="6"/>
  <c r="AD189" i="6"/>
  <c r="AE189" i="6"/>
  <c r="AF189" i="6"/>
  <c r="AG189" i="6"/>
  <c r="AH189" i="6"/>
  <c r="AI189" i="6"/>
  <c r="AK189" i="6"/>
  <c r="AS189" i="6"/>
  <c r="AV189" i="6"/>
  <c r="AX189" i="6"/>
  <c r="AY189" i="6"/>
  <c r="AZ189" i="6"/>
  <c r="BA189" i="6"/>
  <c r="T190" i="6"/>
  <c r="V190" i="6"/>
  <c r="W190" i="6"/>
  <c r="AD190" i="6"/>
  <c r="AE190" i="6"/>
  <c r="AF190" i="6"/>
  <c r="AG190" i="6"/>
  <c r="AH190" i="6"/>
  <c r="AI190" i="6"/>
  <c r="AK190" i="6"/>
  <c r="AS190" i="6"/>
  <c r="AV190" i="6"/>
  <c r="AX190" i="6"/>
  <c r="AY190" i="6"/>
  <c r="AZ190" i="6"/>
  <c r="BA190" i="6"/>
  <c r="T191" i="6"/>
  <c r="V191" i="6"/>
  <c r="W191" i="6"/>
  <c r="AD191" i="6"/>
  <c r="AE191" i="6"/>
  <c r="AF191" i="6"/>
  <c r="AG191" i="6"/>
  <c r="AH191" i="6"/>
  <c r="AI191" i="6"/>
  <c r="AK191" i="6"/>
  <c r="AS191" i="6"/>
  <c r="AV191" i="6"/>
  <c r="AX191" i="6"/>
  <c r="AY191" i="6"/>
  <c r="AZ191" i="6"/>
  <c r="BA191" i="6"/>
  <c r="T192" i="6"/>
  <c r="V192" i="6"/>
  <c r="W192" i="6"/>
  <c r="AD192" i="6"/>
  <c r="AE192" i="6"/>
  <c r="AF192" i="6"/>
  <c r="AG192" i="6"/>
  <c r="AH192" i="6"/>
  <c r="AI192" i="6"/>
  <c r="AK192" i="6"/>
  <c r="AS192" i="6"/>
  <c r="AV192" i="6"/>
  <c r="AX192" i="6"/>
  <c r="AY192" i="6"/>
  <c r="AZ192" i="6"/>
  <c r="BA192" i="6"/>
  <c r="T193" i="6"/>
  <c r="V193" i="6"/>
  <c r="W193" i="6"/>
  <c r="AD193" i="6"/>
  <c r="AE193" i="6"/>
  <c r="AF193" i="6"/>
  <c r="AG193" i="6"/>
  <c r="AH193" i="6"/>
  <c r="AI193" i="6"/>
  <c r="AK193" i="6"/>
  <c r="AS193" i="6"/>
  <c r="AV193" i="6"/>
  <c r="AX193" i="6"/>
  <c r="AY193" i="6"/>
  <c r="AZ193" i="6"/>
  <c r="BA193" i="6"/>
  <c r="T194" i="6"/>
  <c r="V194" i="6"/>
  <c r="W194" i="6"/>
  <c r="AD194" i="6"/>
  <c r="AE194" i="6"/>
  <c r="AF194" i="6"/>
  <c r="AG194" i="6"/>
  <c r="AH194" i="6"/>
  <c r="AI194" i="6"/>
  <c r="AK194" i="6"/>
  <c r="AS194" i="6"/>
  <c r="AV194" i="6"/>
  <c r="AX194" i="6"/>
  <c r="AY194" i="6"/>
  <c r="AZ194" i="6"/>
  <c r="BA194" i="6"/>
  <c r="T195" i="6"/>
  <c r="V195" i="6"/>
  <c r="W195" i="6"/>
  <c r="AD195" i="6"/>
  <c r="AE195" i="6"/>
  <c r="AF195" i="6"/>
  <c r="AG195" i="6"/>
  <c r="AH195" i="6"/>
  <c r="AI195" i="6"/>
  <c r="AK195" i="6"/>
  <c r="AS195" i="6"/>
  <c r="AV195" i="6"/>
  <c r="AX195" i="6"/>
  <c r="AY195" i="6"/>
  <c r="AZ195" i="6"/>
  <c r="BA195" i="6"/>
  <c r="T196" i="6"/>
  <c r="V196" i="6"/>
  <c r="W196" i="6"/>
  <c r="AD196" i="6"/>
  <c r="AE196" i="6"/>
  <c r="AF196" i="6"/>
  <c r="AG196" i="6"/>
  <c r="AH196" i="6"/>
  <c r="AI196" i="6"/>
  <c r="AK196" i="6"/>
  <c r="AS196" i="6"/>
  <c r="AV196" i="6"/>
  <c r="AX196" i="6"/>
  <c r="AY196" i="6"/>
  <c r="AZ196" i="6"/>
  <c r="BA196" i="6"/>
  <c r="T197" i="6"/>
  <c r="V197" i="6"/>
  <c r="W197" i="6"/>
  <c r="AD197" i="6"/>
  <c r="AE197" i="6"/>
  <c r="AF197" i="6"/>
  <c r="AG197" i="6"/>
  <c r="AH197" i="6"/>
  <c r="AI197" i="6"/>
  <c r="AK197" i="6"/>
  <c r="AS197" i="6"/>
  <c r="AV197" i="6"/>
  <c r="AX197" i="6"/>
  <c r="AY197" i="6"/>
  <c r="AZ197" i="6"/>
  <c r="BA197" i="6"/>
  <c r="T198" i="6"/>
  <c r="V198" i="6"/>
  <c r="W198" i="6"/>
  <c r="AD198" i="6"/>
  <c r="AE198" i="6"/>
  <c r="AF198" i="6"/>
  <c r="AG198" i="6"/>
  <c r="AH198" i="6"/>
  <c r="AI198" i="6"/>
  <c r="AK198" i="6"/>
  <c r="AS198" i="6"/>
  <c r="AV198" i="6"/>
  <c r="AX198" i="6"/>
  <c r="AY198" i="6"/>
  <c r="AZ198" i="6"/>
  <c r="BA198" i="6"/>
  <c r="T199" i="6"/>
  <c r="V199" i="6"/>
  <c r="W199" i="6"/>
  <c r="AD199" i="6"/>
  <c r="AE199" i="6"/>
  <c r="AF199" i="6"/>
  <c r="AG199" i="6"/>
  <c r="AH199" i="6"/>
  <c r="AI199" i="6"/>
  <c r="AK199" i="6"/>
  <c r="AS199" i="6"/>
  <c r="AV199" i="6"/>
  <c r="AX199" i="6"/>
  <c r="AY199" i="6"/>
  <c r="AZ199" i="6"/>
  <c r="BA199" i="6"/>
  <c r="T200" i="6"/>
  <c r="V200" i="6"/>
  <c r="W200" i="6"/>
  <c r="AD200" i="6"/>
  <c r="AE200" i="6"/>
  <c r="AF200" i="6"/>
  <c r="AG200" i="6"/>
  <c r="AH200" i="6"/>
  <c r="AI200" i="6"/>
  <c r="AK200" i="6"/>
  <c r="AS200" i="6"/>
  <c r="AV200" i="6"/>
  <c r="AX200" i="6"/>
  <c r="AY200" i="6"/>
  <c r="AZ200" i="6"/>
  <c r="BA200" i="6"/>
  <c r="T201" i="6"/>
  <c r="V201" i="6"/>
  <c r="W201" i="6"/>
  <c r="AD201" i="6"/>
  <c r="AE201" i="6"/>
  <c r="AF201" i="6"/>
  <c r="AG201" i="6"/>
  <c r="AH201" i="6"/>
  <c r="AI201" i="6"/>
  <c r="AK201" i="6"/>
  <c r="AS201" i="6"/>
  <c r="AV201" i="6"/>
  <c r="AX201" i="6"/>
  <c r="AY201" i="6"/>
  <c r="AZ201" i="6"/>
  <c r="BA201" i="6"/>
  <c r="T202" i="6"/>
  <c r="V202" i="6"/>
  <c r="W202" i="6"/>
  <c r="AD202" i="6"/>
  <c r="AE202" i="6"/>
  <c r="AF202" i="6"/>
  <c r="AG202" i="6"/>
  <c r="AH202" i="6"/>
  <c r="AI202" i="6"/>
  <c r="AK202" i="6"/>
  <c r="AS202" i="6"/>
  <c r="AV202" i="6"/>
  <c r="AX202" i="6"/>
  <c r="AY202" i="6"/>
  <c r="AZ202" i="6"/>
  <c r="BA202" i="6"/>
  <c r="T203" i="6"/>
  <c r="V203" i="6"/>
  <c r="W203" i="6"/>
  <c r="AD203" i="6"/>
  <c r="AE203" i="6"/>
  <c r="AF203" i="6"/>
  <c r="AG203" i="6"/>
  <c r="AH203" i="6"/>
  <c r="AI203" i="6"/>
  <c r="AK203" i="6"/>
  <c r="AS203" i="6"/>
  <c r="AV203" i="6"/>
  <c r="AX203" i="6"/>
  <c r="AY203" i="6"/>
  <c r="AZ203" i="6"/>
  <c r="BA203" i="6"/>
  <c r="T204" i="6"/>
  <c r="V204" i="6"/>
  <c r="W204" i="6"/>
  <c r="AD204" i="6"/>
  <c r="AE204" i="6"/>
  <c r="AF204" i="6"/>
  <c r="AG204" i="6"/>
  <c r="AH204" i="6"/>
  <c r="AI204" i="6"/>
  <c r="AK204" i="6"/>
  <c r="AS204" i="6"/>
  <c r="AV204" i="6"/>
  <c r="AX204" i="6"/>
  <c r="AY204" i="6"/>
  <c r="AZ204" i="6"/>
  <c r="BA204" i="6"/>
  <c r="T205" i="6"/>
  <c r="V205" i="6"/>
  <c r="W205" i="6"/>
  <c r="AD205" i="6"/>
  <c r="AE205" i="6"/>
  <c r="AF205" i="6"/>
  <c r="AG205" i="6"/>
  <c r="AH205" i="6"/>
  <c r="AI205" i="6"/>
  <c r="AK205" i="6"/>
  <c r="AS205" i="6"/>
  <c r="AV205" i="6"/>
  <c r="AX205" i="6"/>
  <c r="AY205" i="6"/>
  <c r="AZ205" i="6"/>
  <c r="BA205" i="6"/>
  <c r="T206" i="6"/>
  <c r="V206" i="6"/>
  <c r="W206" i="6"/>
  <c r="AD206" i="6"/>
  <c r="AE206" i="6"/>
  <c r="AF206" i="6"/>
  <c r="AG206" i="6"/>
  <c r="AH206" i="6"/>
  <c r="AI206" i="6"/>
  <c r="AK206" i="6"/>
  <c r="AS206" i="6"/>
  <c r="AV206" i="6"/>
  <c r="AX206" i="6"/>
  <c r="AY206" i="6"/>
  <c r="AZ206" i="6"/>
  <c r="BA206" i="6"/>
  <c r="T207" i="6"/>
  <c r="V207" i="6"/>
  <c r="W207" i="6"/>
  <c r="AD207" i="6"/>
  <c r="AE207" i="6"/>
  <c r="AF207" i="6"/>
  <c r="AG207" i="6"/>
  <c r="AH207" i="6"/>
  <c r="AI207" i="6"/>
  <c r="AK207" i="6"/>
  <c r="AS207" i="6"/>
  <c r="AV207" i="6"/>
  <c r="AX207" i="6"/>
  <c r="AY207" i="6"/>
  <c r="AZ207" i="6"/>
  <c r="BA207" i="6"/>
  <c r="T208" i="6"/>
  <c r="V208" i="6"/>
  <c r="W208" i="6"/>
  <c r="AD208" i="6"/>
  <c r="AE208" i="6"/>
  <c r="AF208" i="6"/>
  <c r="AG208" i="6"/>
  <c r="AH208" i="6"/>
  <c r="AI208" i="6"/>
  <c r="AK208" i="6"/>
  <c r="AS208" i="6"/>
  <c r="AV208" i="6"/>
  <c r="AX208" i="6"/>
  <c r="AY208" i="6"/>
  <c r="AZ208" i="6"/>
  <c r="BA208" i="6"/>
  <c r="T209" i="6"/>
  <c r="V209" i="6"/>
  <c r="W209" i="6"/>
  <c r="AD209" i="6"/>
  <c r="AE209" i="6"/>
  <c r="AF209" i="6"/>
  <c r="AG209" i="6"/>
  <c r="AH209" i="6"/>
  <c r="AI209" i="6"/>
  <c r="AK209" i="6"/>
  <c r="AS209" i="6"/>
  <c r="AV209" i="6"/>
  <c r="AX209" i="6"/>
  <c r="AY209" i="6"/>
  <c r="AZ209" i="6"/>
  <c r="BA209" i="6"/>
  <c r="T210" i="6"/>
  <c r="V210" i="6"/>
  <c r="W210" i="6"/>
  <c r="AD210" i="6"/>
  <c r="AE210" i="6"/>
  <c r="AF210" i="6"/>
  <c r="AG210" i="6"/>
  <c r="AH210" i="6"/>
  <c r="AI210" i="6"/>
  <c r="AK210" i="6"/>
  <c r="AS210" i="6"/>
  <c r="AV210" i="6"/>
  <c r="AX210" i="6"/>
  <c r="AY210" i="6"/>
  <c r="AZ210" i="6"/>
  <c r="BA210" i="6"/>
  <c r="T211" i="6"/>
  <c r="V211" i="6"/>
  <c r="W211" i="6"/>
  <c r="AD211" i="6"/>
  <c r="AE211" i="6"/>
  <c r="AF211" i="6"/>
  <c r="AG211" i="6"/>
  <c r="AH211" i="6"/>
  <c r="AI211" i="6"/>
  <c r="AK211" i="6"/>
  <c r="AS211" i="6"/>
  <c r="AV211" i="6"/>
  <c r="AX211" i="6"/>
  <c r="AY211" i="6"/>
  <c r="AZ211" i="6"/>
  <c r="BA211" i="6"/>
  <c r="T212" i="6"/>
  <c r="V212" i="6"/>
  <c r="W212" i="6"/>
  <c r="AD212" i="6"/>
  <c r="AE212" i="6"/>
  <c r="AF212" i="6"/>
  <c r="AG212" i="6"/>
  <c r="AH212" i="6"/>
  <c r="AI212" i="6"/>
  <c r="AK212" i="6"/>
  <c r="AS212" i="6"/>
  <c r="AV212" i="6"/>
  <c r="AX212" i="6"/>
  <c r="AY212" i="6"/>
  <c r="AZ212" i="6"/>
  <c r="BA212" i="6"/>
  <c r="T213" i="6"/>
  <c r="V213" i="6"/>
  <c r="W213" i="6"/>
  <c r="AD213" i="6"/>
  <c r="AE213" i="6"/>
  <c r="AF213" i="6"/>
  <c r="AG213" i="6"/>
  <c r="AH213" i="6"/>
  <c r="AI213" i="6"/>
  <c r="AK213" i="6"/>
  <c r="AS213" i="6"/>
  <c r="AV213" i="6"/>
  <c r="AX213" i="6"/>
  <c r="AY213" i="6"/>
  <c r="AZ213" i="6"/>
  <c r="BA213" i="6"/>
  <c r="T214" i="6"/>
  <c r="V214" i="6"/>
  <c r="W214" i="6"/>
  <c r="AD214" i="6"/>
  <c r="AE214" i="6"/>
  <c r="AF214" i="6"/>
  <c r="AG214" i="6"/>
  <c r="AH214" i="6"/>
  <c r="AI214" i="6"/>
  <c r="AK214" i="6"/>
  <c r="AS214" i="6"/>
  <c r="AV214" i="6"/>
  <c r="AX214" i="6"/>
  <c r="AY214" i="6"/>
  <c r="AZ214" i="6"/>
  <c r="BA214" i="6"/>
  <c r="T215" i="6"/>
  <c r="V215" i="6"/>
  <c r="W215" i="6"/>
  <c r="AD215" i="6"/>
  <c r="AE215" i="6"/>
  <c r="AF215" i="6"/>
  <c r="AG215" i="6"/>
  <c r="AH215" i="6"/>
  <c r="AI215" i="6"/>
  <c r="AK215" i="6"/>
  <c r="AS215" i="6"/>
  <c r="AV215" i="6"/>
  <c r="AX215" i="6"/>
  <c r="AY215" i="6"/>
  <c r="AZ215" i="6"/>
  <c r="BA215" i="6"/>
  <c r="T216" i="6"/>
  <c r="V216" i="6"/>
  <c r="W216" i="6"/>
  <c r="AD216" i="6"/>
  <c r="AE216" i="6"/>
  <c r="AF216" i="6"/>
  <c r="AG216" i="6"/>
  <c r="AH216" i="6"/>
  <c r="AI216" i="6"/>
  <c r="AK216" i="6"/>
  <c r="AS216" i="6"/>
  <c r="AV216" i="6"/>
  <c r="AX216" i="6"/>
  <c r="AY216" i="6"/>
  <c r="AZ216" i="6"/>
  <c r="BA216" i="6"/>
  <c r="T217" i="6"/>
  <c r="V217" i="6"/>
  <c r="W217" i="6"/>
  <c r="AD217" i="6"/>
  <c r="AE217" i="6"/>
  <c r="AF217" i="6"/>
  <c r="AG217" i="6"/>
  <c r="AH217" i="6"/>
  <c r="AI217" i="6"/>
  <c r="AK217" i="6"/>
  <c r="AS217" i="6"/>
  <c r="AV217" i="6"/>
  <c r="AX217" i="6"/>
  <c r="AY217" i="6"/>
  <c r="AZ217" i="6"/>
  <c r="BA217" i="6"/>
  <c r="T218" i="6"/>
  <c r="V218" i="6"/>
  <c r="W218" i="6"/>
  <c r="AD218" i="6"/>
  <c r="AE218" i="6"/>
  <c r="AF218" i="6"/>
  <c r="AG218" i="6"/>
  <c r="AH218" i="6"/>
  <c r="AI218" i="6"/>
  <c r="AK218" i="6"/>
  <c r="AS218" i="6"/>
  <c r="AV218" i="6"/>
  <c r="AX218" i="6"/>
  <c r="AY218" i="6"/>
  <c r="AZ218" i="6"/>
  <c r="BA218" i="6"/>
  <c r="T219" i="6"/>
  <c r="V219" i="6"/>
  <c r="W219" i="6"/>
  <c r="AD219" i="6"/>
  <c r="AE219" i="6"/>
  <c r="AF219" i="6"/>
  <c r="AG219" i="6"/>
  <c r="AH219" i="6"/>
  <c r="AI219" i="6"/>
  <c r="AK219" i="6"/>
  <c r="AS219" i="6"/>
  <c r="AV219" i="6"/>
  <c r="AX219" i="6"/>
  <c r="AY219" i="6"/>
  <c r="AZ219" i="6"/>
  <c r="BA219" i="6"/>
  <c r="T220" i="6"/>
  <c r="V220" i="6"/>
  <c r="W220" i="6"/>
  <c r="AD220" i="6"/>
  <c r="AE220" i="6"/>
  <c r="AF220" i="6"/>
  <c r="AG220" i="6"/>
  <c r="AH220" i="6"/>
  <c r="AI220" i="6"/>
  <c r="AK220" i="6"/>
  <c r="AS220" i="6"/>
  <c r="AV220" i="6"/>
  <c r="AX220" i="6"/>
  <c r="AY220" i="6"/>
  <c r="AZ220" i="6"/>
  <c r="BA220" i="6"/>
  <c r="T221" i="6"/>
  <c r="V221" i="6"/>
  <c r="W221" i="6"/>
  <c r="AD221" i="6"/>
  <c r="AE221" i="6"/>
  <c r="AF221" i="6"/>
  <c r="AG221" i="6"/>
  <c r="AH221" i="6"/>
  <c r="AI221" i="6"/>
  <c r="AK221" i="6"/>
  <c r="AS221" i="6"/>
  <c r="AV221" i="6"/>
  <c r="AX221" i="6"/>
  <c r="AY221" i="6"/>
  <c r="AZ221" i="6"/>
  <c r="BA221" i="6"/>
  <c r="T222" i="6"/>
  <c r="V222" i="6"/>
  <c r="W222" i="6"/>
  <c r="AD222" i="6"/>
  <c r="AE222" i="6"/>
  <c r="AF222" i="6"/>
  <c r="AG222" i="6"/>
  <c r="AH222" i="6"/>
  <c r="AI222" i="6"/>
  <c r="AK222" i="6"/>
  <c r="AS222" i="6"/>
  <c r="AV222" i="6"/>
  <c r="AX222" i="6"/>
  <c r="AY222" i="6"/>
  <c r="AZ222" i="6"/>
  <c r="BA222" i="6"/>
  <c r="T223" i="6"/>
  <c r="V223" i="6"/>
  <c r="W223" i="6"/>
  <c r="AD223" i="6"/>
  <c r="AE223" i="6"/>
  <c r="AF223" i="6"/>
  <c r="AG223" i="6"/>
  <c r="AH223" i="6"/>
  <c r="AI223" i="6"/>
  <c r="AK223" i="6"/>
  <c r="AS223" i="6"/>
  <c r="AV223" i="6"/>
  <c r="AX223" i="6"/>
  <c r="AY223" i="6"/>
  <c r="AZ223" i="6"/>
  <c r="BA223" i="6"/>
  <c r="T224" i="6"/>
  <c r="V224" i="6"/>
  <c r="W224" i="6"/>
  <c r="AD224" i="6"/>
  <c r="AE224" i="6"/>
  <c r="AF224" i="6"/>
  <c r="AG224" i="6"/>
  <c r="AH224" i="6"/>
  <c r="AI224" i="6"/>
  <c r="AK224" i="6"/>
  <c r="AS224" i="6"/>
  <c r="AV224" i="6"/>
  <c r="AX224" i="6"/>
  <c r="AY224" i="6"/>
  <c r="AZ224" i="6"/>
  <c r="BA224" i="6"/>
  <c r="T225" i="6"/>
  <c r="V225" i="6"/>
  <c r="W225" i="6"/>
  <c r="AD225" i="6"/>
  <c r="AE225" i="6"/>
  <c r="AF225" i="6"/>
  <c r="AG225" i="6"/>
  <c r="AH225" i="6"/>
  <c r="AI225" i="6"/>
  <c r="AK225" i="6"/>
  <c r="AS225" i="6"/>
  <c r="AV225" i="6"/>
  <c r="AX225" i="6"/>
  <c r="AY225" i="6"/>
  <c r="AZ225" i="6"/>
  <c r="BA225" i="6"/>
  <c r="T226" i="6"/>
  <c r="V226" i="6"/>
  <c r="W226" i="6"/>
  <c r="AD226" i="6"/>
  <c r="AE226" i="6"/>
  <c r="AF226" i="6"/>
  <c r="AG226" i="6"/>
  <c r="AH226" i="6"/>
  <c r="AI226" i="6"/>
  <c r="AK226" i="6"/>
  <c r="AS226" i="6"/>
  <c r="AV226" i="6"/>
  <c r="AX226" i="6"/>
  <c r="AY226" i="6"/>
  <c r="AZ226" i="6"/>
  <c r="BA226" i="6"/>
  <c r="T227" i="6"/>
  <c r="V227" i="6"/>
  <c r="W227" i="6"/>
  <c r="AD227" i="6"/>
  <c r="AE227" i="6"/>
  <c r="AF227" i="6"/>
  <c r="AG227" i="6"/>
  <c r="AH227" i="6"/>
  <c r="AI227" i="6"/>
  <c r="AK227" i="6"/>
  <c r="AS227" i="6"/>
  <c r="AV227" i="6"/>
  <c r="AX227" i="6"/>
  <c r="AY227" i="6"/>
  <c r="AZ227" i="6"/>
  <c r="BA227" i="6"/>
  <c r="T228" i="6"/>
  <c r="V228" i="6"/>
  <c r="W228" i="6"/>
  <c r="AD228" i="6"/>
  <c r="AE228" i="6"/>
  <c r="AF228" i="6"/>
  <c r="AG228" i="6"/>
  <c r="AH228" i="6"/>
  <c r="AI228" i="6"/>
  <c r="AK228" i="6"/>
  <c r="AS228" i="6"/>
  <c r="AV228" i="6"/>
  <c r="AX228" i="6"/>
  <c r="AY228" i="6"/>
  <c r="AZ228" i="6"/>
  <c r="BA228" i="6"/>
  <c r="T229" i="6"/>
  <c r="V229" i="6"/>
  <c r="W229" i="6"/>
  <c r="AD229" i="6"/>
  <c r="AE229" i="6"/>
  <c r="AF229" i="6"/>
  <c r="AG229" i="6"/>
  <c r="AH229" i="6"/>
  <c r="AI229" i="6"/>
  <c r="AK229" i="6"/>
  <c r="AS229" i="6"/>
  <c r="AV229" i="6"/>
  <c r="AX229" i="6"/>
  <c r="AY229" i="6"/>
  <c r="AZ229" i="6"/>
  <c r="BA229" i="6"/>
  <c r="T230" i="6"/>
  <c r="V230" i="6"/>
  <c r="W230" i="6"/>
  <c r="AD230" i="6"/>
  <c r="AE230" i="6"/>
  <c r="AF230" i="6"/>
  <c r="AG230" i="6"/>
  <c r="AH230" i="6"/>
  <c r="AI230" i="6"/>
  <c r="AK230" i="6"/>
  <c r="AS230" i="6"/>
  <c r="AV230" i="6"/>
  <c r="AX230" i="6"/>
  <c r="AY230" i="6"/>
  <c r="AZ230" i="6"/>
  <c r="BA230" i="6"/>
  <c r="T231" i="6"/>
  <c r="V231" i="6"/>
  <c r="W231" i="6"/>
  <c r="AD231" i="6"/>
  <c r="AE231" i="6"/>
  <c r="AF231" i="6"/>
  <c r="AG231" i="6"/>
  <c r="AH231" i="6"/>
  <c r="AI231" i="6"/>
  <c r="AK231" i="6"/>
  <c r="AS231" i="6"/>
  <c r="AV231" i="6"/>
  <c r="AX231" i="6"/>
  <c r="AY231" i="6"/>
  <c r="AZ231" i="6"/>
  <c r="BA231" i="6"/>
  <c r="T232" i="6"/>
  <c r="V232" i="6"/>
  <c r="W232" i="6"/>
  <c r="AD232" i="6"/>
  <c r="AE232" i="6"/>
  <c r="AF232" i="6"/>
  <c r="AG232" i="6"/>
  <c r="AH232" i="6"/>
  <c r="AI232" i="6"/>
  <c r="AK232" i="6"/>
  <c r="AS232" i="6"/>
  <c r="AV232" i="6"/>
  <c r="AX232" i="6"/>
  <c r="AY232" i="6"/>
  <c r="AZ232" i="6"/>
  <c r="BA232" i="6"/>
  <c r="T233" i="6"/>
  <c r="V233" i="6"/>
  <c r="W233" i="6"/>
  <c r="AD233" i="6"/>
  <c r="AE233" i="6"/>
  <c r="AF233" i="6"/>
  <c r="AG233" i="6"/>
  <c r="AH233" i="6"/>
  <c r="AI233" i="6"/>
  <c r="AK233" i="6"/>
  <c r="AS233" i="6"/>
  <c r="AV233" i="6"/>
  <c r="AX233" i="6"/>
  <c r="AY233" i="6"/>
  <c r="AZ233" i="6"/>
  <c r="BA233" i="6"/>
  <c r="T234" i="6"/>
  <c r="V234" i="6"/>
  <c r="W234" i="6"/>
  <c r="AD234" i="6"/>
  <c r="AE234" i="6"/>
  <c r="AF234" i="6"/>
  <c r="AG234" i="6"/>
  <c r="AH234" i="6"/>
  <c r="AI234" i="6"/>
  <c r="AK234" i="6"/>
  <c r="AS234" i="6"/>
  <c r="AV234" i="6"/>
  <c r="AX234" i="6"/>
  <c r="AY234" i="6"/>
  <c r="AZ234" i="6"/>
  <c r="BA234" i="6"/>
  <c r="T235" i="6"/>
  <c r="V235" i="6"/>
  <c r="W235" i="6"/>
  <c r="AD235" i="6"/>
  <c r="AE235" i="6"/>
  <c r="AF235" i="6"/>
  <c r="AG235" i="6"/>
  <c r="AH235" i="6"/>
  <c r="AI235" i="6"/>
  <c r="AK235" i="6"/>
  <c r="AS235" i="6"/>
  <c r="AV235" i="6"/>
  <c r="AX235" i="6"/>
  <c r="AY235" i="6"/>
  <c r="AZ235" i="6"/>
  <c r="BA235" i="6"/>
  <c r="T236" i="6"/>
  <c r="V236" i="6"/>
  <c r="W236" i="6"/>
  <c r="AD236" i="6"/>
  <c r="AE236" i="6"/>
  <c r="AF236" i="6"/>
  <c r="AG236" i="6"/>
  <c r="AH236" i="6"/>
  <c r="AI236" i="6"/>
  <c r="AK236" i="6"/>
  <c r="AS236" i="6"/>
  <c r="AV236" i="6"/>
  <c r="AX236" i="6"/>
  <c r="AY236" i="6"/>
  <c r="AZ236" i="6"/>
  <c r="BA236" i="6"/>
  <c r="T237" i="6"/>
  <c r="V237" i="6"/>
  <c r="W237" i="6"/>
  <c r="AD237" i="6"/>
  <c r="AE237" i="6"/>
  <c r="AF237" i="6"/>
  <c r="AG237" i="6"/>
  <c r="AH237" i="6"/>
  <c r="AI237" i="6"/>
  <c r="AK237" i="6"/>
  <c r="AS237" i="6"/>
  <c r="AV237" i="6"/>
  <c r="AX237" i="6"/>
  <c r="AY237" i="6"/>
  <c r="AZ237" i="6"/>
  <c r="BA237" i="6"/>
  <c r="T238" i="6"/>
  <c r="V238" i="6"/>
  <c r="W238" i="6"/>
  <c r="AD238" i="6"/>
  <c r="AE238" i="6"/>
  <c r="AF238" i="6"/>
  <c r="AG238" i="6"/>
  <c r="AH238" i="6"/>
  <c r="AI238" i="6"/>
  <c r="AK238" i="6"/>
  <c r="AS238" i="6"/>
  <c r="AV238" i="6"/>
  <c r="AX238" i="6"/>
  <c r="AY238" i="6"/>
  <c r="AZ238" i="6"/>
  <c r="BA238" i="6"/>
  <c r="T239" i="6"/>
  <c r="V239" i="6"/>
  <c r="W239" i="6"/>
  <c r="AD239" i="6"/>
  <c r="AE239" i="6"/>
  <c r="AF239" i="6"/>
  <c r="AG239" i="6"/>
  <c r="AH239" i="6"/>
  <c r="AI239" i="6"/>
  <c r="AK239" i="6"/>
  <c r="AS239" i="6"/>
  <c r="AV239" i="6"/>
  <c r="AX239" i="6"/>
  <c r="AY239" i="6"/>
  <c r="AZ239" i="6"/>
  <c r="BA239" i="6"/>
  <c r="T240" i="6"/>
  <c r="V240" i="6"/>
  <c r="W240" i="6"/>
  <c r="AD240" i="6"/>
  <c r="AE240" i="6"/>
  <c r="AF240" i="6"/>
  <c r="AG240" i="6"/>
  <c r="AH240" i="6"/>
  <c r="AI240" i="6"/>
  <c r="AK240" i="6"/>
  <c r="AS240" i="6"/>
  <c r="AV240" i="6"/>
  <c r="AX240" i="6"/>
  <c r="AY240" i="6"/>
  <c r="AZ240" i="6"/>
  <c r="BA240" i="6"/>
  <c r="T241" i="6"/>
  <c r="V241" i="6"/>
  <c r="W241" i="6"/>
  <c r="AD241" i="6"/>
  <c r="AE241" i="6"/>
  <c r="AF241" i="6"/>
  <c r="AG241" i="6"/>
  <c r="AH241" i="6"/>
  <c r="AI241" i="6"/>
  <c r="AK241" i="6"/>
  <c r="AS241" i="6"/>
  <c r="AV241" i="6"/>
  <c r="AX241" i="6"/>
  <c r="AY241" i="6"/>
  <c r="AZ241" i="6"/>
  <c r="BA241" i="6"/>
  <c r="T242" i="6"/>
  <c r="V242" i="6"/>
  <c r="W242" i="6"/>
  <c r="AD242" i="6"/>
  <c r="AE242" i="6"/>
  <c r="AF242" i="6"/>
  <c r="AG242" i="6"/>
  <c r="AH242" i="6"/>
  <c r="AI242" i="6"/>
  <c r="AK242" i="6"/>
  <c r="AS242" i="6"/>
  <c r="AV242" i="6"/>
  <c r="AX242" i="6"/>
  <c r="AY242" i="6"/>
  <c r="AZ242" i="6"/>
  <c r="BA242" i="6"/>
  <c r="T243" i="6"/>
  <c r="V243" i="6"/>
  <c r="W243" i="6"/>
  <c r="AD243" i="6"/>
  <c r="AE243" i="6"/>
  <c r="AF243" i="6"/>
  <c r="AG243" i="6"/>
  <c r="AH243" i="6"/>
  <c r="AI243" i="6"/>
  <c r="AK243" i="6"/>
  <c r="AS243" i="6"/>
  <c r="AV243" i="6"/>
  <c r="AX243" i="6"/>
  <c r="AY243" i="6"/>
  <c r="AZ243" i="6"/>
  <c r="BA243" i="6"/>
  <c r="T244" i="6"/>
  <c r="V244" i="6"/>
  <c r="W244" i="6"/>
  <c r="AD244" i="6"/>
  <c r="AE244" i="6"/>
  <c r="AF244" i="6"/>
  <c r="AG244" i="6"/>
  <c r="AH244" i="6"/>
  <c r="AI244" i="6"/>
  <c r="AK244" i="6"/>
  <c r="AS244" i="6"/>
  <c r="AV244" i="6"/>
  <c r="AX244" i="6"/>
  <c r="AY244" i="6"/>
  <c r="AZ244" i="6"/>
  <c r="BA244" i="6"/>
  <c r="T245" i="6"/>
  <c r="V245" i="6"/>
  <c r="W245" i="6"/>
  <c r="AD245" i="6"/>
  <c r="AE245" i="6"/>
  <c r="AF245" i="6"/>
  <c r="AG245" i="6"/>
  <c r="AH245" i="6"/>
  <c r="AI245" i="6"/>
  <c r="AK245" i="6"/>
  <c r="AS245" i="6"/>
  <c r="AV245" i="6"/>
  <c r="AX245" i="6"/>
  <c r="AY245" i="6"/>
  <c r="AZ245" i="6"/>
  <c r="BA245" i="6"/>
  <c r="T246" i="6"/>
  <c r="V246" i="6"/>
  <c r="W246" i="6"/>
  <c r="AD246" i="6"/>
  <c r="AE246" i="6"/>
  <c r="AF246" i="6"/>
  <c r="AG246" i="6"/>
  <c r="AH246" i="6"/>
  <c r="AI246" i="6"/>
  <c r="AK246" i="6"/>
  <c r="AS246" i="6"/>
  <c r="AV246" i="6"/>
  <c r="AX246" i="6"/>
  <c r="AY246" i="6"/>
  <c r="AZ246" i="6"/>
  <c r="BA246" i="6"/>
  <c r="T247" i="6"/>
  <c r="V247" i="6"/>
  <c r="W247" i="6"/>
  <c r="AD247" i="6"/>
  <c r="AE247" i="6"/>
  <c r="AF247" i="6"/>
  <c r="AG247" i="6"/>
  <c r="AH247" i="6"/>
  <c r="AI247" i="6"/>
  <c r="AK247" i="6"/>
  <c r="AS247" i="6"/>
  <c r="AV247" i="6"/>
  <c r="AX247" i="6"/>
  <c r="AY247" i="6"/>
  <c r="AZ247" i="6"/>
  <c r="BA247" i="6"/>
  <c r="T248" i="6"/>
  <c r="V248" i="6"/>
  <c r="W248" i="6"/>
  <c r="AD248" i="6"/>
  <c r="AE248" i="6"/>
  <c r="AF248" i="6"/>
  <c r="AG248" i="6"/>
  <c r="AH248" i="6"/>
  <c r="AI248" i="6"/>
  <c r="AK248" i="6"/>
  <c r="AS248" i="6"/>
  <c r="AV248" i="6"/>
  <c r="AX248" i="6"/>
  <c r="AY248" i="6"/>
  <c r="AZ248" i="6"/>
  <c r="BA248" i="6"/>
  <c r="T249" i="6"/>
  <c r="V249" i="6"/>
  <c r="W249" i="6"/>
  <c r="AD249" i="6"/>
  <c r="AE249" i="6"/>
  <c r="AF249" i="6"/>
  <c r="AG249" i="6"/>
  <c r="AH249" i="6"/>
  <c r="AI249" i="6"/>
  <c r="AK249" i="6"/>
  <c r="AS249" i="6"/>
  <c r="AV249" i="6"/>
  <c r="AX249" i="6"/>
  <c r="AY249" i="6"/>
  <c r="AZ249" i="6"/>
  <c r="BA249" i="6"/>
  <c r="T250" i="6"/>
  <c r="V250" i="6"/>
  <c r="W250" i="6"/>
  <c r="AD250" i="6"/>
  <c r="AE250" i="6"/>
  <c r="AF250" i="6"/>
  <c r="AG250" i="6"/>
  <c r="AH250" i="6"/>
  <c r="AI250" i="6"/>
  <c r="AK250" i="6"/>
  <c r="AS250" i="6"/>
  <c r="AV250" i="6"/>
  <c r="AX250" i="6"/>
  <c r="AY250" i="6"/>
  <c r="AZ250" i="6"/>
  <c r="BA250" i="6"/>
  <c r="T251" i="6"/>
  <c r="V251" i="6"/>
  <c r="W251" i="6"/>
  <c r="AD251" i="6"/>
  <c r="AE251" i="6"/>
  <c r="AF251" i="6"/>
  <c r="AG251" i="6"/>
  <c r="AH251" i="6"/>
  <c r="AI251" i="6"/>
  <c r="AK251" i="6"/>
  <c r="AS251" i="6"/>
  <c r="AV251" i="6"/>
  <c r="AX251" i="6"/>
  <c r="AY251" i="6"/>
  <c r="AZ251" i="6"/>
  <c r="BA251" i="6"/>
  <c r="T252" i="6"/>
  <c r="V252" i="6"/>
  <c r="W252" i="6"/>
  <c r="AD252" i="6"/>
  <c r="AE252" i="6"/>
  <c r="AF252" i="6"/>
  <c r="AG252" i="6"/>
  <c r="AH252" i="6"/>
  <c r="AI252" i="6"/>
  <c r="AK252" i="6"/>
  <c r="AS252" i="6"/>
  <c r="AV252" i="6"/>
  <c r="AX252" i="6"/>
  <c r="AY252" i="6"/>
  <c r="AZ252" i="6"/>
  <c r="BA252" i="6"/>
  <c r="T253" i="6"/>
  <c r="V253" i="6"/>
  <c r="W253" i="6"/>
  <c r="AD253" i="6"/>
  <c r="AE253" i="6"/>
  <c r="AF253" i="6"/>
  <c r="AG253" i="6"/>
  <c r="AH253" i="6"/>
  <c r="AI253" i="6"/>
  <c r="AK253" i="6"/>
  <c r="AS253" i="6"/>
  <c r="AV253" i="6"/>
  <c r="AX253" i="6"/>
  <c r="AY253" i="6"/>
  <c r="AZ253" i="6"/>
  <c r="BA253" i="6"/>
  <c r="T254" i="6"/>
  <c r="V254" i="6"/>
  <c r="W254" i="6"/>
  <c r="AD254" i="6"/>
  <c r="AE254" i="6"/>
  <c r="AF254" i="6"/>
  <c r="AG254" i="6"/>
  <c r="AH254" i="6"/>
  <c r="AI254" i="6"/>
  <c r="AK254" i="6"/>
  <c r="AS254" i="6"/>
  <c r="AV254" i="6"/>
  <c r="AX254" i="6"/>
  <c r="AY254" i="6"/>
  <c r="AZ254" i="6"/>
  <c r="BA254" i="6"/>
  <c r="T255" i="6"/>
  <c r="V255" i="6"/>
  <c r="W255" i="6"/>
  <c r="AD255" i="6"/>
  <c r="AE255" i="6"/>
  <c r="AF255" i="6"/>
  <c r="AG255" i="6"/>
  <c r="AH255" i="6"/>
  <c r="AI255" i="6"/>
  <c r="AK255" i="6"/>
  <c r="AS255" i="6"/>
  <c r="AV255" i="6"/>
  <c r="AX255" i="6"/>
  <c r="AY255" i="6"/>
  <c r="AZ255" i="6"/>
  <c r="BA255" i="6"/>
  <c r="T256" i="6"/>
  <c r="V256" i="6"/>
  <c r="W256" i="6"/>
  <c r="AD256" i="6"/>
  <c r="AE256" i="6"/>
  <c r="AF256" i="6"/>
  <c r="AG256" i="6"/>
  <c r="AH256" i="6"/>
  <c r="AI256" i="6"/>
  <c r="AK256" i="6"/>
  <c r="AS256" i="6"/>
  <c r="AV256" i="6"/>
  <c r="AX256" i="6"/>
  <c r="AY256" i="6"/>
  <c r="AZ256" i="6"/>
  <c r="BA256" i="6"/>
  <c r="T257" i="6"/>
  <c r="V257" i="6"/>
  <c r="W257" i="6"/>
  <c r="AD257" i="6"/>
  <c r="AE257" i="6"/>
  <c r="AF257" i="6"/>
  <c r="AG257" i="6"/>
  <c r="AH257" i="6"/>
  <c r="AI257" i="6"/>
  <c r="AK257" i="6"/>
  <c r="AS257" i="6"/>
  <c r="AV257" i="6"/>
  <c r="AX257" i="6"/>
  <c r="AY257" i="6"/>
  <c r="AZ257" i="6"/>
  <c r="BA257" i="6"/>
  <c r="T258" i="6"/>
  <c r="V258" i="6"/>
  <c r="W258" i="6"/>
  <c r="AD258" i="6"/>
  <c r="AE258" i="6"/>
  <c r="AF258" i="6"/>
  <c r="AG258" i="6"/>
  <c r="AH258" i="6"/>
  <c r="AI258" i="6"/>
  <c r="AK258" i="6"/>
  <c r="AS258" i="6"/>
  <c r="AV258" i="6"/>
  <c r="AX258" i="6"/>
  <c r="AY258" i="6"/>
  <c r="AZ258" i="6"/>
  <c r="BA258" i="6"/>
  <c r="T259" i="6"/>
  <c r="V259" i="6"/>
  <c r="W259" i="6"/>
  <c r="AD259" i="6"/>
  <c r="AE259" i="6"/>
  <c r="AF259" i="6"/>
  <c r="AG259" i="6"/>
  <c r="AH259" i="6"/>
  <c r="AI259" i="6"/>
  <c r="AK259" i="6"/>
  <c r="AS259" i="6"/>
  <c r="AV259" i="6"/>
  <c r="AX259" i="6"/>
  <c r="AY259" i="6"/>
  <c r="AZ259" i="6"/>
  <c r="BA259" i="6"/>
  <c r="T260" i="6"/>
  <c r="V260" i="6"/>
  <c r="W260" i="6"/>
  <c r="AD260" i="6"/>
  <c r="AE260" i="6"/>
  <c r="AF260" i="6"/>
  <c r="AG260" i="6"/>
  <c r="AH260" i="6"/>
  <c r="AI260" i="6"/>
  <c r="AK260" i="6"/>
  <c r="AS260" i="6"/>
  <c r="AV260" i="6"/>
  <c r="AX260" i="6"/>
  <c r="AY260" i="6"/>
  <c r="AZ260" i="6"/>
  <c r="BA260" i="6"/>
  <c r="T261" i="6"/>
  <c r="V261" i="6"/>
  <c r="W261" i="6"/>
  <c r="AD261" i="6"/>
  <c r="AE261" i="6"/>
  <c r="AF261" i="6"/>
  <c r="AG261" i="6"/>
  <c r="AH261" i="6"/>
  <c r="AI261" i="6"/>
  <c r="AK261" i="6"/>
  <c r="AS261" i="6"/>
  <c r="AV261" i="6"/>
  <c r="AX261" i="6"/>
  <c r="AY261" i="6"/>
  <c r="AZ261" i="6"/>
  <c r="BA261" i="6"/>
  <c r="T262" i="6"/>
  <c r="V262" i="6"/>
  <c r="W262" i="6"/>
  <c r="AD262" i="6"/>
  <c r="AE262" i="6"/>
  <c r="AF262" i="6"/>
  <c r="AG262" i="6"/>
  <c r="AH262" i="6"/>
  <c r="AI262" i="6"/>
  <c r="AK262" i="6"/>
  <c r="AS262" i="6"/>
  <c r="AV262" i="6"/>
  <c r="AX262" i="6"/>
  <c r="AY262" i="6"/>
  <c r="AZ262" i="6"/>
  <c r="BA262" i="6"/>
  <c r="T263" i="6"/>
  <c r="V263" i="6"/>
  <c r="W263" i="6"/>
  <c r="AD263" i="6"/>
  <c r="AE263" i="6"/>
  <c r="AF263" i="6"/>
  <c r="AG263" i="6"/>
  <c r="AH263" i="6"/>
  <c r="AI263" i="6"/>
  <c r="AK263" i="6"/>
  <c r="AS263" i="6"/>
  <c r="AV263" i="6"/>
  <c r="AX263" i="6"/>
  <c r="AY263" i="6"/>
  <c r="AZ263" i="6"/>
  <c r="BA263" i="6"/>
  <c r="T264" i="6"/>
  <c r="V264" i="6"/>
  <c r="W264" i="6"/>
  <c r="AD264" i="6"/>
  <c r="AE264" i="6"/>
  <c r="AF264" i="6"/>
  <c r="AG264" i="6"/>
  <c r="AH264" i="6"/>
  <c r="AI264" i="6"/>
  <c r="AK264" i="6"/>
  <c r="AS264" i="6"/>
  <c r="AV264" i="6"/>
  <c r="AX264" i="6"/>
  <c r="AY264" i="6"/>
  <c r="AZ264" i="6"/>
  <c r="BA264" i="6"/>
  <c r="T265" i="6"/>
  <c r="V265" i="6"/>
  <c r="W265" i="6"/>
  <c r="AD265" i="6"/>
  <c r="AE265" i="6"/>
  <c r="AF265" i="6"/>
  <c r="AG265" i="6"/>
  <c r="AH265" i="6"/>
  <c r="AI265" i="6"/>
  <c r="AK265" i="6"/>
  <c r="AS265" i="6"/>
  <c r="AV265" i="6"/>
  <c r="AX265" i="6"/>
  <c r="AY265" i="6"/>
  <c r="AZ265" i="6"/>
  <c r="BA265" i="6"/>
  <c r="T266" i="6"/>
  <c r="V266" i="6"/>
  <c r="W266" i="6"/>
  <c r="AD266" i="6"/>
  <c r="AE266" i="6"/>
  <c r="AF266" i="6"/>
  <c r="AG266" i="6"/>
  <c r="AH266" i="6"/>
  <c r="AI266" i="6"/>
  <c r="AK266" i="6"/>
  <c r="AS266" i="6"/>
  <c r="AV266" i="6"/>
  <c r="AX266" i="6"/>
  <c r="AY266" i="6"/>
  <c r="AZ266" i="6"/>
  <c r="BA266" i="6"/>
  <c r="T267" i="6"/>
  <c r="V267" i="6"/>
  <c r="W267" i="6"/>
  <c r="AD267" i="6"/>
  <c r="AE267" i="6"/>
  <c r="AF267" i="6"/>
  <c r="AG267" i="6"/>
  <c r="AH267" i="6"/>
  <c r="AI267" i="6"/>
  <c r="AK267" i="6"/>
  <c r="AS267" i="6"/>
  <c r="AV267" i="6"/>
  <c r="AX267" i="6"/>
  <c r="AY267" i="6"/>
  <c r="AZ267" i="6"/>
  <c r="BA267" i="6"/>
  <c r="T268" i="6"/>
  <c r="V268" i="6"/>
  <c r="W268" i="6"/>
  <c r="AD268" i="6"/>
  <c r="AE268" i="6"/>
  <c r="AF268" i="6"/>
  <c r="AG268" i="6"/>
  <c r="AH268" i="6"/>
  <c r="AI268" i="6"/>
  <c r="AK268" i="6"/>
  <c r="AS268" i="6"/>
  <c r="AV268" i="6"/>
  <c r="AX268" i="6"/>
  <c r="AY268" i="6"/>
  <c r="AZ268" i="6"/>
  <c r="BA268" i="6"/>
  <c r="T269" i="6"/>
  <c r="V269" i="6"/>
  <c r="W269" i="6"/>
  <c r="AD269" i="6"/>
  <c r="AE269" i="6"/>
  <c r="AF269" i="6"/>
  <c r="AG269" i="6"/>
  <c r="AH269" i="6"/>
  <c r="AI269" i="6"/>
  <c r="AK269" i="6"/>
  <c r="AS269" i="6"/>
  <c r="AV269" i="6"/>
  <c r="AX269" i="6"/>
  <c r="AY269" i="6"/>
  <c r="AZ269" i="6"/>
  <c r="BA269" i="6"/>
  <c r="T270" i="6"/>
  <c r="V270" i="6"/>
  <c r="W270" i="6"/>
  <c r="AD270" i="6"/>
  <c r="AE270" i="6"/>
  <c r="AF270" i="6"/>
  <c r="AG270" i="6"/>
  <c r="AH270" i="6"/>
  <c r="AI270" i="6"/>
  <c r="AK270" i="6"/>
  <c r="AS270" i="6"/>
  <c r="AV270" i="6"/>
  <c r="AX270" i="6"/>
  <c r="AY270" i="6"/>
  <c r="AZ270" i="6"/>
  <c r="BA270" i="6"/>
  <c r="T271" i="6"/>
  <c r="V271" i="6"/>
  <c r="W271" i="6"/>
  <c r="AD271" i="6"/>
  <c r="AE271" i="6"/>
  <c r="AF271" i="6"/>
  <c r="AG271" i="6"/>
  <c r="AH271" i="6"/>
  <c r="AI271" i="6"/>
  <c r="AK271" i="6"/>
  <c r="AS271" i="6"/>
  <c r="AV271" i="6"/>
  <c r="AX271" i="6"/>
  <c r="AY271" i="6"/>
  <c r="AZ271" i="6"/>
  <c r="BA271" i="6"/>
  <c r="T272" i="6"/>
  <c r="V272" i="6"/>
  <c r="W272" i="6"/>
  <c r="AD272" i="6"/>
  <c r="AE272" i="6"/>
  <c r="AF272" i="6"/>
  <c r="AG272" i="6"/>
  <c r="AH272" i="6"/>
  <c r="AI272" i="6"/>
  <c r="AK272" i="6"/>
  <c r="AS272" i="6"/>
  <c r="AV272" i="6"/>
  <c r="AX272" i="6"/>
  <c r="AY272" i="6"/>
  <c r="AZ272" i="6"/>
  <c r="BA272" i="6"/>
  <c r="T273" i="6"/>
  <c r="V273" i="6"/>
  <c r="W273" i="6"/>
  <c r="AD273" i="6"/>
  <c r="AE273" i="6"/>
  <c r="AF273" i="6"/>
  <c r="AG273" i="6"/>
  <c r="AH273" i="6"/>
  <c r="AI273" i="6"/>
  <c r="AK273" i="6"/>
  <c r="AS273" i="6"/>
  <c r="AV273" i="6"/>
  <c r="AX273" i="6"/>
  <c r="AY273" i="6"/>
  <c r="AZ273" i="6"/>
  <c r="BA273" i="6"/>
  <c r="T274" i="6"/>
  <c r="V274" i="6"/>
  <c r="W274" i="6"/>
  <c r="AD274" i="6"/>
  <c r="AE274" i="6"/>
  <c r="AF274" i="6"/>
  <c r="AG274" i="6"/>
  <c r="AH274" i="6"/>
  <c r="AI274" i="6"/>
  <c r="AK274" i="6"/>
  <c r="AS274" i="6"/>
  <c r="AV274" i="6"/>
  <c r="AX274" i="6"/>
  <c r="AY274" i="6"/>
  <c r="AZ274" i="6"/>
  <c r="BA274" i="6"/>
  <c r="T275" i="6"/>
  <c r="V275" i="6"/>
  <c r="W275" i="6"/>
  <c r="AD275" i="6"/>
  <c r="AE275" i="6"/>
  <c r="AF275" i="6"/>
  <c r="AG275" i="6"/>
  <c r="AH275" i="6"/>
  <c r="AI275" i="6"/>
  <c r="AK275" i="6"/>
  <c r="AS275" i="6"/>
  <c r="AV275" i="6"/>
  <c r="AX275" i="6"/>
  <c r="AY275" i="6"/>
  <c r="AZ275" i="6"/>
  <c r="BA275" i="6"/>
  <c r="T276" i="6"/>
  <c r="V276" i="6"/>
  <c r="W276" i="6"/>
  <c r="AD276" i="6"/>
  <c r="AE276" i="6"/>
  <c r="AF276" i="6"/>
  <c r="AG276" i="6"/>
  <c r="AH276" i="6"/>
  <c r="AI276" i="6"/>
  <c r="AK276" i="6"/>
  <c r="AS276" i="6"/>
  <c r="AV276" i="6"/>
  <c r="AX276" i="6"/>
  <c r="AY276" i="6"/>
  <c r="AZ276" i="6"/>
  <c r="BA276" i="6"/>
  <c r="T277" i="6"/>
  <c r="V277" i="6"/>
  <c r="W277" i="6"/>
  <c r="AD277" i="6"/>
  <c r="AE277" i="6"/>
  <c r="AF277" i="6"/>
  <c r="AG277" i="6"/>
  <c r="AH277" i="6"/>
  <c r="AI277" i="6"/>
  <c r="AK277" i="6"/>
  <c r="AS277" i="6"/>
  <c r="AV277" i="6"/>
  <c r="AX277" i="6"/>
  <c r="AY277" i="6"/>
  <c r="AZ277" i="6"/>
  <c r="BA277" i="6"/>
  <c r="T278" i="6"/>
  <c r="V278" i="6"/>
  <c r="W278" i="6"/>
  <c r="AD278" i="6"/>
  <c r="AE278" i="6"/>
  <c r="AF278" i="6"/>
  <c r="AG278" i="6"/>
  <c r="AH278" i="6"/>
  <c r="AI278" i="6"/>
  <c r="AK278" i="6"/>
  <c r="AS278" i="6"/>
  <c r="AV278" i="6"/>
  <c r="AX278" i="6"/>
  <c r="AY278" i="6"/>
  <c r="AZ278" i="6"/>
  <c r="BA278" i="6"/>
  <c r="T279" i="6"/>
  <c r="V279" i="6"/>
  <c r="W279" i="6"/>
  <c r="AD279" i="6"/>
  <c r="AE279" i="6"/>
  <c r="AF279" i="6"/>
  <c r="AG279" i="6"/>
  <c r="AH279" i="6"/>
  <c r="AI279" i="6"/>
  <c r="AK279" i="6"/>
  <c r="AS279" i="6"/>
  <c r="AV279" i="6"/>
  <c r="AX279" i="6"/>
  <c r="AY279" i="6"/>
  <c r="AZ279" i="6"/>
  <c r="BA279" i="6"/>
  <c r="T280" i="6"/>
  <c r="V280" i="6"/>
  <c r="W280" i="6"/>
  <c r="AD280" i="6"/>
  <c r="AE280" i="6"/>
  <c r="AF280" i="6"/>
  <c r="AG280" i="6"/>
  <c r="AH280" i="6"/>
  <c r="AI280" i="6"/>
  <c r="AK280" i="6"/>
  <c r="AS280" i="6"/>
  <c r="AV280" i="6"/>
  <c r="AX280" i="6"/>
  <c r="AY280" i="6"/>
  <c r="AZ280" i="6"/>
  <c r="BA280" i="6"/>
  <c r="T281" i="6"/>
  <c r="V281" i="6"/>
  <c r="W281" i="6"/>
  <c r="AD281" i="6"/>
  <c r="AE281" i="6"/>
  <c r="AF281" i="6"/>
  <c r="AG281" i="6"/>
  <c r="AH281" i="6"/>
  <c r="AI281" i="6"/>
  <c r="AK281" i="6"/>
  <c r="AS281" i="6"/>
  <c r="AV281" i="6"/>
  <c r="AX281" i="6"/>
  <c r="AY281" i="6"/>
  <c r="AZ281" i="6"/>
  <c r="BA281" i="6"/>
  <c r="T282" i="6"/>
  <c r="V282" i="6"/>
  <c r="W282" i="6"/>
  <c r="AD282" i="6"/>
  <c r="AE282" i="6"/>
  <c r="AF282" i="6"/>
  <c r="AG282" i="6"/>
  <c r="AH282" i="6"/>
  <c r="AI282" i="6"/>
  <c r="AK282" i="6"/>
  <c r="AS282" i="6"/>
  <c r="AV282" i="6"/>
  <c r="AX282" i="6"/>
  <c r="AY282" i="6"/>
  <c r="AZ282" i="6"/>
  <c r="BA282" i="6"/>
  <c r="T283" i="6"/>
  <c r="V283" i="6"/>
  <c r="W283" i="6"/>
  <c r="AD283" i="6"/>
  <c r="AE283" i="6"/>
  <c r="AF283" i="6"/>
  <c r="AG283" i="6"/>
  <c r="AH283" i="6"/>
  <c r="AI283" i="6"/>
  <c r="AK283" i="6"/>
  <c r="AS283" i="6"/>
  <c r="AV283" i="6"/>
  <c r="AX283" i="6"/>
  <c r="AY283" i="6"/>
  <c r="AZ283" i="6"/>
  <c r="BA283" i="6"/>
  <c r="T284" i="6"/>
  <c r="V284" i="6"/>
  <c r="W284" i="6"/>
  <c r="AD284" i="6"/>
  <c r="AE284" i="6"/>
  <c r="AF284" i="6"/>
  <c r="AG284" i="6"/>
  <c r="AH284" i="6"/>
  <c r="AI284" i="6"/>
  <c r="AK284" i="6"/>
  <c r="AS284" i="6"/>
  <c r="AV284" i="6"/>
  <c r="AX284" i="6"/>
  <c r="AY284" i="6"/>
  <c r="AZ284" i="6"/>
  <c r="BA284" i="6"/>
  <c r="T285" i="6"/>
  <c r="V285" i="6"/>
  <c r="W285" i="6"/>
  <c r="AD285" i="6"/>
  <c r="AE285" i="6"/>
  <c r="AF285" i="6"/>
  <c r="AG285" i="6"/>
  <c r="AH285" i="6"/>
  <c r="AI285" i="6"/>
  <c r="AK285" i="6"/>
  <c r="AS285" i="6"/>
  <c r="AV285" i="6"/>
  <c r="AX285" i="6"/>
  <c r="AY285" i="6"/>
  <c r="AZ285" i="6"/>
  <c r="BA285" i="6"/>
  <c r="T286" i="6"/>
  <c r="V286" i="6"/>
  <c r="W286" i="6"/>
  <c r="AD286" i="6"/>
  <c r="AE286" i="6"/>
  <c r="AF286" i="6"/>
  <c r="AG286" i="6"/>
  <c r="AH286" i="6"/>
  <c r="AI286" i="6"/>
  <c r="AK286" i="6"/>
  <c r="AS286" i="6"/>
  <c r="AV286" i="6"/>
  <c r="AX286" i="6"/>
  <c r="AY286" i="6"/>
  <c r="AZ286" i="6"/>
  <c r="BA286" i="6"/>
  <c r="T287" i="6"/>
  <c r="V287" i="6"/>
  <c r="W287" i="6"/>
  <c r="AD287" i="6"/>
  <c r="AE287" i="6"/>
  <c r="AF287" i="6"/>
  <c r="AG287" i="6"/>
  <c r="AH287" i="6"/>
  <c r="AI287" i="6"/>
  <c r="AK287" i="6"/>
  <c r="AS287" i="6"/>
  <c r="AV287" i="6"/>
  <c r="AX287" i="6"/>
  <c r="AY287" i="6"/>
  <c r="AZ287" i="6"/>
  <c r="BA287" i="6"/>
  <c r="T288" i="6"/>
  <c r="V288" i="6"/>
  <c r="W288" i="6"/>
  <c r="AD288" i="6"/>
  <c r="AE288" i="6"/>
  <c r="AF288" i="6"/>
  <c r="AG288" i="6"/>
  <c r="AH288" i="6"/>
  <c r="AI288" i="6"/>
  <c r="AK288" i="6"/>
  <c r="AS288" i="6"/>
  <c r="AV288" i="6"/>
  <c r="AX288" i="6"/>
  <c r="AY288" i="6"/>
  <c r="AZ288" i="6"/>
  <c r="BA288" i="6"/>
  <c r="T289" i="6"/>
  <c r="V289" i="6"/>
  <c r="W289" i="6"/>
  <c r="AD289" i="6"/>
  <c r="AE289" i="6"/>
  <c r="AF289" i="6"/>
  <c r="AG289" i="6"/>
  <c r="AH289" i="6"/>
  <c r="AI289" i="6"/>
  <c r="AK289" i="6"/>
  <c r="AS289" i="6"/>
  <c r="AV289" i="6"/>
  <c r="AX289" i="6"/>
  <c r="AY289" i="6"/>
  <c r="AZ289" i="6"/>
  <c r="BA289" i="6"/>
  <c r="T290" i="6"/>
  <c r="V290" i="6"/>
  <c r="W290" i="6"/>
  <c r="AD290" i="6"/>
  <c r="AE290" i="6"/>
  <c r="AF290" i="6"/>
  <c r="AG290" i="6"/>
  <c r="AH290" i="6"/>
  <c r="AI290" i="6"/>
  <c r="AK290" i="6"/>
  <c r="AS290" i="6"/>
  <c r="AV290" i="6"/>
  <c r="AX290" i="6"/>
  <c r="AY290" i="6"/>
  <c r="AZ290" i="6"/>
  <c r="BA290" i="6"/>
  <c r="T291" i="6"/>
  <c r="V291" i="6"/>
  <c r="W291" i="6"/>
  <c r="AD291" i="6"/>
  <c r="AE291" i="6"/>
  <c r="AF291" i="6"/>
  <c r="AG291" i="6"/>
  <c r="AH291" i="6"/>
  <c r="AI291" i="6"/>
  <c r="AK291" i="6"/>
  <c r="AS291" i="6"/>
  <c r="AV291" i="6"/>
  <c r="AX291" i="6"/>
  <c r="AY291" i="6"/>
  <c r="AZ291" i="6"/>
  <c r="BA291" i="6"/>
  <c r="T292" i="6"/>
  <c r="V292" i="6"/>
  <c r="W292" i="6"/>
  <c r="AD292" i="6"/>
  <c r="AE292" i="6"/>
  <c r="AF292" i="6"/>
  <c r="AG292" i="6"/>
  <c r="AH292" i="6"/>
  <c r="AI292" i="6"/>
  <c r="AK292" i="6"/>
  <c r="AS292" i="6"/>
  <c r="AV292" i="6"/>
  <c r="AX292" i="6"/>
  <c r="AY292" i="6"/>
  <c r="AZ292" i="6"/>
  <c r="BA292" i="6"/>
  <c r="T293" i="6"/>
  <c r="V293" i="6"/>
  <c r="W293" i="6"/>
  <c r="AD293" i="6"/>
  <c r="AE293" i="6"/>
  <c r="AF293" i="6"/>
  <c r="AG293" i="6"/>
  <c r="AH293" i="6"/>
  <c r="AI293" i="6"/>
  <c r="AK293" i="6"/>
  <c r="AS293" i="6"/>
  <c r="AV293" i="6"/>
  <c r="AX293" i="6"/>
  <c r="AY293" i="6"/>
  <c r="AZ293" i="6"/>
  <c r="BA293" i="6"/>
  <c r="T294" i="6"/>
  <c r="V294" i="6"/>
  <c r="W294" i="6"/>
  <c r="AD294" i="6"/>
  <c r="AE294" i="6"/>
  <c r="AF294" i="6"/>
  <c r="AG294" i="6"/>
  <c r="AH294" i="6"/>
  <c r="AI294" i="6"/>
  <c r="AK294" i="6"/>
  <c r="AS294" i="6"/>
  <c r="AV294" i="6"/>
  <c r="AX294" i="6"/>
  <c r="AY294" i="6"/>
  <c r="AZ294" i="6"/>
  <c r="BA294" i="6"/>
  <c r="T295" i="6"/>
  <c r="V295" i="6"/>
  <c r="W295" i="6"/>
  <c r="AD295" i="6"/>
  <c r="AE295" i="6"/>
  <c r="AF295" i="6"/>
  <c r="AG295" i="6"/>
  <c r="AH295" i="6"/>
  <c r="AI295" i="6"/>
  <c r="AK295" i="6"/>
  <c r="AS295" i="6"/>
  <c r="AV295" i="6"/>
  <c r="AX295" i="6"/>
  <c r="AY295" i="6"/>
  <c r="AZ295" i="6"/>
  <c r="BA295" i="6"/>
  <c r="T296" i="6"/>
  <c r="V296" i="6"/>
  <c r="W296" i="6"/>
  <c r="AD296" i="6"/>
  <c r="AE296" i="6"/>
  <c r="AF296" i="6"/>
  <c r="AG296" i="6"/>
  <c r="AH296" i="6"/>
  <c r="AI296" i="6"/>
  <c r="AK296" i="6"/>
  <c r="AS296" i="6"/>
  <c r="AV296" i="6"/>
  <c r="AX296" i="6"/>
  <c r="AY296" i="6"/>
  <c r="AZ296" i="6"/>
  <c r="BA296" i="6"/>
  <c r="T297" i="6"/>
  <c r="V297" i="6"/>
  <c r="W297" i="6"/>
  <c r="AD297" i="6"/>
  <c r="AE297" i="6"/>
  <c r="AF297" i="6"/>
  <c r="AG297" i="6"/>
  <c r="AH297" i="6"/>
  <c r="AI297" i="6"/>
  <c r="AK297" i="6"/>
  <c r="AS297" i="6"/>
  <c r="AV297" i="6"/>
  <c r="AX297" i="6"/>
  <c r="AY297" i="6"/>
  <c r="AZ297" i="6"/>
  <c r="BA297" i="6"/>
  <c r="T298" i="6"/>
  <c r="V298" i="6"/>
  <c r="W298" i="6"/>
  <c r="AD298" i="6"/>
  <c r="AE298" i="6"/>
  <c r="AF298" i="6"/>
  <c r="AG298" i="6"/>
  <c r="AH298" i="6"/>
  <c r="AI298" i="6"/>
  <c r="AK298" i="6"/>
  <c r="AS298" i="6"/>
  <c r="AV298" i="6"/>
  <c r="AX298" i="6"/>
  <c r="AY298" i="6"/>
  <c r="AZ298" i="6"/>
  <c r="BA298" i="6"/>
  <c r="T299" i="6"/>
  <c r="V299" i="6"/>
  <c r="W299" i="6"/>
  <c r="AD299" i="6"/>
  <c r="AE299" i="6"/>
  <c r="AF299" i="6"/>
  <c r="AG299" i="6"/>
  <c r="AH299" i="6"/>
  <c r="AI299" i="6"/>
  <c r="AK299" i="6"/>
  <c r="AS299" i="6"/>
  <c r="AV299" i="6"/>
  <c r="AX299" i="6"/>
  <c r="AY299" i="6"/>
  <c r="AZ299" i="6"/>
  <c r="BA299" i="6"/>
  <c r="T300" i="6"/>
  <c r="V300" i="6"/>
  <c r="W300" i="6"/>
  <c r="AD300" i="6"/>
  <c r="AE300" i="6"/>
  <c r="AF300" i="6"/>
  <c r="AG300" i="6"/>
  <c r="AH300" i="6"/>
  <c r="AI300" i="6"/>
  <c r="AK300" i="6"/>
  <c r="AS300" i="6"/>
  <c r="AV300" i="6"/>
  <c r="AX300" i="6"/>
  <c r="AY300" i="6"/>
  <c r="AZ300" i="6"/>
  <c r="BA300" i="6"/>
  <c r="T301" i="6"/>
  <c r="V301" i="6"/>
  <c r="W301" i="6"/>
  <c r="AD301" i="6"/>
  <c r="AE301" i="6"/>
  <c r="AF301" i="6"/>
  <c r="AG301" i="6"/>
  <c r="AH301" i="6"/>
  <c r="AI301" i="6"/>
  <c r="AK301" i="6"/>
  <c r="AS301" i="6"/>
  <c r="AV301" i="6"/>
  <c r="AX301" i="6"/>
  <c r="AY301" i="6"/>
  <c r="AZ301" i="6"/>
  <c r="BA301" i="6"/>
  <c r="T302" i="6"/>
  <c r="V302" i="6"/>
  <c r="W302" i="6"/>
  <c r="AD302" i="6"/>
  <c r="AE302" i="6"/>
  <c r="AF302" i="6"/>
  <c r="AG302" i="6"/>
  <c r="AH302" i="6"/>
  <c r="AI302" i="6"/>
  <c r="AK302" i="6"/>
  <c r="AS302" i="6"/>
  <c r="AV302" i="6"/>
  <c r="AX302" i="6"/>
  <c r="AY302" i="6"/>
  <c r="AZ302" i="6"/>
  <c r="BA302" i="6"/>
  <c r="T303" i="6"/>
  <c r="V303" i="6"/>
  <c r="W303" i="6"/>
  <c r="AD303" i="6"/>
  <c r="AE303" i="6"/>
  <c r="AF303" i="6"/>
  <c r="AG303" i="6"/>
  <c r="AH303" i="6"/>
  <c r="AI303" i="6"/>
  <c r="AK303" i="6"/>
  <c r="AS303" i="6"/>
  <c r="AV303" i="6"/>
  <c r="AX303" i="6"/>
  <c r="AY303" i="6"/>
  <c r="AZ303" i="6"/>
  <c r="BA303" i="6"/>
  <c r="T304" i="6"/>
  <c r="V304" i="6"/>
  <c r="W304" i="6"/>
  <c r="AD304" i="6"/>
  <c r="AE304" i="6"/>
  <c r="AF304" i="6"/>
  <c r="AG304" i="6"/>
  <c r="AH304" i="6"/>
  <c r="AI304" i="6"/>
  <c r="AK304" i="6"/>
  <c r="AS304" i="6"/>
  <c r="AV304" i="6"/>
  <c r="AX304" i="6"/>
  <c r="AY304" i="6"/>
  <c r="AZ304" i="6"/>
  <c r="BA304" i="6"/>
  <c r="T305" i="6"/>
  <c r="V305" i="6"/>
  <c r="W305" i="6"/>
  <c r="AD305" i="6"/>
  <c r="AE305" i="6"/>
  <c r="AF305" i="6"/>
  <c r="AG305" i="6"/>
  <c r="AH305" i="6"/>
  <c r="AI305" i="6"/>
  <c r="AK305" i="6"/>
  <c r="AS305" i="6"/>
  <c r="AV305" i="6"/>
  <c r="AX305" i="6"/>
  <c r="AY305" i="6"/>
  <c r="AZ305" i="6"/>
  <c r="BA305" i="6"/>
  <c r="T306" i="6"/>
  <c r="V306" i="6"/>
  <c r="W306" i="6"/>
  <c r="AD306" i="6"/>
  <c r="AE306" i="6"/>
  <c r="AF306" i="6"/>
  <c r="AG306" i="6"/>
  <c r="AH306" i="6"/>
  <c r="AI306" i="6"/>
  <c r="AK306" i="6"/>
  <c r="AS306" i="6"/>
  <c r="AV306" i="6"/>
  <c r="AX306" i="6"/>
  <c r="AY306" i="6"/>
  <c r="AZ306" i="6"/>
  <c r="BA306" i="6"/>
  <c r="T307" i="6"/>
  <c r="V307" i="6"/>
  <c r="W307" i="6"/>
  <c r="AD307" i="6"/>
  <c r="AE307" i="6"/>
  <c r="AF307" i="6"/>
  <c r="AG307" i="6"/>
  <c r="AH307" i="6"/>
  <c r="AI307" i="6"/>
  <c r="AK307" i="6"/>
  <c r="AS307" i="6"/>
  <c r="AV307" i="6"/>
  <c r="AX307" i="6"/>
  <c r="AY307" i="6"/>
  <c r="AZ307" i="6"/>
  <c r="BA307" i="6"/>
  <c r="T308" i="6"/>
  <c r="V308" i="6"/>
  <c r="W308" i="6"/>
  <c r="AD308" i="6"/>
  <c r="AE308" i="6"/>
  <c r="AF308" i="6"/>
  <c r="AG308" i="6"/>
  <c r="AH308" i="6"/>
  <c r="AI308" i="6"/>
  <c r="AK308" i="6"/>
  <c r="AS308" i="6"/>
  <c r="AV308" i="6"/>
  <c r="AX308" i="6"/>
  <c r="AY308" i="6"/>
  <c r="AZ308" i="6"/>
  <c r="BA308" i="6"/>
  <c r="T309" i="6"/>
  <c r="V309" i="6"/>
  <c r="W309" i="6"/>
  <c r="AD309" i="6"/>
  <c r="AE309" i="6"/>
  <c r="AF309" i="6"/>
  <c r="AG309" i="6"/>
  <c r="AH309" i="6"/>
  <c r="AI309" i="6"/>
  <c r="AK309" i="6"/>
  <c r="AS309" i="6"/>
  <c r="AV309" i="6"/>
  <c r="AX309" i="6"/>
  <c r="AY309" i="6"/>
  <c r="AZ309" i="6"/>
  <c r="BA309" i="6"/>
  <c r="T310" i="6"/>
  <c r="V310" i="6"/>
  <c r="W310" i="6"/>
  <c r="AD310" i="6"/>
  <c r="AE310" i="6"/>
  <c r="AF310" i="6"/>
  <c r="AG310" i="6"/>
  <c r="AH310" i="6"/>
  <c r="AI310" i="6"/>
  <c r="AK310" i="6"/>
  <c r="AS310" i="6"/>
  <c r="AV310" i="6"/>
  <c r="AX310" i="6"/>
  <c r="AY310" i="6"/>
  <c r="AZ310" i="6"/>
  <c r="BA310" i="6"/>
  <c r="T311" i="6"/>
  <c r="V311" i="6"/>
  <c r="W311" i="6"/>
  <c r="AD311" i="6"/>
  <c r="AE311" i="6"/>
  <c r="AF311" i="6"/>
  <c r="AG311" i="6"/>
  <c r="AH311" i="6"/>
  <c r="AI311" i="6"/>
  <c r="AK311" i="6"/>
  <c r="AS311" i="6"/>
  <c r="AV311" i="6"/>
  <c r="AX311" i="6"/>
  <c r="AY311" i="6"/>
  <c r="AZ311" i="6"/>
  <c r="BA311" i="6"/>
  <c r="T312" i="6"/>
  <c r="V312" i="6"/>
  <c r="W312" i="6"/>
  <c r="AD312" i="6"/>
  <c r="AE312" i="6"/>
  <c r="AF312" i="6"/>
  <c r="AG312" i="6"/>
  <c r="AH312" i="6"/>
  <c r="AI312" i="6"/>
  <c r="AK312" i="6"/>
  <c r="AS312" i="6"/>
  <c r="AV312" i="6"/>
  <c r="AX312" i="6"/>
  <c r="AY312" i="6"/>
  <c r="AZ312" i="6"/>
  <c r="BA312" i="6"/>
  <c r="T313" i="6"/>
  <c r="V313" i="6"/>
  <c r="W313" i="6"/>
  <c r="AD313" i="6"/>
  <c r="AE313" i="6"/>
  <c r="AF313" i="6"/>
  <c r="AG313" i="6"/>
  <c r="AH313" i="6"/>
  <c r="AI313" i="6"/>
  <c r="AK313" i="6"/>
  <c r="AS313" i="6"/>
  <c r="AV313" i="6"/>
  <c r="AX313" i="6"/>
  <c r="AY313" i="6"/>
  <c r="AZ313" i="6"/>
  <c r="BA313" i="6"/>
  <c r="T314" i="6"/>
  <c r="V314" i="6"/>
  <c r="W314" i="6"/>
  <c r="AD314" i="6"/>
  <c r="AE314" i="6"/>
  <c r="AF314" i="6"/>
  <c r="AG314" i="6"/>
  <c r="AH314" i="6"/>
  <c r="AI314" i="6"/>
  <c r="AK314" i="6"/>
  <c r="AS314" i="6"/>
  <c r="AV314" i="6"/>
  <c r="AX314" i="6"/>
  <c r="AY314" i="6"/>
  <c r="AZ314" i="6"/>
  <c r="BA314" i="6"/>
  <c r="T315" i="6"/>
  <c r="V315" i="6"/>
  <c r="W315" i="6"/>
  <c r="AD315" i="6"/>
  <c r="AE315" i="6"/>
  <c r="AF315" i="6"/>
  <c r="AG315" i="6"/>
  <c r="AH315" i="6"/>
  <c r="AI315" i="6"/>
  <c r="AK315" i="6"/>
  <c r="AS315" i="6"/>
  <c r="AV315" i="6"/>
  <c r="AX315" i="6"/>
  <c r="AY315" i="6"/>
  <c r="AZ315" i="6"/>
  <c r="BA315" i="6"/>
  <c r="T316" i="6"/>
  <c r="V316" i="6"/>
  <c r="W316" i="6"/>
  <c r="AD316" i="6"/>
  <c r="AE316" i="6"/>
  <c r="AF316" i="6"/>
  <c r="AG316" i="6"/>
  <c r="AH316" i="6"/>
  <c r="AI316" i="6"/>
  <c r="AK316" i="6"/>
  <c r="AS316" i="6"/>
  <c r="AV316" i="6"/>
  <c r="AX316" i="6"/>
  <c r="AY316" i="6"/>
  <c r="AZ316" i="6"/>
  <c r="BA316" i="6"/>
  <c r="T317" i="6"/>
  <c r="V317" i="6"/>
  <c r="W317" i="6"/>
  <c r="AD317" i="6"/>
  <c r="AE317" i="6"/>
  <c r="AF317" i="6"/>
  <c r="AG317" i="6"/>
  <c r="AH317" i="6"/>
  <c r="AI317" i="6"/>
  <c r="AK317" i="6"/>
  <c r="AS317" i="6"/>
  <c r="AV317" i="6"/>
  <c r="AX317" i="6"/>
  <c r="AY317" i="6"/>
  <c r="AZ317" i="6"/>
  <c r="BA317" i="6"/>
  <c r="T318" i="6"/>
  <c r="V318" i="6"/>
  <c r="W318" i="6"/>
  <c r="AD318" i="6"/>
  <c r="AE318" i="6"/>
  <c r="AF318" i="6"/>
  <c r="AG318" i="6"/>
  <c r="AH318" i="6"/>
  <c r="AI318" i="6"/>
  <c r="AK318" i="6"/>
  <c r="AS318" i="6"/>
  <c r="AV318" i="6"/>
  <c r="AX318" i="6"/>
  <c r="AY318" i="6"/>
  <c r="AZ318" i="6"/>
  <c r="BA318" i="6"/>
  <c r="T319" i="6"/>
  <c r="V319" i="6"/>
  <c r="W319" i="6"/>
  <c r="AD319" i="6"/>
  <c r="AE319" i="6"/>
  <c r="AF319" i="6"/>
  <c r="AG319" i="6"/>
  <c r="AH319" i="6"/>
  <c r="AI319" i="6"/>
  <c r="AK319" i="6"/>
  <c r="AS319" i="6"/>
  <c r="AV319" i="6"/>
  <c r="AX319" i="6"/>
  <c r="AY319" i="6"/>
  <c r="AZ319" i="6"/>
  <c r="BA319" i="6"/>
  <c r="T320" i="6"/>
  <c r="V320" i="6"/>
  <c r="W320" i="6"/>
  <c r="AD320" i="6"/>
  <c r="AE320" i="6"/>
  <c r="AF320" i="6"/>
  <c r="AG320" i="6"/>
  <c r="AH320" i="6"/>
  <c r="AI320" i="6"/>
  <c r="AK320" i="6"/>
  <c r="AS320" i="6"/>
  <c r="AV320" i="6"/>
  <c r="AX320" i="6"/>
  <c r="AY320" i="6"/>
  <c r="AZ320" i="6"/>
  <c r="BA320" i="6"/>
  <c r="T321" i="6"/>
  <c r="V321" i="6"/>
  <c r="W321" i="6"/>
  <c r="AD321" i="6"/>
  <c r="AE321" i="6"/>
  <c r="AF321" i="6"/>
  <c r="AG321" i="6"/>
  <c r="AH321" i="6"/>
  <c r="AI321" i="6"/>
  <c r="AK321" i="6"/>
  <c r="AS321" i="6"/>
  <c r="AV321" i="6"/>
  <c r="AX321" i="6"/>
  <c r="AY321" i="6"/>
  <c r="AZ321" i="6"/>
  <c r="BA321" i="6"/>
  <c r="T322" i="6"/>
  <c r="V322" i="6"/>
  <c r="W322" i="6"/>
  <c r="AD322" i="6"/>
  <c r="AE322" i="6"/>
  <c r="AF322" i="6"/>
  <c r="AG322" i="6"/>
  <c r="AH322" i="6"/>
  <c r="AI322" i="6"/>
  <c r="AK322" i="6"/>
  <c r="AS322" i="6"/>
  <c r="AV322" i="6"/>
  <c r="AX322" i="6"/>
  <c r="AY322" i="6"/>
  <c r="AZ322" i="6"/>
  <c r="BA322" i="6"/>
  <c r="T323" i="6"/>
  <c r="V323" i="6"/>
  <c r="W323" i="6"/>
  <c r="AD323" i="6"/>
  <c r="AE323" i="6"/>
  <c r="AF323" i="6"/>
  <c r="AG323" i="6"/>
  <c r="AH323" i="6"/>
  <c r="AI323" i="6"/>
  <c r="AK323" i="6"/>
  <c r="AS323" i="6"/>
  <c r="AV323" i="6"/>
  <c r="AX323" i="6"/>
  <c r="AY323" i="6"/>
  <c r="AZ323" i="6"/>
  <c r="BA323" i="6"/>
  <c r="T324" i="6"/>
  <c r="V324" i="6"/>
  <c r="W324" i="6"/>
  <c r="AD324" i="6"/>
  <c r="AE324" i="6"/>
  <c r="AF324" i="6"/>
  <c r="AG324" i="6"/>
  <c r="AH324" i="6"/>
  <c r="AI324" i="6"/>
  <c r="AK324" i="6"/>
  <c r="AS324" i="6"/>
  <c r="AV324" i="6"/>
  <c r="AX324" i="6"/>
  <c r="AY324" i="6"/>
  <c r="AZ324" i="6"/>
  <c r="BA324" i="6"/>
  <c r="T325" i="6"/>
  <c r="V325" i="6"/>
  <c r="W325" i="6"/>
  <c r="AD325" i="6"/>
  <c r="AE325" i="6"/>
  <c r="AF325" i="6"/>
  <c r="AG325" i="6"/>
  <c r="AH325" i="6"/>
  <c r="AI325" i="6"/>
  <c r="AK325" i="6"/>
  <c r="AS325" i="6"/>
  <c r="AV325" i="6"/>
  <c r="AX325" i="6"/>
  <c r="AY325" i="6"/>
  <c r="AZ325" i="6"/>
  <c r="BA325" i="6"/>
  <c r="T326" i="6"/>
  <c r="V326" i="6"/>
  <c r="W326" i="6"/>
  <c r="AD326" i="6"/>
  <c r="AE326" i="6"/>
  <c r="AF326" i="6"/>
  <c r="AG326" i="6"/>
  <c r="AH326" i="6"/>
  <c r="AI326" i="6"/>
  <c r="AK326" i="6"/>
  <c r="AS326" i="6"/>
  <c r="AV326" i="6"/>
  <c r="AX326" i="6"/>
  <c r="AY326" i="6"/>
  <c r="AZ326" i="6"/>
  <c r="BA326" i="6"/>
  <c r="BA6" i="6"/>
  <c r="AZ6" i="6"/>
  <c r="AY6" i="6"/>
  <c r="AX6" i="6"/>
  <c r="AV6" i="6"/>
  <c r="AS6" i="6"/>
  <c r="AK6" i="6"/>
  <c r="AI6" i="6"/>
  <c r="AH6" i="6"/>
  <c r="AG6" i="6"/>
  <c r="AF6" i="6"/>
  <c r="AE6" i="6"/>
  <c r="AD6" i="6"/>
  <c r="W6" i="6"/>
  <c r="V6" i="6"/>
  <c r="T6" i="6"/>
  <c r="S225" i="6"/>
  <c r="S226" i="6"/>
  <c r="S227" i="6"/>
  <c r="S224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R142" i="6"/>
  <c r="R143" i="6"/>
  <c r="R144" i="6"/>
  <c r="R145" i="6"/>
  <c r="R146" i="6"/>
  <c r="R147" i="6"/>
  <c r="R148" i="6"/>
  <c r="R149" i="6"/>
  <c r="R150" i="6"/>
  <c r="R151" i="6"/>
  <c r="R152" i="6"/>
  <c r="R153" i="6"/>
  <c r="R154" i="6"/>
  <c r="R155" i="6"/>
  <c r="R156" i="6"/>
  <c r="R157" i="6"/>
  <c r="R158" i="6"/>
  <c r="R159" i="6"/>
  <c r="R160" i="6"/>
  <c r="R161" i="6"/>
  <c r="R162" i="6"/>
  <c r="R163" i="6"/>
  <c r="R164" i="6"/>
  <c r="R165" i="6"/>
  <c r="R166" i="6"/>
  <c r="R167" i="6"/>
  <c r="R168" i="6"/>
  <c r="R169" i="6"/>
  <c r="R170" i="6"/>
  <c r="R171" i="6"/>
  <c r="R172" i="6"/>
  <c r="R173" i="6"/>
  <c r="R174" i="6"/>
  <c r="R175" i="6"/>
  <c r="R176" i="6"/>
  <c r="R177" i="6"/>
  <c r="R178" i="6"/>
  <c r="R179" i="6"/>
  <c r="R180" i="6"/>
  <c r="R181" i="6"/>
  <c r="R182" i="6"/>
  <c r="R183" i="6"/>
  <c r="R184" i="6"/>
  <c r="R185" i="6"/>
  <c r="R186" i="6"/>
  <c r="R187" i="6"/>
  <c r="R188" i="6"/>
  <c r="R189" i="6"/>
  <c r="R190" i="6"/>
  <c r="R191" i="6"/>
  <c r="R192" i="6"/>
  <c r="R193" i="6"/>
  <c r="R194" i="6"/>
  <c r="R195" i="6"/>
  <c r="R196" i="6"/>
  <c r="R197" i="6"/>
  <c r="R198" i="6"/>
  <c r="R199" i="6"/>
  <c r="R200" i="6"/>
  <c r="R201" i="6"/>
  <c r="R202" i="6"/>
  <c r="R203" i="6"/>
  <c r="R204" i="6"/>
  <c r="R205" i="6"/>
  <c r="R206" i="6"/>
  <c r="R207" i="6"/>
  <c r="R208" i="6"/>
  <c r="R209" i="6"/>
  <c r="R210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R309" i="6"/>
  <c r="R310" i="6"/>
  <c r="R311" i="6"/>
  <c r="R312" i="6"/>
  <c r="R313" i="6"/>
  <c r="R314" i="6"/>
  <c r="R315" i="6"/>
  <c r="R316" i="6"/>
  <c r="R317" i="6"/>
  <c r="R318" i="6"/>
  <c r="R319" i="6"/>
  <c r="R320" i="6"/>
  <c r="R321" i="6"/>
  <c r="R322" i="6"/>
  <c r="R323" i="6"/>
  <c r="R324" i="6"/>
  <c r="R325" i="6"/>
  <c r="R326" i="6"/>
  <c r="R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123" i="6"/>
  <c r="Q124" i="6"/>
  <c r="Q125" i="6"/>
  <c r="Q126" i="6"/>
  <c r="Q127" i="6"/>
  <c r="Q128" i="6"/>
  <c r="Q129" i="6"/>
  <c r="Q130" i="6"/>
  <c r="Q131" i="6"/>
  <c r="Q132" i="6"/>
  <c r="Q133" i="6"/>
  <c r="Q134" i="6"/>
  <c r="Q135" i="6"/>
  <c r="Q136" i="6"/>
  <c r="Q137" i="6"/>
  <c r="Q138" i="6"/>
  <c r="Q139" i="6"/>
  <c r="Q140" i="6"/>
  <c r="Q141" i="6"/>
  <c r="Q142" i="6"/>
  <c r="Q143" i="6"/>
  <c r="Q144" i="6"/>
  <c r="Q145" i="6"/>
  <c r="Q146" i="6"/>
  <c r="Q147" i="6"/>
  <c r="Q148" i="6"/>
  <c r="Q149" i="6"/>
  <c r="Q150" i="6"/>
  <c r="Q151" i="6"/>
  <c r="Q152" i="6"/>
  <c r="Q153" i="6"/>
  <c r="Q154" i="6"/>
  <c r="Q155" i="6"/>
  <c r="Q156" i="6"/>
  <c r="Q157" i="6"/>
  <c r="Q158" i="6"/>
  <c r="Q159" i="6"/>
  <c r="Q160" i="6"/>
  <c r="Q161" i="6"/>
  <c r="Q162" i="6"/>
  <c r="Q163" i="6"/>
  <c r="Q164" i="6"/>
  <c r="Q165" i="6"/>
  <c r="Q166" i="6"/>
  <c r="Q167" i="6"/>
  <c r="Q168" i="6"/>
  <c r="Q169" i="6"/>
  <c r="Q170" i="6"/>
  <c r="Q171" i="6"/>
  <c r="Q172" i="6"/>
  <c r="Q173" i="6"/>
  <c r="Q174" i="6"/>
  <c r="Q175" i="6"/>
  <c r="Q176" i="6"/>
  <c r="Q177" i="6"/>
  <c r="Q178" i="6"/>
  <c r="Q179" i="6"/>
  <c r="Q180" i="6"/>
  <c r="Q181" i="6"/>
  <c r="Q182" i="6"/>
  <c r="Q183" i="6"/>
  <c r="Q184" i="6"/>
  <c r="Q185" i="6"/>
  <c r="Q186" i="6"/>
  <c r="Q187" i="6"/>
  <c r="Q188" i="6"/>
  <c r="Q189" i="6"/>
  <c r="Q190" i="6"/>
  <c r="Q191" i="6"/>
  <c r="Q192" i="6"/>
  <c r="Q193" i="6"/>
  <c r="Q194" i="6"/>
  <c r="Q195" i="6"/>
  <c r="Q196" i="6"/>
  <c r="Q197" i="6"/>
  <c r="Q198" i="6"/>
  <c r="Q199" i="6"/>
  <c r="Q200" i="6"/>
  <c r="Q201" i="6"/>
  <c r="Q202" i="6"/>
  <c r="Q203" i="6"/>
  <c r="Q204" i="6"/>
  <c r="Q205" i="6"/>
  <c r="Q206" i="6"/>
  <c r="Q207" i="6"/>
  <c r="Q208" i="6"/>
  <c r="Q209" i="6"/>
  <c r="Q210" i="6"/>
  <c r="Q211" i="6"/>
  <c r="Q212" i="6"/>
  <c r="Q213" i="6"/>
  <c r="Q214" i="6"/>
  <c r="Q215" i="6"/>
  <c r="Q216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Q255" i="6"/>
  <c r="Q256" i="6"/>
  <c r="Q257" i="6"/>
  <c r="Q258" i="6"/>
  <c r="Q259" i="6"/>
  <c r="Q260" i="6"/>
  <c r="Q261" i="6"/>
  <c r="Q262" i="6"/>
  <c r="Q263" i="6"/>
  <c r="Q264" i="6"/>
  <c r="Q265" i="6"/>
  <c r="Q266" i="6"/>
  <c r="Q267" i="6"/>
  <c r="Q268" i="6"/>
  <c r="Q269" i="6"/>
  <c r="Q270" i="6"/>
  <c r="Q271" i="6"/>
  <c r="Q272" i="6"/>
  <c r="Q273" i="6"/>
  <c r="Q274" i="6"/>
  <c r="Q275" i="6"/>
  <c r="Q276" i="6"/>
  <c r="Q277" i="6"/>
  <c r="Q278" i="6"/>
  <c r="Q279" i="6"/>
  <c r="Q280" i="6"/>
  <c r="Q281" i="6"/>
  <c r="Q282" i="6"/>
  <c r="Q283" i="6"/>
  <c r="Q284" i="6"/>
  <c r="Q285" i="6"/>
  <c r="Q286" i="6"/>
  <c r="Q287" i="6"/>
  <c r="Q288" i="6"/>
  <c r="Q289" i="6"/>
  <c r="Q290" i="6"/>
  <c r="Q291" i="6"/>
  <c r="Q292" i="6"/>
  <c r="Q293" i="6"/>
  <c r="Q294" i="6"/>
  <c r="Q295" i="6"/>
  <c r="Q296" i="6"/>
  <c r="Q297" i="6"/>
  <c r="Q298" i="6"/>
  <c r="Q299" i="6"/>
  <c r="Q300" i="6"/>
  <c r="Q301" i="6"/>
  <c r="Q302" i="6"/>
  <c r="Q303" i="6"/>
  <c r="Q304" i="6"/>
  <c r="Q305" i="6"/>
  <c r="Q306" i="6"/>
  <c r="Q307" i="6"/>
  <c r="Q308" i="6"/>
  <c r="Q309" i="6"/>
  <c r="Q310" i="6"/>
  <c r="Q311" i="6"/>
  <c r="Q312" i="6"/>
  <c r="Q313" i="6"/>
  <c r="Q314" i="6"/>
  <c r="Q315" i="6"/>
  <c r="Q316" i="6"/>
  <c r="Q317" i="6"/>
  <c r="Q318" i="6"/>
  <c r="Q319" i="6"/>
  <c r="Q320" i="6"/>
  <c r="Q321" i="6"/>
  <c r="Q322" i="6"/>
  <c r="Q323" i="6"/>
  <c r="Q324" i="6"/>
  <c r="Q325" i="6"/>
  <c r="Q326" i="6"/>
  <c r="Q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6" i="6"/>
  <c r="W5" i="6" l="1"/>
  <c r="BA5" i="6"/>
  <c r="AD5" i="6"/>
  <c r="AA5" i="6"/>
  <c r="AK5" i="6"/>
  <c r="AZ5" i="6"/>
  <c r="AF5" i="6"/>
  <c r="AG5" i="6"/>
  <c r="AH5" i="6"/>
  <c r="AI5" i="6"/>
  <c r="AS5" i="6"/>
  <c r="AY5" i="6"/>
  <c r="AV5" i="6"/>
  <c r="AE5" i="6"/>
  <c r="T5" i="6"/>
  <c r="AX5" i="6"/>
  <c r="V5" i="6"/>
  <c r="E318" i="15" l="1"/>
  <c r="E268" i="15"/>
  <c r="E309" i="15"/>
  <c r="E322" i="15"/>
  <c r="E48" i="15"/>
  <c r="E137" i="15"/>
  <c r="E86" i="15"/>
  <c r="E152" i="15"/>
  <c r="E74" i="15"/>
  <c r="E187" i="15"/>
  <c r="E165" i="15"/>
  <c r="E123" i="15"/>
  <c r="E145" i="15"/>
  <c r="E205" i="15"/>
  <c r="E158" i="15"/>
  <c r="E292" i="15"/>
  <c r="E320" i="15"/>
  <c r="E250" i="15"/>
  <c r="E25" i="15"/>
  <c r="E258" i="15"/>
  <c r="E55" i="15"/>
  <c r="E37" i="15"/>
  <c r="E68" i="15"/>
  <c r="E319" i="15"/>
  <c r="E279" i="15"/>
  <c r="E283" i="15"/>
  <c r="E66" i="15"/>
  <c r="E277" i="15"/>
  <c r="E276" i="15"/>
  <c r="E102" i="15"/>
  <c r="E33" i="15"/>
  <c r="E259" i="15"/>
  <c r="E196" i="15"/>
  <c r="E307" i="15"/>
  <c r="E270" i="15"/>
  <c r="E106" i="15"/>
  <c r="E140" i="15"/>
  <c r="E45" i="15"/>
  <c r="E281" i="15"/>
  <c r="E315" i="15"/>
  <c r="E181" i="15"/>
  <c r="E154" i="15"/>
  <c r="E133" i="15"/>
  <c r="E275" i="15"/>
  <c r="E296" i="15"/>
  <c r="E109" i="15"/>
  <c r="E82" i="15"/>
  <c r="E194" i="15"/>
  <c r="E130" i="15"/>
  <c r="E314" i="15"/>
  <c r="E197" i="15"/>
  <c r="E262" i="15"/>
  <c r="E116" i="15"/>
  <c r="E209" i="15"/>
  <c r="E118" i="15"/>
  <c r="E235" i="15"/>
  <c r="E224" i="15"/>
  <c r="E301" i="15"/>
  <c r="E192" i="15"/>
  <c r="E20" i="15"/>
  <c r="E43" i="15"/>
  <c r="E63" i="15"/>
  <c r="E238" i="15"/>
  <c r="E305" i="15"/>
  <c r="E160" i="15"/>
  <c r="E253" i="15"/>
  <c r="E239" i="15"/>
  <c r="E168" i="15"/>
  <c r="E91" i="15"/>
  <c r="E128" i="15"/>
  <c r="E185" i="15"/>
  <c r="E70" i="15"/>
  <c r="E110" i="15"/>
  <c r="E233" i="15"/>
  <c r="E104" i="15"/>
  <c r="E221" i="15"/>
  <c r="E112" i="15"/>
  <c r="E170" i="15"/>
  <c r="E210" i="15"/>
  <c r="E29" i="15"/>
  <c r="E191" i="15"/>
  <c r="E311" i="15"/>
  <c r="E216" i="15"/>
  <c r="E97" i="15"/>
  <c r="E85" i="15"/>
  <c r="E213" i="15"/>
  <c r="E71" i="15"/>
  <c r="E304" i="15"/>
  <c r="E143" i="15"/>
  <c r="E274" i="15"/>
  <c r="E107" i="15"/>
  <c r="E252" i="15"/>
  <c r="E10" i="15"/>
  <c r="E41" i="15"/>
  <c r="E18" i="15"/>
  <c r="E60" i="15"/>
  <c r="E103" i="15"/>
  <c r="E161" i="15"/>
  <c r="E184" i="15"/>
  <c r="E119" i="15"/>
  <c r="E272" i="15"/>
  <c r="E67" i="15"/>
  <c r="E83" i="15"/>
  <c r="E31" i="15"/>
  <c r="E32" i="15"/>
  <c r="E94" i="15"/>
  <c r="E92" i="15"/>
  <c r="E193" i="15"/>
  <c r="E297" i="15"/>
  <c r="E17" i="15"/>
  <c r="E255" i="15"/>
  <c r="E284" i="15"/>
  <c r="E96" i="15"/>
  <c r="E27" i="15"/>
  <c r="E65" i="15"/>
  <c r="E172" i="15"/>
  <c r="E26" i="15"/>
  <c r="E201" i="15"/>
  <c r="E156" i="15"/>
  <c r="E14" i="15"/>
  <c r="E179" i="15"/>
  <c r="E61" i="15"/>
  <c r="E299" i="15"/>
  <c r="E52" i="15"/>
  <c r="E8" i="15"/>
  <c r="E199" i="15"/>
  <c r="E182" i="15"/>
  <c r="E50" i="15"/>
  <c r="E58" i="15"/>
  <c r="E240" i="15"/>
  <c r="E211" i="15"/>
  <c r="E256" i="15"/>
  <c r="E155" i="15"/>
  <c r="E176" i="15"/>
  <c r="E271" i="15"/>
  <c r="E177" i="15"/>
  <c r="E164" i="15"/>
  <c r="E87" i="15"/>
  <c r="E183" i="15"/>
  <c r="E88" i="15"/>
  <c r="E306" i="15"/>
  <c r="E89" i="15"/>
  <c r="E115" i="15"/>
  <c r="E266" i="15"/>
  <c r="E269" i="15"/>
  <c r="E188" i="15"/>
  <c r="E173" i="15"/>
  <c r="E126" i="15"/>
  <c r="E62" i="15"/>
  <c r="E78" i="15"/>
  <c r="E290" i="15"/>
  <c r="E242" i="15"/>
  <c r="E189" i="15"/>
  <c r="E175" i="15"/>
  <c r="E186" i="15"/>
  <c r="E147" i="15"/>
  <c r="E308" i="15"/>
  <c r="E227" i="15"/>
  <c r="E117" i="15"/>
  <c r="E220" i="15"/>
  <c r="E222" i="15"/>
  <c r="E291" i="15"/>
  <c r="E321" i="15"/>
  <c r="E149" i="15"/>
  <c r="E72" i="15"/>
  <c r="E150" i="15"/>
  <c r="E80" i="15"/>
  <c r="E232" i="15"/>
  <c r="E223" i="15"/>
  <c r="E180" i="15"/>
  <c r="E289" i="15"/>
  <c r="E100" i="15"/>
  <c r="E243" i="15"/>
  <c r="E244" i="15"/>
  <c r="E79" i="15"/>
  <c r="E230" i="15"/>
  <c r="E265" i="15"/>
  <c r="E171" i="15"/>
  <c r="E19" i="15"/>
  <c r="E54" i="15"/>
  <c r="E312" i="15"/>
  <c r="E288" i="15"/>
  <c r="E146" i="15"/>
  <c r="E293" i="15"/>
  <c r="E254" i="15"/>
  <c r="E212" i="15"/>
  <c r="E261" i="15"/>
  <c r="E44" i="15"/>
  <c r="E9" i="15"/>
  <c r="E249" i="15"/>
  <c r="E295" i="15"/>
  <c r="E234" i="15"/>
  <c r="E113" i="15"/>
  <c r="E226" i="15"/>
  <c r="E22" i="15"/>
  <c r="E294" i="15"/>
  <c r="E35" i="15"/>
  <c r="E218" i="15"/>
  <c r="E142" i="15"/>
  <c r="E135" i="15"/>
  <c r="E15" i="15"/>
  <c r="E267" i="15"/>
  <c r="E114" i="15"/>
  <c r="E13" i="15"/>
  <c r="E49" i="15"/>
  <c r="E56" i="15"/>
  <c r="E47" i="15"/>
  <c r="E64" i="15"/>
  <c r="E111" i="15"/>
  <c r="E231" i="15"/>
  <c r="E59" i="15"/>
  <c r="E122" i="15"/>
  <c r="E121" i="15"/>
  <c r="E208" i="15"/>
  <c r="E77" i="15"/>
  <c r="E174" i="15"/>
  <c r="E34" i="15"/>
  <c r="E101" i="15"/>
  <c r="E316" i="15"/>
  <c r="E166" i="15"/>
  <c r="E273" i="15"/>
  <c r="E36" i="15"/>
  <c r="E120" i="15"/>
  <c r="E241" i="15"/>
  <c r="E169" i="15"/>
  <c r="E237" i="15"/>
  <c r="E317" i="15"/>
  <c r="E313" i="15"/>
  <c r="E75" i="15"/>
  <c r="E144" i="15"/>
  <c r="E141" i="15"/>
  <c r="E300" i="15"/>
  <c r="E246" i="15"/>
  <c r="E202" i="15"/>
  <c r="E16" i="15"/>
  <c r="E206" i="15"/>
  <c r="E286" i="15"/>
  <c r="E98" i="15"/>
  <c r="E263" i="15"/>
  <c r="E38" i="15"/>
  <c r="E225" i="15"/>
  <c r="E148" i="15"/>
  <c r="E73" i="15"/>
  <c r="E99" i="15"/>
  <c r="E21" i="15"/>
  <c r="E303" i="15"/>
  <c r="E81" i="15"/>
  <c r="E134" i="15"/>
  <c r="E228" i="15"/>
  <c r="E204" i="15"/>
  <c r="E132" i="15"/>
  <c r="E53" i="15"/>
  <c r="E310" i="15"/>
  <c r="E248" i="15"/>
  <c r="E278" i="15"/>
  <c r="E198" i="15"/>
  <c r="E251" i="15"/>
  <c r="E42" i="15"/>
  <c r="E167" i="15"/>
  <c r="E236" i="15"/>
  <c r="E131" i="15"/>
  <c r="E190" i="15"/>
  <c r="E57" i="15"/>
  <c r="E163" i="15"/>
  <c r="E28" i="15"/>
  <c r="E90" i="15"/>
  <c r="E69" i="15"/>
  <c r="E84" i="15"/>
  <c r="E219" i="15"/>
  <c r="E214" i="15"/>
  <c r="E260" i="15"/>
  <c r="E282" i="15"/>
  <c r="E264" i="15"/>
  <c r="E302" i="15"/>
  <c r="E280" i="15"/>
  <c r="E298" i="15"/>
  <c r="E200" i="15"/>
  <c r="E136" i="15"/>
  <c r="E11" i="15"/>
  <c r="E95" i="15"/>
  <c r="E207" i="15"/>
  <c r="E257" i="15"/>
  <c r="E247" i="15"/>
  <c r="E157" i="15"/>
  <c r="E159" i="15"/>
  <c r="E245" i="15"/>
  <c r="E127" i="15"/>
  <c r="E139" i="15"/>
  <c r="E129" i="15"/>
  <c r="E46" i="15"/>
  <c r="E23" i="15"/>
  <c r="E24" i="15"/>
  <c r="E195" i="15"/>
  <c r="E30" i="15"/>
  <c r="E39" i="15"/>
  <c r="E215" i="15"/>
  <c r="E93" i="15"/>
  <c r="E51" i="15"/>
  <c r="E178" i="15"/>
  <c r="E124" i="15"/>
  <c r="E153" i="15"/>
  <c r="E287" i="15"/>
  <c r="E138" i="15"/>
  <c r="E203" i="15"/>
  <c r="E7" i="15"/>
  <c r="E285" i="15"/>
  <c r="E105" i="15"/>
  <c r="E40" i="15"/>
  <c r="E125" i="15"/>
  <c r="E108" i="15"/>
  <c r="E12" i="15"/>
  <c r="E217" i="15"/>
  <c r="E162" i="15"/>
  <c r="E151" i="15"/>
  <c r="E76" i="15"/>
  <c r="E229" i="15" l="1"/>
  <c r="E5" i="15" s="1"/>
  <c r="BN6" i="6"/>
  <c r="BB6" i="6" s="1"/>
  <c r="BN185" i="6" l="1"/>
  <c r="BO185" i="6" s="1"/>
  <c r="BM125" i="6"/>
  <c r="BN223" i="6"/>
  <c r="BM185" i="6"/>
  <c r="E5" i="6"/>
  <c r="BN125" i="6"/>
  <c r="BB125" i="6" s="1"/>
  <c r="F125" i="6" s="1"/>
  <c r="D125" i="6" s="1"/>
  <c r="BN42" i="6"/>
  <c r="BO42" i="6" s="1"/>
  <c r="BM42" i="6"/>
  <c r="D61" i="10"/>
  <c r="BP185" i="6" l="1"/>
  <c r="BB185" i="6"/>
  <c r="F185" i="6" s="1"/>
  <c r="D185" i="6" s="1"/>
  <c r="BP42" i="6"/>
  <c r="BB42" i="6"/>
  <c r="F42" i="6" s="1"/>
  <c r="D42" i="6" s="1"/>
  <c r="O5" i="6" l="1"/>
  <c r="F18" i="10" s="1"/>
  <c r="BC5" i="6"/>
  <c r="F15" i="10" l="1"/>
  <c r="L10" i="10"/>
  <c r="BN132" i="6" l="1"/>
  <c r="BB132" i="6" s="1"/>
  <c r="BN134" i="6"/>
  <c r="BB134" i="6" s="1"/>
  <c r="BN156" i="6"/>
  <c r="BB156" i="6" s="1"/>
  <c r="BN158" i="6"/>
  <c r="BB158" i="6" s="1"/>
  <c r="BN168" i="6"/>
  <c r="BB168" i="6" s="1"/>
  <c r="BN170" i="6"/>
  <c r="BB170" i="6" s="1"/>
  <c r="BN193" i="6"/>
  <c r="BB193" i="6" s="1"/>
  <c r="BN195" i="6"/>
  <c r="BB195" i="6" s="1"/>
  <c r="BN205" i="6"/>
  <c r="BB205" i="6" s="1"/>
  <c r="BN207" i="6"/>
  <c r="BB207" i="6" s="1"/>
  <c r="BN231" i="6"/>
  <c r="BB231" i="6" s="1"/>
  <c r="BN243" i="6"/>
  <c r="BB243" i="6" s="1"/>
  <c r="BN267" i="6"/>
  <c r="BB267" i="6" s="1"/>
  <c r="BN279" i="6"/>
  <c r="BB279" i="6" s="1"/>
  <c r="BN303" i="6"/>
  <c r="BB303" i="6" s="1"/>
  <c r="BN315" i="6"/>
  <c r="BB315" i="6" s="1"/>
  <c r="BN130" i="6"/>
  <c r="BB130" i="6" s="1"/>
  <c r="BN142" i="6"/>
  <c r="BB142" i="6" s="1"/>
  <c r="BN143" i="6"/>
  <c r="BB143" i="6" s="1"/>
  <c r="BN154" i="6"/>
  <c r="BB154" i="6" s="1"/>
  <c r="BN191" i="6"/>
  <c r="BB191" i="6" s="1"/>
  <c r="BN192" i="6"/>
  <c r="BB192" i="6" s="1"/>
  <c r="BN203" i="6"/>
  <c r="BB203" i="6" s="1"/>
  <c r="BN239" i="6"/>
  <c r="BB239" i="6" s="1"/>
  <c r="BN264" i="6"/>
  <c r="BB264" i="6" s="1"/>
  <c r="BN275" i="6"/>
  <c r="BB275" i="6" s="1"/>
  <c r="BN276" i="6"/>
  <c r="BB276" i="6" s="1"/>
  <c r="BN287" i="6"/>
  <c r="BB287" i="6" s="1"/>
  <c r="BN311" i="6"/>
  <c r="BB311" i="6" s="1"/>
  <c r="BN323" i="6"/>
  <c r="BB323" i="6" s="1"/>
  <c r="BN166" i="6"/>
  <c r="BB166" i="6" s="1"/>
  <c r="BN178" i="6"/>
  <c r="BB178" i="6" s="1"/>
  <c r="BN215" i="6"/>
  <c r="BB215" i="6" s="1"/>
  <c r="BN216" i="6"/>
  <c r="BB216" i="6" s="1"/>
  <c r="BN227" i="6"/>
  <c r="BB227" i="6" s="1"/>
  <c r="F227" i="6" s="1"/>
  <c r="D227" i="6" s="1"/>
  <c r="BN251" i="6"/>
  <c r="BB251" i="6" s="1"/>
  <c r="BN288" i="6"/>
  <c r="BB288" i="6" s="1"/>
  <c r="BN300" i="6"/>
  <c r="BB300" i="6" s="1"/>
  <c r="BN229" i="6" l="1"/>
  <c r="BB229" i="6" s="1"/>
  <c r="BN312" i="6"/>
  <c r="BB312" i="6" s="1"/>
  <c r="BN240" i="6"/>
  <c r="BB240" i="6" s="1"/>
  <c r="BN179" i="6"/>
  <c r="BB179" i="6" s="1"/>
  <c r="BN277" i="6"/>
  <c r="BB277" i="6" s="1"/>
  <c r="BN241" i="6"/>
  <c r="BB241" i="6" s="1"/>
  <c r="BN324" i="6"/>
  <c r="BB324" i="6" s="1"/>
  <c r="BN252" i="6"/>
  <c r="BB252" i="6" s="1"/>
  <c r="BN228" i="6"/>
  <c r="BB228" i="6" s="1"/>
  <c r="BN204" i="6"/>
  <c r="BB204" i="6" s="1"/>
  <c r="BN167" i="6"/>
  <c r="BB167" i="6" s="1"/>
  <c r="BN155" i="6"/>
  <c r="BB155" i="6" s="1"/>
  <c r="BN131" i="6"/>
  <c r="BB131" i="6" s="1"/>
  <c r="BN313" i="6"/>
  <c r="BB313" i="6" s="1"/>
  <c r="BN265" i="6"/>
  <c r="BB265" i="6" s="1"/>
  <c r="BN301" i="6"/>
  <c r="BB301" i="6" s="1"/>
  <c r="BN263" i="6"/>
  <c r="BB263" i="6" s="1"/>
  <c r="BN299" i="6"/>
  <c r="BB299" i="6" s="1"/>
  <c r="BN291" i="6"/>
  <c r="BB291" i="6" s="1"/>
  <c r="BN255" i="6"/>
  <c r="BB255" i="6" s="1"/>
  <c r="BN219" i="6"/>
  <c r="BB219" i="6" s="1"/>
  <c r="BN182" i="6"/>
  <c r="BB182" i="6" s="1"/>
  <c r="BN146" i="6"/>
  <c r="BB146" i="6" s="1"/>
  <c r="BN325" i="6"/>
  <c r="BB325" i="6" s="1"/>
  <c r="BN289" i="6"/>
  <c r="BB289" i="6" s="1"/>
  <c r="BN253" i="6"/>
  <c r="BB253" i="6" s="1"/>
  <c r="BN217" i="6"/>
  <c r="BB217" i="6" s="1"/>
  <c r="BN180" i="6"/>
  <c r="BB180" i="6" s="1"/>
  <c r="BN144" i="6"/>
  <c r="BB144" i="6" s="1"/>
  <c r="BM6" i="6"/>
  <c r="BN326" i="6"/>
  <c r="BB326" i="6" s="1"/>
  <c r="BN314" i="6"/>
  <c r="BB314" i="6" s="1"/>
  <c r="BN302" i="6"/>
  <c r="BB302" i="6" s="1"/>
  <c r="BN290" i="6"/>
  <c r="BB290" i="6" s="1"/>
  <c r="BN278" i="6"/>
  <c r="BB278" i="6" s="1"/>
  <c r="BN266" i="6"/>
  <c r="BB266" i="6" s="1"/>
  <c r="BN254" i="6"/>
  <c r="BB254" i="6" s="1"/>
  <c r="BN242" i="6"/>
  <c r="BB242" i="6" s="1"/>
  <c r="BN230" i="6"/>
  <c r="BB230" i="6" s="1"/>
  <c r="BN218" i="6"/>
  <c r="BB218" i="6" s="1"/>
  <c r="BN206" i="6"/>
  <c r="BB206" i="6" s="1"/>
  <c r="BN194" i="6"/>
  <c r="BB194" i="6" s="1"/>
  <c r="BN181" i="6"/>
  <c r="BB181" i="6" s="1"/>
  <c r="BN169" i="6"/>
  <c r="BB169" i="6" s="1"/>
  <c r="BN157" i="6"/>
  <c r="BB157" i="6" s="1"/>
  <c r="BN145" i="6"/>
  <c r="BB145" i="6" s="1"/>
  <c r="BN133" i="6"/>
  <c r="BB133" i="6" s="1"/>
  <c r="BN322" i="6"/>
  <c r="BB322" i="6" s="1"/>
  <c r="BN298" i="6"/>
  <c r="BB298" i="6" s="1"/>
  <c r="BN286" i="6"/>
  <c r="BB286" i="6" s="1"/>
  <c r="BN274" i="6"/>
  <c r="BB274" i="6" s="1"/>
  <c r="BN262" i="6"/>
  <c r="BB262" i="6" s="1"/>
  <c r="BN250" i="6"/>
  <c r="BB250" i="6" s="1"/>
  <c r="BN238" i="6"/>
  <c r="BB238" i="6" s="1"/>
  <c r="BN214" i="6"/>
  <c r="BB214" i="6" s="1"/>
  <c r="BN202" i="6"/>
  <c r="BB202" i="6" s="1"/>
  <c r="BN190" i="6"/>
  <c r="BB190" i="6" s="1"/>
  <c r="BN177" i="6"/>
  <c r="BB177" i="6" s="1"/>
  <c r="BN165" i="6"/>
  <c r="BB165" i="6" s="1"/>
  <c r="BN153" i="6"/>
  <c r="BB153" i="6" s="1"/>
  <c r="BN141" i="6"/>
  <c r="BB141" i="6" s="1"/>
  <c r="BN129" i="6"/>
  <c r="BB129" i="6" s="1"/>
  <c r="BN201" i="6"/>
  <c r="BB201" i="6" s="1"/>
  <c r="BN189" i="6"/>
  <c r="BB189" i="6" s="1"/>
  <c r="BN176" i="6"/>
  <c r="BB176" i="6" s="1"/>
  <c r="BN164" i="6"/>
  <c r="BB164" i="6" s="1"/>
  <c r="BN152" i="6"/>
  <c r="BB152" i="6" s="1"/>
  <c r="BN140" i="6"/>
  <c r="BB140" i="6" s="1"/>
  <c r="BN128" i="6"/>
  <c r="BB128" i="6" s="1"/>
  <c r="BN321" i="6"/>
  <c r="BB321" i="6" s="1"/>
  <c r="BN309" i="6"/>
  <c r="BB309" i="6" s="1"/>
  <c r="BN297" i="6"/>
  <c r="BB297" i="6" s="1"/>
  <c r="BN285" i="6"/>
  <c r="BB285" i="6" s="1"/>
  <c r="BN273" i="6"/>
  <c r="BB273" i="6" s="1"/>
  <c r="BN261" i="6"/>
  <c r="BB261" i="6" s="1"/>
  <c r="BN249" i="6"/>
  <c r="BB249" i="6" s="1"/>
  <c r="BN237" i="6"/>
  <c r="BB237" i="6" s="1"/>
  <c r="BN225" i="6"/>
  <c r="BB225" i="6" s="1"/>
  <c r="F225" i="6" s="1"/>
  <c r="D225" i="6" s="1"/>
  <c r="BN213" i="6"/>
  <c r="BB213" i="6" s="1"/>
  <c r="BN320" i="6"/>
  <c r="BB320" i="6" s="1"/>
  <c r="BN308" i="6"/>
  <c r="BB308" i="6" s="1"/>
  <c r="BN296" i="6"/>
  <c r="BB296" i="6" s="1"/>
  <c r="BN284" i="6"/>
  <c r="BB284" i="6" s="1"/>
  <c r="BN272" i="6"/>
  <c r="BB272" i="6" s="1"/>
  <c r="BN260" i="6"/>
  <c r="BB260" i="6" s="1"/>
  <c r="BN248" i="6"/>
  <c r="BB248" i="6" s="1"/>
  <c r="BN236" i="6"/>
  <c r="BB236" i="6" s="1"/>
  <c r="BN224" i="6"/>
  <c r="BB224" i="6" s="1"/>
  <c r="F224" i="6" s="1"/>
  <c r="D224" i="6" s="1"/>
  <c r="BN212" i="6"/>
  <c r="BB212" i="6" s="1"/>
  <c r="BN200" i="6"/>
  <c r="BB200" i="6" s="1"/>
  <c r="BN188" i="6"/>
  <c r="BB188" i="6" s="1"/>
  <c r="BN175" i="6"/>
  <c r="BB175" i="6" s="1"/>
  <c r="BN163" i="6"/>
  <c r="BB163" i="6" s="1"/>
  <c r="BN151" i="6"/>
  <c r="BB151" i="6" s="1"/>
  <c r="BN139" i="6"/>
  <c r="BB139" i="6" s="1"/>
  <c r="BN127" i="6"/>
  <c r="BB127" i="6" s="1"/>
  <c r="BN319" i="6"/>
  <c r="BB319" i="6" s="1"/>
  <c r="BN307" i="6"/>
  <c r="BB307" i="6" s="1"/>
  <c r="BN283" i="6"/>
  <c r="BB283" i="6" s="1"/>
  <c r="BN271" i="6"/>
  <c r="BB271" i="6" s="1"/>
  <c r="BN259" i="6"/>
  <c r="BB259" i="6" s="1"/>
  <c r="BN247" i="6"/>
  <c r="BB247" i="6" s="1"/>
  <c r="BN235" i="6"/>
  <c r="BB235" i="6" s="1"/>
  <c r="BB223" i="6"/>
  <c r="BN199" i="6"/>
  <c r="BB199" i="6" s="1"/>
  <c r="BN187" i="6"/>
  <c r="BB187" i="6" s="1"/>
  <c r="BN174" i="6"/>
  <c r="BB174" i="6" s="1"/>
  <c r="BN162" i="6"/>
  <c r="BB162" i="6" s="1"/>
  <c r="BN150" i="6"/>
  <c r="BB150" i="6" s="1"/>
  <c r="BN138" i="6"/>
  <c r="BB138" i="6" s="1"/>
  <c r="BN126" i="6"/>
  <c r="BB126" i="6" s="1"/>
  <c r="BN318" i="6"/>
  <c r="BB318" i="6" s="1"/>
  <c r="BN306" i="6"/>
  <c r="BB306" i="6" s="1"/>
  <c r="BN294" i="6"/>
  <c r="BB294" i="6" s="1"/>
  <c r="BN282" i="6"/>
  <c r="BB282" i="6" s="1"/>
  <c r="BN270" i="6"/>
  <c r="BB270" i="6" s="1"/>
  <c r="BN258" i="6"/>
  <c r="BB258" i="6" s="1"/>
  <c r="BN246" i="6"/>
  <c r="BB246" i="6" s="1"/>
  <c r="BN234" i="6"/>
  <c r="BB234" i="6" s="1"/>
  <c r="BN222" i="6"/>
  <c r="BB222" i="6" s="1"/>
  <c r="BN210" i="6"/>
  <c r="BB210" i="6" s="1"/>
  <c r="BN198" i="6"/>
  <c r="BB198" i="6" s="1"/>
  <c r="BN186" i="6"/>
  <c r="BB186" i="6" s="1"/>
  <c r="BN173" i="6"/>
  <c r="BB173" i="6" s="1"/>
  <c r="BN161" i="6"/>
  <c r="BB161" i="6" s="1"/>
  <c r="BN149" i="6"/>
  <c r="BB149" i="6" s="1"/>
  <c r="BN137" i="6"/>
  <c r="BB137" i="6" s="1"/>
  <c r="BN124" i="6"/>
  <c r="BB124" i="6" s="1"/>
  <c r="BN226" i="6"/>
  <c r="BB226" i="6" s="1"/>
  <c r="F226" i="6" s="1"/>
  <c r="D226" i="6" s="1"/>
  <c r="BN317" i="6"/>
  <c r="BB317" i="6" s="1"/>
  <c r="BN305" i="6"/>
  <c r="BB305" i="6" s="1"/>
  <c r="BN293" i="6"/>
  <c r="BB293" i="6" s="1"/>
  <c r="BN281" i="6"/>
  <c r="BB281" i="6" s="1"/>
  <c r="BN269" i="6"/>
  <c r="BB269" i="6" s="1"/>
  <c r="BN257" i="6"/>
  <c r="BB257" i="6" s="1"/>
  <c r="BN245" i="6"/>
  <c r="BB245" i="6" s="1"/>
  <c r="BN233" i="6"/>
  <c r="BB233" i="6" s="1"/>
  <c r="BN221" i="6"/>
  <c r="BB221" i="6" s="1"/>
  <c r="BN209" i="6"/>
  <c r="BB209" i="6" s="1"/>
  <c r="BN197" i="6"/>
  <c r="BB197" i="6" s="1"/>
  <c r="BN184" i="6"/>
  <c r="BB184" i="6" s="1"/>
  <c r="BN172" i="6"/>
  <c r="BB172" i="6" s="1"/>
  <c r="BN160" i="6"/>
  <c r="BB160" i="6" s="1"/>
  <c r="BN148" i="6"/>
  <c r="BB148" i="6" s="1"/>
  <c r="BN136" i="6"/>
  <c r="BB136" i="6" s="1"/>
  <c r="BN26" i="6"/>
  <c r="BO26" i="6" s="1"/>
  <c r="BN316" i="6"/>
  <c r="BB316" i="6" s="1"/>
  <c r="BN304" i="6"/>
  <c r="BB304" i="6" s="1"/>
  <c r="BN292" i="6"/>
  <c r="BB292" i="6" s="1"/>
  <c r="BN280" i="6"/>
  <c r="BB280" i="6" s="1"/>
  <c r="BN268" i="6"/>
  <c r="BB268" i="6" s="1"/>
  <c r="BN256" i="6"/>
  <c r="BB256" i="6" s="1"/>
  <c r="BN244" i="6"/>
  <c r="BB244" i="6" s="1"/>
  <c r="BN232" i="6"/>
  <c r="BB232" i="6" s="1"/>
  <c r="BN220" i="6"/>
  <c r="BB220" i="6" s="1"/>
  <c r="BN208" i="6"/>
  <c r="BB208" i="6" s="1"/>
  <c r="BN196" i="6"/>
  <c r="BB196" i="6" s="1"/>
  <c r="BN183" i="6"/>
  <c r="BB183" i="6" s="1"/>
  <c r="BN171" i="6"/>
  <c r="BB171" i="6" s="1"/>
  <c r="BN159" i="6"/>
  <c r="BB159" i="6" s="1"/>
  <c r="BN147" i="6"/>
  <c r="BB147" i="6" s="1"/>
  <c r="BN135" i="6"/>
  <c r="BB135" i="6" s="1"/>
  <c r="BM310" i="6"/>
  <c r="BN123" i="6"/>
  <c r="BO123" i="6" s="1"/>
  <c r="BM295" i="6"/>
  <c r="BM211" i="6"/>
  <c r="BM123" i="6"/>
  <c r="BM26" i="6"/>
  <c r="BN310" i="6"/>
  <c r="BP310" i="6" s="1"/>
  <c r="BN295" i="6"/>
  <c r="BO295" i="6" s="1"/>
  <c r="BN211" i="6"/>
  <c r="BO211" i="6" s="1"/>
  <c r="F33" i="10"/>
  <c r="BP26" i="6" l="1"/>
  <c r="BB26" i="6"/>
  <c r="BB123" i="6"/>
  <c r="BB295" i="6"/>
  <c r="BP295" i="6"/>
  <c r="BP123" i="6"/>
  <c r="BB310" i="6"/>
  <c r="BO310" i="6"/>
  <c r="BP211" i="6"/>
  <c r="BB211" i="6"/>
  <c r="C5" i="6"/>
  <c r="F255" i="6" l="1"/>
  <c r="F146" i="6"/>
  <c r="F279" i="6"/>
  <c r="F158" i="6"/>
  <c r="F219" i="6"/>
  <c r="F291" i="6"/>
  <c r="F207" i="6"/>
  <c r="F170" i="6"/>
  <c r="F315" i="6"/>
  <c r="F243" i="6"/>
  <c r="F134" i="6"/>
  <c r="F267" i="6"/>
  <c r="F231" i="6"/>
  <c r="F195" i="6"/>
  <c r="F320" i="6"/>
  <c r="F308" i="6"/>
  <c r="F296" i="6"/>
  <c r="F284" i="6"/>
  <c r="F272" i="6"/>
  <c r="F260" i="6"/>
  <c r="F248" i="6"/>
  <c r="F236" i="6"/>
  <c r="C221" i="15"/>
  <c r="F221" i="15" s="1"/>
  <c r="F212" i="6"/>
  <c r="F200" i="6"/>
  <c r="F188" i="6"/>
  <c r="F175" i="6"/>
  <c r="F163" i="6"/>
  <c r="F151" i="6"/>
  <c r="F139" i="6"/>
  <c r="F127" i="6"/>
  <c r="F303" i="6"/>
  <c r="F182" i="6"/>
  <c r="F321" i="6"/>
  <c r="F309" i="6"/>
  <c r="F297" i="6"/>
  <c r="F285" i="6"/>
  <c r="F273" i="6"/>
  <c r="F261" i="6"/>
  <c r="F249" i="6"/>
  <c r="F237" i="6"/>
  <c r="C222" i="15"/>
  <c r="I222" i="15" s="1"/>
  <c r="F213" i="6"/>
  <c r="F201" i="6"/>
  <c r="F189" i="6"/>
  <c r="F176" i="6"/>
  <c r="F164" i="6"/>
  <c r="F152" i="6"/>
  <c r="F140" i="6"/>
  <c r="F128" i="6"/>
  <c r="F307" i="6"/>
  <c r="F271" i="6"/>
  <c r="F259" i="6"/>
  <c r="F223" i="6"/>
  <c r="F174" i="6"/>
  <c r="F150" i="6"/>
  <c r="F258" i="6"/>
  <c r="F283" i="6"/>
  <c r="F235" i="6"/>
  <c r="F211" i="6"/>
  <c r="F162" i="6"/>
  <c r="F138" i="6"/>
  <c r="F270" i="6"/>
  <c r="F293" i="6"/>
  <c r="F233" i="6"/>
  <c r="F184" i="6"/>
  <c r="F123" i="6"/>
  <c r="F26" i="6"/>
  <c r="F319" i="6"/>
  <c r="F247" i="6"/>
  <c r="F187" i="6"/>
  <c r="F126" i="6"/>
  <c r="F318" i="6"/>
  <c r="F306" i="6"/>
  <c r="F294" i="6"/>
  <c r="F282" i="6"/>
  <c r="F246" i="6"/>
  <c r="F234" i="6"/>
  <c r="F222" i="6"/>
  <c r="F210" i="6"/>
  <c r="F198" i="6"/>
  <c r="F186" i="6"/>
  <c r="F173" i="6"/>
  <c r="F161" i="6"/>
  <c r="F149" i="6"/>
  <c r="F137" i="6"/>
  <c r="F124" i="6"/>
  <c r="F317" i="6"/>
  <c r="F305" i="6"/>
  <c r="F281" i="6"/>
  <c r="F269" i="6"/>
  <c r="F257" i="6"/>
  <c r="F245" i="6"/>
  <c r="F221" i="6"/>
  <c r="F209" i="6"/>
  <c r="F197" i="6"/>
  <c r="F172" i="6"/>
  <c r="F160" i="6"/>
  <c r="F148" i="6"/>
  <c r="F136" i="6"/>
  <c r="F199" i="6"/>
  <c r="F295" i="6"/>
  <c r="F322" i="6"/>
  <c r="F310" i="6"/>
  <c r="F298" i="6"/>
  <c r="F286" i="6"/>
  <c r="F274" i="6"/>
  <c r="F262" i="6"/>
  <c r="F250" i="6"/>
  <c r="F238" i="6"/>
  <c r="C223" i="15"/>
  <c r="F223" i="15" s="1"/>
  <c r="F214" i="6"/>
  <c r="F202" i="6"/>
  <c r="F190" i="6"/>
  <c r="F177" i="6"/>
  <c r="F165" i="6"/>
  <c r="F153" i="6"/>
  <c r="F141" i="6"/>
  <c r="F129" i="6"/>
  <c r="F323" i="6"/>
  <c r="F311" i="6"/>
  <c r="F299" i="6"/>
  <c r="F287" i="6"/>
  <c r="F275" i="6"/>
  <c r="F263" i="6"/>
  <c r="F251" i="6"/>
  <c r="F239" i="6"/>
  <c r="C224" i="15"/>
  <c r="I224" i="15" s="1"/>
  <c r="F215" i="6"/>
  <c r="F203" i="6"/>
  <c r="F191" i="6"/>
  <c r="F178" i="6"/>
  <c r="F166" i="6"/>
  <c r="F154" i="6"/>
  <c r="F142" i="6"/>
  <c r="F130" i="6"/>
  <c r="F316" i="6"/>
  <c r="F304" i="6"/>
  <c r="F292" i="6"/>
  <c r="F280" i="6"/>
  <c r="F268" i="6"/>
  <c r="F256" i="6"/>
  <c r="F244" i="6"/>
  <c r="F232" i="6"/>
  <c r="F220" i="6"/>
  <c r="F208" i="6"/>
  <c r="F196" i="6"/>
  <c r="F183" i="6"/>
  <c r="F171" i="6"/>
  <c r="F159" i="6"/>
  <c r="F147" i="6"/>
  <c r="F135" i="6"/>
  <c r="F326" i="6"/>
  <c r="D326" i="6" s="1"/>
  <c r="F314" i="6"/>
  <c r="F302" i="6"/>
  <c r="F290" i="6"/>
  <c r="F278" i="6"/>
  <c r="F266" i="6"/>
  <c r="F254" i="6"/>
  <c r="F242" i="6"/>
  <c r="F230" i="6"/>
  <c r="F218" i="6"/>
  <c r="F206" i="6"/>
  <c r="F194" i="6"/>
  <c r="F181" i="6"/>
  <c r="F169" i="6"/>
  <c r="F157" i="6"/>
  <c r="F145" i="6"/>
  <c r="F133" i="6"/>
  <c r="F325" i="6"/>
  <c r="F313" i="6"/>
  <c r="F301" i="6"/>
  <c r="F289" i="6"/>
  <c r="F277" i="6"/>
  <c r="F265" i="6"/>
  <c r="F253" i="6"/>
  <c r="F241" i="6"/>
  <c r="F229" i="6"/>
  <c r="F217" i="6"/>
  <c r="F205" i="6"/>
  <c r="F193" i="6"/>
  <c r="F180" i="6"/>
  <c r="F168" i="6"/>
  <c r="F156" i="6"/>
  <c r="F144" i="6"/>
  <c r="F132" i="6"/>
  <c r="F324" i="6"/>
  <c r="F312" i="6"/>
  <c r="F300" i="6"/>
  <c r="F288" i="6"/>
  <c r="F276" i="6"/>
  <c r="F264" i="6"/>
  <c r="F252" i="6"/>
  <c r="F240" i="6"/>
  <c r="F228" i="6"/>
  <c r="F216" i="6"/>
  <c r="F204" i="6"/>
  <c r="F192" i="6"/>
  <c r="F179" i="6"/>
  <c r="F167" i="6"/>
  <c r="F155" i="6"/>
  <c r="F143" i="6"/>
  <c r="F131" i="6"/>
  <c r="C273" i="15" l="1"/>
  <c r="F273" i="15" s="1"/>
  <c r="D276" i="6"/>
  <c r="C299" i="15"/>
  <c r="I299" i="15" s="1"/>
  <c r="D302" i="6"/>
  <c r="C271" i="15"/>
  <c r="F271" i="15" s="1"/>
  <c r="D274" i="6"/>
  <c r="C285" i="15"/>
  <c r="F285" i="15" s="1"/>
  <c r="D288" i="6"/>
  <c r="C310" i="15"/>
  <c r="I310" i="15" s="1"/>
  <c r="D314" i="6"/>
  <c r="C139" i="15"/>
  <c r="F139" i="15" s="1"/>
  <c r="D141" i="6"/>
  <c r="C183" i="15"/>
  <c r="F183" i="15" s="1"/>
  <c r="D186" i="6"/>
  <c r="C174" i="15"/>
  <c r="F174" i="15" s="1"/>
  <c r="D176" i="6"/>
  <c r="C240" i="15"/>
  <c r="I240" i="15" s="1"/>
  <c r="D243" i="6"/>
  <c r="C238" i="15"/>
  <c r="F238" i="15" s="1"/>
  <c r="D241" i="6"/>
  <c r="C179" i="15"/>
  <c r="I179" i="15" s="1"/>
  <c r="D181" i="6"/>
  <c r="C265" i="15"/>
  <c r="I265" i="15" s="1"/>
  <c r="D268" i="6"/>
  <c r="C212" i="15"/>
  <c r="I212" i="15" s="1"/>
  <c r="D215" i="6"/>
  <c r="C151" i="15"/>
  <c r="F151" i="15" s="1"/>
  <c r="D153" i="6"/>
  <c r="C295" i="15"/>
  <c r="F295" i="15" s="1"/>
  <c r="D298" i="6"/>
  <c r="C242" i="15"/>
  <c r="F242" i="15" s="1"/>
  <c r="D245" i="6"/>
  <c r="C195" i="15"/>
  <c r="F195" i="15" s="1"/>
  <c r="D198" i="6"/>
  <c r="C315" i="15"/>
  <c r="F315" i="15" s="1"/>
  <c r="D319" i="6"/>
  <c r="C255" i="15"/>
  <c r="I255" i="15" s="1"/>
  <c r="D258" i="6"/>
  <c r="C186" i="15"/>
  <c r="F186" i="15" s="1"/>
  <c r="D189" i="6"/>
  <c r="C180" i="15"/>
  <c r="I180" i="15" s="1"/>
  <c r="D182" i="6"/>
  <c r="C245" i="15"/>
  <c r="F245" i="15" s="1"/>
  <c r="D248" i="6"/>
  <c r="C311" i="15"/>
  <c r="F311" i="15" s="1"/>
  <c r="D315" i="6"/>
  <c r="C165" i="15"/>
  <c r="I165" i="15" s="1"/>
  <c r="D167" i="6"/>
  <c r="C308" i="15"/>
  <c r="I308" i="15" s="1"/>
  <c r="D312" i="6"/>
  <c r="C250" i="15"/>
  <c r="F250" i="15" s="1"/>
  <c r="D253" i="6"/>
  <c r="C191" i="15"/>
  <c r="F191" i="15" s="1"/>
  <c r="D194" i="6"/>
  <c r="C133" i="15"/>
  <c r="I133" i="15" s="1"/>
  <c r="D135" i="6"/>
  <c r="C277" i="15"/>
  <c r="I277" i="15" s="1"/>
  <c r="D280" i="6"/>
  <c r="C163" i="15"/>
  <c r="F163" i="15" s="1"/>
  <c r="D165" i="6"/>
  <c r="D310" i="6"/>
  <c r="C254" i="15"/>
  <c r="I254" i="15" s="1"/>
  <c r="D257" i="6"/>
  <c r="C207" i="15"/>
  <c r="I207" i="15" s="1"/>
  <c r="D210" i="6"/>
  <c r="C26" i="15"/>
  <c r="D26" i="6"/>
  <c r="C148" i="15"/>
  <c r="F148" i="15" s="1"/>
  <c r="D150" i="6"/>
  <c r="C198" i="15"/>
  <c r="F198" i="15" s="1"/>
  <c r="D201" i="6"/>
  <c r="C300" i="15"/>
  <c r="I300" i="15" s="1"/>
  <c r="D303" i="6"/>
  <c r="C257" i="15"/>
  <c r="I257" i="15" s="1"/>
  <c r="D260" i="6"/>
  <c r="C168" i="15"/>
  <c r="I168" i="15" s="1"/>
  <c r="D170" i="6"/>
  <c r="C177" i="15"/>
  <c r="F177" i="15" s="1"/>
  <c r="D179" i="6"/>
  <c r="C320" i="15"/>
  <c r="F320" i="15" s="1"/>
  <c r="D324" i="6"/>
  <c r="C262" i="15"/>
  <c r="I262" i="15" s="1"/>
  <c r="D265" i="6"/>
  <c r="C203" i="15"/>
  <c r="I203" i="15" s="1"/>
  <c r="D206" i="6"/>
  <c r="C236" i="15"/>
  <c r="F236" i="15" s="1"/>
  <c r="D239" i="6"/>
  <c r="C318" i="15"/>
  <c r="F318" i="15" s="1"/>
  <c r="D322" i="6"/>
  <c r="C219" i="15"/>
  <c r="F219" i="15" s="1"/>
  <c r="D222" i="6"/>
  <c r="C123" i="15"/>
  <c r="D123" i="6"/>
  <c r="C210" i="15"/>
  <c r="F210" i="15" s="1"/>
  <c r="D213" i="6"/>
  <c r="C269" i="15"/>
  <c r="F269" i="15" s="1"/>
  <c r="D272" i="6"/>
  <c r="C189" i="15"/>
  <c r="F189" i="15" s="1"/>
  <c r="D192" i="6"/>
  <c r="C274" i="15"/>
  <c r="F274" i="15" s="1"/>
  <c r="D277" i="6"/>
  <c r="C301" i="15"/>
  <c r="F301" i="15" s="1"/>
  <c r="D304" i="6"/>
  <c r="C288" i="15"/>
  <c r="I288" i="15" s="1"/>
  <c r="D291" i="6"/>
  <c r="C201" i="15"/>
  <c r="I201" i="15" s="1"/>
  <c r="D204" i="6"/>
  <c r="C142" i="15"/>
  <c r="I142" i="15" s="1"/>
  <c r="D144" i="6"/>
  <c r="C286" i="15"/>
  <c r="F286" i="15" s="1"/>
  <c r="D289" i="6"/>
  <c r="C227" i="15"/>
  <c r="I227" i="15" s="1"/>
  <c r="D230" i="6"/>
  <c r="C169" i="15"/>
  <c r="F169" i="15" s="1"/>
  <c r="D171" i="6"/>
  <c r="C312" i="15"/>
  <c r="F312" i="15" s="1"/>
  <c r="D316" i="6"/>
  <c r="C260" i="15"/>
  <c r="F260" i="15" s="1"/>
  <c r="D263" i="6"/>
  <c r="C199" i="15"/>
  <c r="F199" i="15" s="1"/>
  <c r="D202" i="6"/>
  <c r="C196" i="15"/>
  <c r="I196" i="15" s="1"/>
  <c r="D199" i="6"/>
  <c r="C302" i="15"/>
  <c r="I302" i="15" s="1"/>
  <c r="D305" i="6"/>
  <c r="C243" i="15"/>
  <c r="F243" i="15" s="1"/>
  <c r="D246" i="6"/>
  <c r="C230" i="15"/>
  <c r="I230" i="15" s="1"/>
  <c r="D233" i="6"/>
  <c r="C256" i="15"/>
  <c r="F256" i="15" s="1"/>
  <c r="D259" i="6"/>
  <c r="C234" i="15"/>
  <c r="F234" i="15" s="1"/>
  <c r="D237" i="6"/>
  <c r="C149" i="15"/>
  <c r="F149" i="15" s="1"/>
  <c r="D151" i="6"/>
  <c r="C293" i="15"/>
  <c r="I293" i="15" s="1"/>
  <c r="D296" i="6"/>
  <c r="C216" i="15"/>
  <c r="I216" i="15" s="1"/>
  <c r="D219" i="6"/>
  <c r="C145" i="15"/>
  <c r="I145" i="15" s="1"/>
  <c r="D147" i="6"/>
  <c r="C289" i="15"/>
  <c r="F289" i="15" s="1"/>
  <c r="D292" i="6"/>
  <c r="C175" i="15"/>
  <c r="F175" i="15" s="1"/>
  <c r="D177" i="6"/>
  <c r="C266" i="15"/>
  <c r="I266" i="15" s="1"/>
  <c r="D269" i="6"/>
  <c r="C172" i="15"/>
  <c r="F172" i="15" s="1"/>
  <c r="D174" i="6"/>
  <c r="C125" i="15"/>
  <c r="F125" i="15" s="1"/>
  <c r="D127" i="6"/>
  <c r="C204" i="15"/>
  <c r="I204" i="15" s="1"/>
  <c r="D207" i="6"/>
  <c r="C130" i="15"/>
  <c r="I130" i="15" s="1"/>
  <c r="D132" i="6"/>
  <c r="C215" i="15"/>
  <c r="I215" i="15" s="1"/>
  <c r="D218" i="6"/>
  <c r="C157" i="15"/>
  <c r="F157" i="15" s="1"/>
  <c r="D159" i="6"/>
  <c r="C248" i="15"/>
  <c r="F248" i="15" s="1"/>
  <c r="D251" i="6"/>
  <c r="C187" i="15"/>
  <c r="F187" i="15" s="1"/>
  <c r="D190" i="6"/>
  <c r="C292" i="15"/>
  <c r="D295" i="6"/>
  <c r="C278" i="15"/>
  <c r="I278" i="15" s="1"/>
  <c r="D281" i="6"/>
  <c r="C231" i="15"/>
  <c r="F231" i="15" s="1"/>
  <c r="D234" i="6"/>
  <c r="C182" i="15"/>
  <c r="I182" i="15" s="1"/>
  <c r="D184" i="6"/>
  <c r="C220" i="15"/>
  <c r="F220" i="15" s="1"/>
  <c r="D223" i="6"/>
  <c r="C137" i="15"/>
  <c r="F137" i="15" s="1"/>
  <c r="D139" i="6"/>
  <c r="C281" i="15"/>
  <c r="I281" i="15" s="1"/>
  <c r="D284" i="6"/>
  <c r="C213" i="15"/>
  <c r="I213" i="15" s="1"/>
  <c r="D216" i="6"/>
  <c r="C154" i="15"/>
  <c r="F154" i="15" s="1"/>
  <c r="D156" i="6"/>
  <c r="C298" i="15"/>
  <c r="I298" i="15" s="1"/>
  <c r="D301" i="6"/>
  <c r="C239" i="15"/>
  <c r="I239" i="15" s="1"/>
  <c r="D242" i="6"/>
  <c r="C181" i="15"/>
  <c r="I181" i="15" s="1"/>
  <c r="D183" i="6"/>
  <c r="C128" i="15"/>
  <c r="F128" i="15" s="1"/>
  <c r="D130" i="6"/>
  <c r="C272" i="15"/>
  <c r="I272" i="15" s="1"/>
  <c r="D275" i="6"/>
  <c r="C211" i="15"/>
  <c r="I211" i="15" s="1"/>
  <c r="D214" i="6"/>
  <c r="C134" i="15"/>
  <c r="F134" i="15" s="1"/>
  <c r="D136" i="6"/>
  <c r="C313" i="15"/>
  <c r="I313" i="15" s="1"/>
  <c r="D317" i="6"/>
  <c r="C279" i="15"/>
  <c r="F279" i="15" s="1"/>
  <c r="D282" i="6"/>
  <c r="C290" i="15"/>
  <c r="I290" i="15" s="1"/>
  <c r="D293" i="6"/>
  <c r="C268" i="15"/>
  <c r="F268" i="15" s="1"/>
  <c r="D271" i="6"/>
  <c r="C246" i="15"/>
  <c r="F246" i="15" s="1"/>
  <c r="D249" i="6"/>
  <c r="C161" i="15"/>
  <c r="F161" i="15" s="1"/>
  <c r="D163" i="6"/>
  <c r="C305" i="15"/>
  <c r="F305" i="15" s="1"/>
  <c r="D308" i="6"/>
  <c r="C156" i="15"/>
  <c r="I156" i="15" s="1"/>
  <c r="D158" i="6"/>
  <c r="C129" i="15"/>
  <c r="I129" i="15" s="1"/>
  <c r="D131" i="6"/>
  <c r="C214" i="15"/>
  <c r="I214" i="15" s="1"/>
  <c r="D217" i="6"/>
  <c r="C155" i="15"/>
  <c r="I155" i="15" s="1"/>
  <c r="D157" i="6"/>
  <c r="C241" i="15"/>
  <c r="I241" i="15" s="1"/>
  <c r="D244" i="6"/>
  <c r="C188" i="15"/>
  <c r="F188" i="15" s="1"/>
  <c r="D191" i="6"/>
  <c r="C127" i="15"/>
  <c r="F127" i="15" s="1"/>
  <c r="D129" i="6"/>
  <c r="C206" i="15"/>
  <c r="I206" i="15" s="1"/>
  <c r="D209" i="6"/>
  <c r="C171" i="15"/>
  <c r="I171" i="15" s="1"/>
  <c r="D173" i="6"/>
  <c r="C184" i="15"/>
  <c r="F184" i="15" s="1"/>
  <c r="D187" i="6"/>
  <c r="C232" i="15"/>
  <c r="I232" i="15" s="1"/>
  <c r="D235" i="6"/>
  <c r="C162" i="15"/>
  <c r="F162" i="15" s="1"/>
  <c r="D164" i="6"/>
  <c r="C306" i="15"/>
  <c r="I306" i="15" s="1"/>
  <c r="D309" i="6"/>
  <c r="C132" i="15"/>
  <c r="I132" i="15" s="1"/>
  <c r="D134" i="6"/>
  <c r="C141" i="15"/>
  <c r="F141" i="15" s="1"/>
  <c r="D143" i="6"/>
  <c r="C226" i="15"/>
  <c r="F226" i="15" s="1"/>
  <c r="D229" i="6"/>
  <c r="C167" i="15"/>
  <c r="I167" i="15" s="1"/>
  <c r="D169" i="6"/>
  <c r="C253" i="15"/>
  <c r="I253" i="15" s="1"/>
  <c r="D256" i="6"/>
  <c r="C200" i="15"/>
  <c r="I200" i="15" s="1"/>
  <c r="D203" i="6"/>
  <c r="C283" i="15"/>
  <c r="I283" i="15" s="1"/>
  <c r="D286" i="6"/>
  <c r="C218" i="15"/>
  <c r="F218" i="15" s="1"/>
  <c r="D221" i="6"/>
  <c r="C244" i="15"/>
  <c r="I244" i="15" s="1"/>
  <c r="D247" i="6"/>
  <c r="C280" i="15"/>
  <c r="F280" i="15" s="1"/>
  <c r="D283" i="6"/>
  <c r="C317" i="15"/>
  <c r="F317" i="15" s="1"/>
  <c r="D321" i="6"/>
  <c r="C233" i="15"/>
  <c r="F233" i="15" s="1"/>
  <c r="D236" i="6"/>
  <c r="C153" i="15"/>
  <c r="I153" i="15" s="1"/>
  <c r="D155" i="6"/>
  <c r="C297" i="15"/>
  <c r="F297" i="15" s="1"/>
  <c r="D300" i="6"/>
  <c r="C225" i="15"/>
  <c r="F225" i="15" s="1"/>
  <c r="D228" i="6"/>
  <c r="C166" i="15"/>
  <c r="F166" i="15" s="1"/>
  <c r="D168" i="6"/>
  <c r="C309" i="15"/>
  <c r="F309" i="15" s="1"/>
  <c r="D313" i="6"/>
  <c r="C251" i="15"/>
  <c r="F251" i="15" s="1"/>
  <c r="D254" i="6"/>
  <c r="C193" i="15"/>
  <c r="I193" i="15" s="1"/>
  <c r="D196" i="6"/>
  <c r="C140" i="15"/>
  <c r="F140" i="15" s="1"/>
  <c r="D142" i="6"/>
  <c r="C284" i="15"/>
  <c r="I284" i="15" s="1"/>
  <c r="D287" i="6"/>
  <c r="C146" i="15"/>
  <c r="F146" i="15" s="1"/>
  <c r="D148" i="6"/>
  <c r="C122" i="15"/>
  <c r="F122" i="15" s="1"/>
  <c r="D124" i="6"/>
  <c r="C291" i="15"/>
  <c r="F291" i="15" s="1"/>
  <c r="D294" i="6"/>
  <c r="C267" i="15"/>
  <c r="F267" i="15" s="1"/>
  <c r="D270" i="6"/>
  <c r="C304" i="15"/>
  <c r="I304" i="15" s="1"/>
  <c r="D307" i="6"/>
  <c r="C258" i="15"/>
  <c r="F258" i="15" s="1"/>
  <c r="D261" i="6"/>
  <c r="C173" i="15"/>
  <c r="F173" i="15" s="1"/>
  <c r="D175" i="6"/>
  <c r="C316" i="15"/>
  <c r="F316" i="15" s="1"/>
  <c r="D320" i="6"/>
  <c r="C276" i="15"/>
  <c r="F276" i="15" s="1"/>
  <c r="D279" i="6"/>
  <c r="C237" i="15"/>
  <c r="F237" i="15" s="1"/>
  <c r="D240" i="6"/>
  <c r="C178" i="15"/>
  <c r="I178" i="15" s="1"/>
  <c r="D180" i="6"/>
  <c r="C321" i="15"/>
  <c r="I321" i="15" s="1"/>
  <c r="D325" i="6"/>
  <c r="C263" i="15"/>
  <c r="I263" i="15" s="1"/>
  <c r="D266" i="6"/>
  <c r="C205" i="15"/>
  <c r="I205" i="15" s="1"/>
  <c r="D208" i="6"/>
  <c r="C152" i="15"/>
  <c r="F152" i="15" s="1"/>
  <c r="D154" i="6"/>
  <c r="C296" i="15"/>
  <c r="I296" i="15" s="1"/>
  <c r="D299" i="6"/>
  <c r="C235" i="15"/>
  <c r="F235" i="15" s="1"/>
  <c r="D238" i="6"/>
  <c r="C158" i="15"/>
  <c r="F158" i="15" s="1"/>
  <c r="D160" i="6"/>
  <c r="C135" i="15"/>
  <c r="F135" i="15" s="1"/>
  <c r="D137" i="6"/>
  <c r="C303" i="15"/>
  <c r="F303" i="15" s="1"/>
  <c r="D306" i="6"/>
  <c r="C136" i="15"/>
  <c r="I136" i="15" s="1"/>
  <c r="D138" i="6"/>
  <c r="C126" i="15"/>
  <c r="F126" i="15" s="1"/>
  <c r="D128" i="6"/>
  <c r="C270" i="15"/>
  <c r="I270" i="15" s="1"/>
  <c r="D273" i="6"/>
  <c r="C185" i="15"/>
  <c r="F185" i="15" s="1"/>
  <c r="D188" i="6"/>
  <c r="C192" i="15"/>
  <c r="F192" i="15" s="1"/>
  <c r="D195" i="6"/>
  <c r="C144" i="15"/>
  <c r="I144" i="15" s="1"/>
  <c r="D146" i="6"/>
  <c r="C249" i="15"/>
  <c r="I249" i="15" s="1"/>
  <c r="D252" i="6"/>
  <c r="C190" i="15"/>
  <c r="I190" i="15" s="1"/>
  <c r="D193" i="6"/>
  <c r="C131" i="15"/>
  <c r="I131" i="15" s="1"/>
  <c r="D133" i="6"/>
  <c r="C275" i="15"/>
  <c r="F275" i="15" s="1"/>
  <c r="D278" i="6"/>
  <c r="C217" i="15"/>
  <c r="F217" i="15" s="1"/>
  <c r="D220" i="6"/>
  <c r="C164" i="15"/>
  <c r="F164" i="15" s="1"/>
  <c r="D166" i="6"/>
  <c r="C307" i="15"/>
  <c r="F307" i="15" s="1"/>
  <c r="D311" i="6"/>
  <c r="C247" i="15"/>
  <c r="I247" i="15" s="1"/>
  <c r="D250" i="6"/>
  <c r="C170" i="15"/>
  <c r="I170" i="15" s="1"/>
  <c r="D172" i="6"/>
  <c r="C147" i="15"/>
  <c r="F147" i="15" s="1"/>
  <c r="D149" i="6"/>
  <c r="C314" i="15"/>
  <c r="I314" i="15" s="1"/>
  <c r="D318" i="6"/>
  <c r="C160" i="15"/>
  <c r="F160" i="15" s="1"/>
  <c r="D162" i="6"/>
  <c r="C138" i="15"/>
  <c r="I138" i="15" s="1"/>
  <c r="D140" i="6"/>
  <c r="C282" i="15"/>
  <c r="F282" i="15" s="1"/>
  <c r="D285" i="6"/>
  <c r="C197" i="15"/>
  <c r="F197" i="15" s="1"/>
  <c r="D200" i="6"/>
  <c r="C228" i="15"/>
  <c r="I228" i="15" s="1"/>
  <c r="D231" i="6"/>
  <c r="C252" i="15"/>
  <c r="I252" i="15" s="1"/>
  <c r="D255" i="6"/>
  <c r="C261" i="15"/>
  <c r="I261" i="15" s="1"/>
  <c r="D264" i="6"/>
  <c r="C202" i="15"/>
  <c r="F202" i="15" s="1"/>
  <c r="D205" i="6"/>
  <c r="C143" i="15"/>
  <c r="F143" i="15" s="1"/>
  <c r="D145" i="6"/>
  <c r="C287" i="15"/>
  <c r="I287" i="15" s="1"/>
  <c r="D290" i="6"/>
  <c r="C229" i="15"/>
  <c r="I229" i="15" s="1"/>
  <c r="D232" i="6"/>
  <c r="C176" i="15"/>
  <c r="F176" i="15" s="1"/>
  <c r="D178" i="6"/>
  <c r="C319" i="15"/>
  <c r="I319" i="15" s="1"/>
  <c r="D323" i="6"/>
  <c r="C259" i="15"/>
  <c r="I259" i="15" s="1"/>
  <c r="D262" i="6"/>
  <c r="C194" i="15"/>
  <c r="F194" i="15" s="1"/>
  <c r="D197" i="6"/>
  <c r="C159" i="15"/>
  <c r="F159" i="15" s="1"/>
  <c r="D161" i="6"/>
  <c r="C124" i="15"/>
  <c r="I124" i="15" s="1"/>
  <c r="D126" i="6"/>
  <c r="C208" i="15"/>
  <c r="D211" i="6"/>
  <c r="C150" i="15"/>
  <c r="F150" i="15" s="1"/>
  <c r="D152" i="6"/>
  <c r="C294" i="15"/>
  <c r="F294" i="15" s="1"/>
  <c r="D297" i="6"/>
  <c r="C209" i="15"/>
  <c r="I209" i="15" s="1"/>
  <c r="D212" i="6"/>
  <c r="C264" i="15"/>
  <c r="I264" i="15" s="1"/>
  <c r="D267" i="6"/>
  <c r="C322" i="15"/>
  <c r="I322" i="15" s="1"/>
  <c r="I221" i="15"/>
  <c r="F222" i="15"/>
  <c r="F224" i="15"/>
  <c r="I223" i="15"/>
  <c r="F299" i="15" l="1"/>
  <c r="F212" i="15"/>
  <c r="I183" i="15"/>
  <c r="F180" i="15"/>
  <c r="F308" i="15"/>
  <c r="I273" i="15"/>
  <c r="I250" i="15"/>
  <c r="F207" i="15"/>
  <c r="F240" i="15"/>
  <c r="I122" i="15"/>
  <c r="I309" i="15"/>
  <c r="I271" i="15"/>
  <c r="F168" i="15"/>
  <c r="I295" i="15"/>
  <c r="F142" i="15"/>
  <c r="F239" i="15"/>
  <c r="I125" i="15"/>
  <c r="I185" i="15"/>
  <c r="I225" i="15"/>
  <c r="F284" i="15"/>
  <c r="I191" i="15"/>
  <c r="I269" i="15"/>
  <c r="I154" i="15"/>
  <c r="F302" i="15"/>
  <c r="F167" i="15"/>
  <c r="I317" i="15"/>
  <c r="I274" i="15"/>
  <c r="I236" i="15"/>
  <c r="I275" i="15"/>
  <c r="F155" i="15"/>
  <c r="F215" i="15"/>
  <c r="F211" i="15"/>
  <c r="I199" i="15"/>
  <c r="I286" i="15"/>
  <c r="F203" i="15"/>
  <c r="I234" i="15"/>
  <c r="I258" i="15"/>
  <c r="I217" i="15"/>
  <c r="I174" i="15"/>
  <c r="F263" i="15"/>
  <c r="F266" i="15"/>
  <c r="F254" i="15"/>
  <c r="F252" i="15"/>
  <c r="I279" i="15"/>
  <c r="I238" i="15"/>
  <c r="I176" i="15"/>
  <c r="I285" i="15"/>
  <c r="I187" i="15"/>
  <c r="I175" i="15"/>
  <c r="I305" i="15"/>
  <c r="I267" i="15"/>
  <c r="I219" i="15"/>
  <c r="I237" i="15"/>
  <c r="I301" i="15"/>
  <c r="I169" i="15"/>
  <c r="I303" i="15"/>
  <c r="I318" i="15"/>
  <c r="F293" i="15"/>
  <c r="F227" i="15"/>
  <c r="F124" i="15"/>
  <c r="I172" i="15"/>
  <c r="I186" i="15"/>
  <c r="F253" i="15"/>
  <c r="I248" i="15"/>
  <c r="I243" i="15"/>
  <c r="I160" i="15"/>
  <c r="F298" i="15"/>
  <c r="I251" i="15"/>
  <c r="F313" i="15"/>
  <c r="F290" i="15"/>
  <c r="I137" i="15"/>
  <c r="I188" i="15"/>
  <c r="I280" i="15"/>
  <c r="I297" i="15"/>
  <c r="F228" i="15"/>
  <c r="F153" i="15"/>
  <c r="F133" i="15"/>
  <c r="I194" i="15"/>
  <c r="F257" i="15"/>
  <c r="F156" i="15"/>
  <c r="F321" i="15"/>
  <c r="I158" i="15"/>
  <c r="I135" i="15"/>
  <c r="I184" i="15"/>
  <c r="I166" i="15"/>
  <c r="I226" i="15"/>
  <c r="F247" i="15"/>
  <c r="I147" i="15"/>
  <c r="I245" i="15"/>
  <c r="I161" i="15"/>
  <c r="F310" i="15"/>
  <c r="I157" i="15"/>
  <c r="F255" i="15"/>
  <c r="I146" i="15"/>
  <c r="I231" i="15"/>
  <c r="F196" i="15"/>
  <c r="F300" i="15"/>
  <c r="I316" i="15"/>
  <c r="F205" i="15"/>
  <c r="F229" i="15"/>
  <c r="F244" i="15"/>
  <c r="I242" i="15"/>
  <c r="I246" i="15"/>
  <c r="I294" i="15"/>
  <c r="I307" i="15"/>
  <c r="F281" i="15"/>
  <c r="I141" i="15"/>
  <c r="I202" i="15"/>
  <c r="F296" i="15"/>
  <c r="F306" i="15"/>
  <c r="I177" i="15"/>
  <c r="F206" i="15"/>
  <c r="F138" i="15"/>
  <c r="F214" i="15"/>
  <c r="I152" i="15"/>
  <c r="I195" i="15"/>
  <c r="F179" i="15"/>
  <c r="I159" i="15"/>
  <c r="I148" i="15"/>
  <c r="F182" i="15"/>
  <c r="I192" i="15"/>
  <c r="F181" i="15"/>
  <c r="I151" i="15"/>
  <c r="I164" i="15"/>
  <c r="F319" i="15"/>
  <c r="I233" i="15"/>
  <c r="I149" i="15"/>
  <c r="F287" i="15"/>
  <c r="F304" i="15"/>
  <c r="I289" i="15"/>
  <c r="F26" i="15"/>
  <c r="J26" i="15" s="1"/>
  <c r="I26" i="15"/>
  <c r="F131" i="15"/>
  <c r="F249" i="15"/>
  <c r="F201" i="15"/>
  <c r="I127" i="15"/>
  <c r="F241" i="15"/>
  <c r="I163" i="15"/>
  <c r="I210" i="15"/>
  <c r="I162" i="15"/>
  <c r="I291" i="15"/>
  <c r="I218" i="15"/>
  <c r="F216" i="15"/>
  <c r="I173" i="15"/>
  <c r="I126" i="15"/>
  <c r="F213" i="15"/>
  <c r="I139" i="15"/>
  <c r="F170" i="15"/>
  <c r="F209" i="15"/>
  <c r="F292" i="15"/>
  <c r="J292" i="15" s="1"/>
  <c r="I292" i="15"/>
  <c r="I143" i="15"/>
  <c r="I128" i="15"/>
  <c r="F132" i="15"/>
  <c r="F123" i="15"/>
  <c r="J123" i="15" s="1"/>
  <c r="I123" i="15"/>
  <c r="F272" i="15"/>
  <c r="F230" i="15"/>
  <c r="F265" i="15"/>
  <c r="I268" i="15"/>
  <c r="I276" i="15"/>
  <c r="F178" i="15"/>
  <c r="I320" i="15"/>
  <c r="F130" i="15"/>
  <c r="F262" i="15"/>
  <c r="F261" i="15"/>
  <c r="F278" i="15"/>
  <c r="F283" i="15"/>
  <c r="I256" i="15"/>
  <c r="F259" i="15"/>
  <c r="F264" i="15"/>
  <c r="I282" i="15"/>
  <c r="I235" i="15"/>
  <c r="F200" i="15"/>
  <c r="F136" i="15"/>
  <c r="F208" i="15"/>
  <c r="J208" i="15" s="1"/>
  <c r="I208" i="15"/>
  <c r="I189" i="15"/>
  <c r="F190" i="15"/>
  <c r="F165" i="15"/>
  <c r="F129" i="15"/>
  <c r="F145" i="15"/>
  <c r="F193" i="15"/>
  <c r="F314" i="15"/>
  <c r="F171" i="15"/>
  <c r="I312" i="15"/>
  <c r="F232" i="15"/>
  <c r="I315" i="15"/>
  <c r="I220" i="15"/>
  <c r="F288" i="15"/>
  <c r="I197" i="15"/>
  <c r="F144" i="15"/>
  <c r="I260" i="15"/>
  <c r="I140" i="15"/>
  <c r="F277" i="15"/>
  <c r="I134" i="15"/>
  <c r="I150" i="15"/>
  <c r="F270" i="15"/>
  <c r="I198" i="15"/>
  <c r="F204" i="15"/>
  <c r="I311" i="15"/>
  <c r="F322" i="15"/>
  <c r="BM13" i="6"/>
  <c r="BM12" i="6"/>
  <c r="BM271" i="6"/>
  <c r="BM15" i="6"/>
  <c r="BM272" i="6"/>
  <c r="BM88" i="6"/>
  <c r="BM11" i="6"/>
  <c r="BM134" i="6"/>
  <c r="BM10" i="6"/>
  <c r="BM9" i="6"/>
  <c r="BM242" i="6"/>
  <c r="BM46" i="6"/>
  <c r="BM18" i="6"/>
  <c r="BM17" i="6"/>
  <c r="BM311" i="6"/>
  <c r="BM16" i="6"/>
  <c r="BM326" i="6"/>
  <c r="BM322" i="6"/>
  <c r="BM318" i="6"/>
  <c r="BM314" i="6"/>
  <c r="BM308" i="6"/>
  <c r="BM304" i="6"/>
  <c r="BM300" i="6"/>
  <c r="BM296" i="6"/>
  <c r="BM291" i="6"/>
  <c r="BM284" i="6"/>
  <c r="BM280" i="6"/>
  <c r="BM276" i="6"/>
  <c r="BM270" i="6"/>
  <c r="BM266" i="6"/>
  <c r="BM262" i="6"/>
  <c r="BM258" i="6"/>
  <c r="BM254" i="6"/>
  <c r="BM250" i="6"/>
  <c r="BM246" i="6"/>
  <c r="BM241" i="6"/>
  <c r="BM237" i="6"/>
  <c r="BM233" i="6"/>
  <c r="BM229" i="6"/>
  <c r="BM225" i="6"/>
  <c r="BM221" i="6"/>
  <c r="BM217" i="6"/>
  <c r="BM213" i="6"/>
  <c r="BM208" i="6"/>
  <c r="BM204" i="6"/>
  <c r="BM200" i="6"/>
  <c r="BM196" i="6"/>
  <c r="BM192" i="6"/>
  <c r="BM188" i="6"/>
  <c r="BM183" i="6"/>
  <c r="BM179" i="6"/>
  <c r="BM175" i="6"/>
  <c r="BM171" i="6"/>
  <c r="BM167" i="6"/>
  <c r="BM163" i="6"/>
  <c r="BM159" i="6"/>
  <c r="BM155" i="6"/>
  <c r="BM151" i="6"/>
  <c r="BM147" i="6"/>
  <c r="BM143" i="6"/>
  <c r="BM139" i="6"/>
  <c r="BM135" i="6"/>
  <c r="BM130" i="6"/>
  <c r="BM126" i="6"/>
  <c r="BM120" i="6"/>
  <c r="BM116" i="6"/>
  <c r="BM112" i="6"/>
  <c r="BM108" i="6"/>
  <c r="BM104" i="6"/>
  <c r="BM100" i="6"/>
  <c r="BM96" i="6"/>
  <c r="BM92" i="6"/>
  <c r="BM87" i="6"/>
  <c r="BM83" i="6"/>
  <c r="BM79" i="6"/>
  <c r="BM75" i="6"/>
  <c r="BM71" i="6"/>
  <c r="BM67" i="6"/>
  <c r="BM63" i="6"/>
  <c r="BM59" i="6"/>
  <c r="BM55" i="6"/>
  <c r="BM51" i="6"/>
  <c r="BM47" i="6"/>
  <c r="BM41" i="6"/>
  <c r="BM37" i="6"/>
  <c r="BM33" i="6"/>
  <c r="BM29" i="6"/>
  <c r="BM24" i="6"/>
  <c r="BM20" i="6"/>
  <c r="BM7" i="6"/>
  <c r="BM323" i="6"/>
  <c r="BM319" i="6"/>
  <c r="BM315" i="6"/>
  <c r="BM309" i="6"/>
  <c r="BM305" i="6"/>
  <c r="BM301" i="6"/>
  <c r="BM297" i="6"/>
  <c r="BM292" i="6"/>
  <c r="BM288" i="6"/>
  <c r="BM285" i="6"/>
  <c r="BM281" i="6"/>
  <c r="BM277" i="6"/>
  <c r="BM273" i="6"/>
  <c r="BM267" i="6"/>
  <c r="BM263" i="6"/>
  <c r="BM259" i="6"/>
  <c r="BM255" i="6"/>
  <c r="BM251" i="6"/>
  <c r="BM247" i="6"/>
  <c r="BM243" i="6"/>
  <c r="BM238" i="6"/>
  <c r="BM234" i="6"/>
  <c r="BM230" i="6"/>
  <c r="BM226" i="6"/>
  <c r="BM222" i="6"/>
  <c r="BM218" i="6"/>
  <c r="BM214" i="6"/>
  <c r="BM209" i="6"/>
  <c r="BM205" i="6"/>
  <c r="BM201" i="6"/>
  <c r="BM197" i="6"/>
  <c r="BM193" i="6"/>
  <c r="BM189" i="6"/>
  <c r="BM184" i="6"/>
  <c r="BM180" i="6"/>
  <c r="BM176" i="6"/>
  <c r="BM172" i="6"/>
  <c r="BM168" i="6"/>
  <c r="BM164" i="6"/>
  <c r="BM160" i="6"/>
  <c r="BM156" i="6"/>
  <c r="BM152" i="6"/>
  <c r="BM148" i="6"/>
  <c r="BM144" i="6"/>
  <c r="BM140" i="6"/>
  <c r="BM136" i="6"/>
  <c r="BM127" i="6"/>
  <c r="BM121" i="6"/>
  <c r="BM117" i="6"/>
  <c r="BM113" i="6"/>
  <c r="BM109" i="6"/>
  <c r="BM105" i="6"/>
  <c r="BM101" i="6"/>
  <c r="BM97" i="6"/>
  <c r="BM93" i="6"/>
  <c r="BM89" i="6"/>
  <c r="BM84" i="6"/>
  <c r="BM80" i="6"/>
  <c r="BM76" i="6"/>
  <c r="BM72" i="6"/>
  <c r="BM68" i="6"/>
  <c r="BM64" i="6"/>
  <c r="BM60" i="6"/>
  <c r="BM56" i="6"/>
  <c r="BM52" i="6"/>
  <c r="BM48" i="6"/>
  <c r="BM43" i="6"/>
  <c r="BM38" i="6"/>
  <c r="BM34" i="6"/>
  <c r="BM30" i="6"/>
  <c r="BM25" i="6"/>
  <c r="BM21" i="6"/>
  <c r="BM8" i="6"/>
  <c r="BM324" i="6"/>
  <c r="BM320" i="6"/>
  <c r="BM316" i="6"/>
  <c r="BM312" i="6"/>
  <c r="BM306" i="6"/>
  <c r="BM302" i="6"/>
  <c r="BM298" i="6"/>
  <c r="BM293" i="6"/>
  <c r="BM289" i="6"/>
  <c r="BM286" i="6"/>
  <c r="BM282" i="6"/>
  <c r="BM278" i="6"/>
  <c r="BM274" i="6"/>
  <c r="BM268" i="6"/>
  <c r="BM264" i="6"/>
  <c r="BM260" i="6"/>
  <c r="BM256" i="6"/>
  <c r="BM252" i="6"/>
  <c r="BM248" i="6"/>
  <c r="BM244" i="6"/>
  <c r="BM239" i="6"/>
  <c r="BM235" i="6"/>
  <c r="BM231" i="6"/>
  <c r="BM227" i="6"/>
  <c r="BM223" i="6"/>
  <c r="BM219" i="6"/>
  <c r="BM215" i="6"/>
  <c r="BM210" i="6"/>
  <c r="BM206" i="6"/>
  <c r="BM202" i="6"/>
  <c r="BM198" i="6"/>
  <c r="BM194" i="6"/>
  <c r="BM190" i="6"/>
  <c r="BM186" i="6"/>
  <c r="BM181" i="6"/>
  <c r="BM177" i="6"/>
  <c r="BM173" i="6"/>
  <c r="BM169" i="6"/>
  <c r="BM165" i="6"/>
  <c r="BM161" i="6"/>
  <c r="BM157" i="6"/>
  <c r="BM153" i="6"/>
  <c r="BM149" i="6"/>
  <c r="BM145" i="6"/>
  <c r="BM141" i="6"/>
  <c r="BM137" i="6"/>
  <c r="BM132" i="6"/>
  <c r="BM128" i="6"/>
  <c r="BM122" i="6"/>
  <c r="BM118" i="6"/>
  <c r="BM114" i="6"/>
  <c r="BM110" i="6"/>
  <c r="BM106" i="6"/>
  <c r="BM102" i="6"/>
  <c r="BM98" i="6"/>
  <c r="BM94" i="6"/>
  <c r="BM90" i="6"/>
  <c r="BM85" i="6"/>
  <c r="BM81" i="6"/>
  <c r="BM77" i="6"/>
  <c r="BM73" i="6"/>
  <c r="BM69" i="6"/>
  <c r="BM65" i="6"/>
  <c r="BM61" i="6"/>
  <c r="BM57" i="6"/>
  <c r="BM53" i="6"/>
  <c r="BM49" i="6"/>
  <c r="BM44" i="6"/>
  <c r="BM39" i="6"/>
  <c r="BM35" i="6"/>
  <c r="BM31" i="6"/>
  <c r="BM27" i="6"/>
  <c r="BM22" i="6"/>
  <c r="BM14" i="6"/>
  <c r="BM325" i="6"/>
  <c r="BM321" i="6"/>
  <c r="BM317" i="6"/>
  <c r="BM313" i="6"/>
  <c r="BM307" i="6"/>
  <c r="BM303" i="6"/>
  <c r="BM299" i="6"/>
  <c r="BM294" i="6"/>
  <c r="BM290" i="6"/>
  <c r="BM287" i="6"/>
  <c r="BM283" i="6"/>
  <c r="BM279" i="6"/>
  <c r="BM275" i="6"/>
  <c r="BM269" i="6"/>
  <c r="BM265" i="6"/>
  <c r="BM261" i="6"/>
  <c r="BM253" i="6"/>
  <c r="BM249" i="6"/>
  <c r="BM245" i="6"/>
  <c r="BM240" i="6"/>
  <c r="BM236" i="6"/>
  <c r="BM232" i="6"/>
  <c r="BM228" i="6"/>
  <c r="BM224" i="6"/>
  <c r="BM220" i="6"/>
  <c r="BM216" i="6"/>
  <c r="BM212" i="6"/>
  <c r="BM207" i="6"/>
  <c r="BM203" i="6"/>
  <c r="BM199" i="6"/>
  <c r="BM195" i="6"/>
  <c r="BM191" i="6"/>
  <c r="BM187" i="6"/>
  <c r="BM182" i="6"/>
  <c r="BM178" i="6"/>
  <c r="BM174" i="6"/>
  <c r="BM170" i="6"/>
  <c r="BM166" i="6"/>
  <c r="BM162" i="6"/>
  <c r="BM158" i="6"/>
  <c r="BM154" i="6"/>
  <c r="BM150" i="6"/>
  <c r="BM146" i="6"/>
  <c r="BM142" i="6"/>
  <c r="BM138" i="6"/>
  <c r="BM133" i="6"/>
  <c r="BM129" i="6"/>
  <c r="BM119" i="6"/>
  <c r="BM115" i="6"/>
  <c r="BM111" i="6"/>
  <c r="BM107" i="6"/>
  <c r="BM103" i="6"/>
  <c r="BM99" i="6"/>
  <c r="BM95" i="6"/>
  <c r="BM91" i="6"/>
  <c r="BM86" i="6"/>
  <c r="BM82" i="6"/>
  <c r="BM78" i="6"/>
  <c r="BM74" i="6"/>
  <c r="BM70" i="6"/>
  <c r="BM66" i="6"/>
  <c r="BM62" i="6"/>
  <c r="BM58" i="6"/>
  <c r="BM54" i="6"/>
  <c r="BM50" i="6"/>
  <c r="BM45" i="6"/>
  <c r="BM40" i="6"/>
  <c r="BM36" i="6"/>
  <c r="BM32" i="6"/>
  <c r="BM28" i="6"/>
  <c r="BM23" i="6"/>
  <c r="BM19" i="6"/>
  <c r="BM131" i="6"/>
  <c r="BM257" i="6"/>
  <c r="BM124" i="6"/>
  <c r="G5" i="6" l="1"/>
  <c r="P5" i="6" l="1"/>
  <c r="F19" i="10" s="1"/>
  <c r="J5" i="6"/>
  <c r="F12" i="10" s="1"/>
  <c r="F10" i="10"/>
  <c r="J122" i="15" l="1"/>
  <c r="J129" i="15"/>
  <c r="J254" i="15"/>
  <c r="BM5" i="6" l="1"/>
  <c r="BK5" i="6"/>
  <c r="L18" i="10" s="1"/>
  <c r="BG5" i="6"/>
  <c r="F41" i="10"/>
  <c r="F40" i="10"/>
  <c r="F49" i="10"/>
  <c r="BF5" i="6"/>
  <c r="L13" i="10" s="1"/>
  <c r="BJ5" i="6"/>
  <c r="BI5" i="6"/>
  <c r="F39" i="10"/>
  <c r="Q5" i="6"/>
  <c r="F21" i="10" s="1"/>
  <c r="F34" i="10"/>
  <c r="F44" i="10"/>
  <c r="F55" i="10"/>
  <c r="F60" i="10"/>
  <c r="BH5" i="6"/>
  <c r="BL5" i="6"/>
  <c r="L19" i="10" s="1"/>
  <c r="F25" i="10" l="1"/>
  <c r="L16" i="10"/>
  <c r="L17" i="10"/>
  <c r="F26" i="10"/>
  <c r="L15" i="10"/>
  <c r="F24" i="10"/>
  <c r="F23" i="10"/>
  <c r="L14" i="10"/>
  <c r="K5" i="6"/>
  <c r="F13" i="10" s="1"/>
  <c r="I5" i="6"/>
  <c r="F11" i="10" s="1"/>
  <c r="L5" i="6"/>
  <c r="F14" i="10" s="1"/>
  <c r="A4" i="10" l="1"/>
  <c r="F53" i="10" l="1"/>
  <c r="M5" i="6"/>
  <c r="F16" i="10" s="1"/>
  <c r="F27" i="10" l="1"/>
  <c r="F31" i="10"/>
  <c r="BE5" i="6"/>
  <c r="L12" i="10" s="1"/>
  <c r="R5" i="6"/>
  <c r="F22" i="10" s="1"/>
  <c r="F28" i="10"/>
  <c r="F32" i="10"/>
  <c r="F35" i="10"/>
  <c r="F43" i="10"/>
  <c r="F50" i="10"/>
  <c r="F57" i="10"/>
  <c r="F56" i="10"/>
  <c r="F29" i="10"/>
  <c r="N5" i="6"/>
  <c r="F17" i="10" s="1"/>
  <c r="BD5" i="6"/>
  <c r="L11" i="10" s="1"/>
  <c r="F45" i="10"/>
  <c r="F51" i="10"/>
  <c r="F59" i="10"/>
  <c r="F36" i="10"/>
  <c r="F46" i="10"/>
  <c r="F38" i="10"/>
  <c r="F42" i="10"/>
  <c r="F48" i="10"/>
  <c r="F54" i="10"/>
  <c r="BN7" i="6"/>
  <c r="BB7" i="6" s="1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N25" i="6"/>
  <c r="BN27" i="6"/>
  <c r="BB27" i="6" s="1"/>
  <c r="F27" i="6" s="1"/>
  <c r="BN28" i="6"/>
  <c r="BB28" i="6" s="1"/>
  <c r="F28" i="6" s="1"/>
  <c r="BN29" i="6"/>
  <c r="BB29" i="6" s="1"/>
  <c r="F29" i="6" s="1"/>
  <c r="BN30" i="6"/>
  <c r="BB30" i="6" s="1"/>
  <c r="F30" i="6" s="1"/>
  <c r="BN31" i="6"/>
  <c r="BB31" i="6" s="1"/>
  <c r="BN32" i="6"/>
  <c r="BB32" i="6" s="1"/>
  <c r="BN33" i="6"/>
  <c r="BB33" i="6" s="1"/>
  <c r="F33" i="6" s="1"/>
  <c r="BN34" i="6"/>
  <c r="BB34" i="6" s="1"/>
  <c r="F34" i="6" s="1"/>
  <c r="BN35" i="6"/>
  <c r="BB35" i="6" s="1"/>
  <c r="F35" i="6" s="1"/>
  <c r="BN36" i="6"/>
  <c r="BB36" i="6" s="1"/>
  <c r="F36" i="6" s="1"/>
  <c r="BN37" i="6"/>
  <c r="BB37" i="6" s="1"/>
  <c r="F37" i="6" s="1"/>
  <c r="BN38" i="6"/>
  <c r="BB38" i="6" s="1"/>
  <c r="F38" i="6" s="1"/>
  <c r="BN39" i="6"/>
  <c r="BB39" i="6" s="1"/>
  <c r="F39" i="6" s="1"/>
  <c r="BN40" i="6"/>
  <c r="BB40" i="6" s="1"/>
  <c r="F40" i="6" s="1"/>
  <c r="BN41" i="6"/>
  <c r="BB41" i="6" s="1"/>
  <c r="F41" i="6" s="1"/>
  <c r="BN43" i="6"/>
  <c r="BB43" i="6" s="1"/>
  <c r="F43" i="6" s="1"/>
  <c r="BN44" i="6"/>
  <c r="BB44" i="6" s="1"/>
  <c r="F44" i="6" s="1"/>
  <c r="BN45" i="6"/>
  <c r="BB45" i="6" s="1"/>
  <c r="F45" i="6" s="1"/>
  <c r="BN46" i="6"/>
  <c r="BB46" i="6" s="1"/>
  <c r="F46" i="6" s="1"/>
  <c r="BN47" i="6"/>
  <c r="BB47" i="6" s="1"/>
  <c r="F47" i="6" s="1"/>
  <c r="BN48" i="6"/>
  <c r="BB48" i="6" s="1"/>
  <c r="F48" i="6" s="1"/>
  <c r="BN49" i="6"/>
  <c r="BB49" i="6" s="1"/>
  <c r="F49" i="6" s="1"/>
  <c r="BN50" i="6"/>
  <c r="BB50" i="6" s="1"/>
  <c r="F50" i="6" s="1"/>
  <c r="BN51" i="6"/>
  <c r="BB51" i="6" s="1"/>
  <c r="F51" i="6" s="1"/>
  <c r="BN52" i="6"/>
  <c r="BB52" i="6" s="1"/>
  <c r="F52" i="6" s="1"/>
  <c r="BN53" i="6"/>
  <c r="BB53" i="6" s="1"/>
  <c r="F53" i="6" s="1"/>
  <c r="BN54" i="6"/>
  <c r="BB54" i="6" s="1"/>
  <c r="F54" i="6" s="1"/>
  <c r="D54" i="6" s="1"/>
  <c r="BN55" i="6"/>
  <c r="BB55" i="6" s="1"/>
  <c r="F55" i="6" s="1"/>
  <c r="D55" i="6" s="1"/>
  <c r="BN56" i="6"/>
  <c r="BB56" i="6" s="1"/>
  <c r="F56" i="6" s="1"/>
  <c r="BN57" i="6"/>
  <c r="BB57" i="6" s="1"/>
  <c r="F57" i="6" s="1"/>
  <c r="BN58" i="6"/>
  <c r="BB58" i="6" s="1"/>
  <c r="F58" i="6" s="1"/>
  <c r="BN59" i="6"/>
  <c r="BB59" i="6" s="1"/>
  <c r="F59" i="6" s="1"/>
  <c r="BN60" i="6"/>
  <c r="BB60" i="6" s="1"/>
  <c r="F60" i="6" s="1"/>
  <c r="BN61" i="6"/>
  <c r="BB61" i="6" s="1"/>
  <c r="F61" i="6" s="1"/>
  <c r="BN62" i="6"/>
  <c r="BB62" i="6" s="1"/>
  <c r="F62" i="6" s="1"/>
  <c r="BN63" i="6"/>
  <c r="BB63" i="6" s="1"/>
  <c r="F63" i="6" s="1"/>
  <c r="BN64" i="6"/>
  <c r="BB64" i="6" s="1"/>
  <c r="F64" i="6" s="1"/>
  <c r="BN65" i="6"/>
  <c r="BB65" i="6" s="1"/>
  <c r="F65" i="6" s="1"/>
  <c r="BN66" i="6"/>
  <c r="BB66" i="6" s="1"/>
  <c r="F66" i="6" s="1"/>
  <c r="BN67" i="6"/>
  <c r="BB67" i="6" s="1"/>
  <c r="F67" i="6" s="1"/>
  <c r="BN68" i="6"/>
  <c r="BB68" i="6" s="1"/>
  <c r="F68" i="6" s="1"/>
  <c r="BN69" i="6"/>
  <c r="BB69" i="6" s="1"/>
  <c r="F69" i="6" s="1"/>
  <c r="BN70" i="6"/>
  <c r="BB70" i="6" s="1"/>
  <c r="F70" i="6" s="1"/>
  <c r="BN71" i="6"/>
  <c r="BB71" i="6" s="1"/>
  <c r="F71" i="6" s="1"/>
  <c r="BN72" i="6"/>
  <c r="BB72" i="6" s="1"/>
  <c r="F72" i="6" s="1"/>
  <c r="BN73" i="6"/>
  <c r="BB73" i="6" s="1"/>
  <c r="F73" i="6" s="1"/>
  <c r="BN74" i="6"/>
  <c r="BB74" i="6" s="1"/>
  <c r="F74" i="6" s="1"/>
  <c r="BN75" i="6"/>
  <c r="BB75" i="6" s="1"/>
  <c r="F75" i="6" s="1"/>
  <c r="BN76" i="6"/>
  <c r="BB76" i="6" s="1"/>
  <c r="F76" i="6" s="1"/>
  <c r="BN77" i="6"/>
  <c r="BB77" i="6" s="1"/>
  <c r="F77" i="6" s="1"/>
  <c r="BN78" i="6"/>
  <c r="BB78" i="6" s="1"/>
  <c r="F78" i="6" s="1"/>
  <c r="BN79" i="6"/>
  <c r="BB79" i="6" s="1"/>
  <c r="F79" i="6" s="1"/>
  <c r="BN80" i="6"/>
  <c r="BB80" i="6" s="1"/>
  <c r="F80" i="6" s="1"/>
  <c r="BN81" i="6"/>
  <c r="BB81" i="6" s="1"/>
  <c r="F81" i="6" s="1"/>
  <c r="BN82" i="6"/>
  <c r="BB82" i="6" s="1"/>
  <c r="F82" i="6" s="1"/>
  <c r="BN83" i="6"/>
  <c r="BB83" i="6" s="1"/>
  <c r="F83" i="6" s="1"/>
  <c r="BN84" i="6"/>
  <c r="BB84" i="6" s="1"/>
  <c r="F84" i="6" s="1"/>
  <c r="BN85" i="6"/>
  <c r="BB85" i="6" s="1"/>
  <c r="F85" i="6" s="1"/>
  <c r="BN86" i="6"/>
  <c r="BB86" i="6" s="1"/>
  <c r="F86" i="6" s="1"/>
  <c r="BN87" i="6"/>
  <c r="BB87" i="6" s="1"/>
  <c r="F87" i="6" s="1"/>
  <c r="BN88" i="6"/>
  <c r="BB88" i="6" s="1"/>
  <c r="F88" i="6" s="1"/>
  <c r="BN89" i="6"/>
  <c r="BB89" i="6" s="1"/>
  <c r="F89" i="6" s="1"/>
  <c r="BN90" i="6"/>
  <c r="BB90" i="6" s="1"/>
  <c r="F90" i="6" s="1"/>
  <c r="BN91" i="6"/>
  <c r="BB91" i="6" s="1"/>
  <c r="F91" i="6" s="1"/>
  <c r="BN92" i="6"/>
  <c r="BB92" i="6" s="1"/>
  <c r="F92" i="6" s="1"/>
  <c r="BN93" i="6"/>
  <c r="BB93" i="6" s="1"/>
  <c r="F93" i="6" s="1"/>
  <c r="BN94" i="6"/>
  <c r="BB94" i="6" s="1"/>
  <c r="F94" i="6" s="1"/>
  <c r="BN95" i="6"/>
  <c r="BB95" i="6" s="1"/>
  <c r="F95" i="6" s="1"/>
  <c r="BN96" i="6"/>
  <c r="BB96" i="6" s="1"/>
  <c r="F96" i="6" s="1"/>
  <c r="BN97" i="6"/>
  <c r="BB97" i="6" s="1"/>
  <c r="F97" i="6" s="1"/>
  <c r="BN98" i="6"/>
  <c r="BB98" i="6" s="1"/>
  <c r="F98" i="6" s="1"/>
  <c r="BN99" i="6"/>
  <c r="BB99" i="6" s="1"/>
  <c r="F99" i="6" s="1"/>
  <c r="BN100" i="6"/>
  <c r="BB100" i="6" s="1"/>
  <c r="F100" i="6" s="1"/>
  <c r="BN101" i="6"/>
  <c r="BB101" i="6" s="1"/>
  <c r="F101" i="6" s="1"/>
  <c r="BN102" i="6"/>
  <c r="BB102" i="6" s="1"/>
  <c r="F102" i="6" s="1"/>
  <c r="BN103" i="6"/>
  <c r="BB103" i="6" s="1"/>
  <c r="F103" i="6" s="1"/>
  <c r="BN104" i="6"/>
  <c r="BB104" i="6" s="1"/>
  <c r="F104" i="6" s="1"/>
  <c r="BN105" i="6"/>
  <c r="BB105" i="6" s="1"/>
  <c r="F105" i="6" s="1"/>
  <c r="BN106" i="6"/>
  <c r="BB106" i="6" s="1"/>
  <c r="F106" i="6" s="1"/>
  <c r="BN107" i="6"/>
  <c r="BB107" i="6" s="1"/>
  <c r="F107" i="6" s="1"/>
  <c r="BN108" i="6"/>
  <c r="BB108" i="6" s="1"/>
  <c r="F108" i="6" s="1"/>
  <c r="BN109" i="6"/>
  <c r="BB109" i="6" s="1"/>
  <c r="F109" i="6" s="1"/>
  <c r="BN110" i="6"/>
  <c r="BB110" i="6" s="1"/>
  <c r="F110" i="6" s="1"/>
  <c r="BN111" i="6"/>
  <c r="BB111" i="6" s="1"/>
  <c r="F111" i="6" s="1"/>
  <c r="BN112" i="6"/>
  <c r="BB112" i="6" s="1"/>
  <c r="F112" i="6" s="1"/>
  <c r="BN113" i="6"/>
  <c r="BB113" i="6" s="1"/>
  <c r="F113" i="6" s="1"/>
  <c r="BN114" i="6"/>
  <c r="BB114" i="6" s="1"/>
  <c r="F114" i="6" s="1"/>
  <c r="BN115" i="6"/>
  <c r="BB115" i="6" s="1"/>
  <c r="F115" i="6" s="1"/>
  <c r="BN116" i="6"/>
  <c r="BB116" i="6" s="1"/>
  <c r="F116" i="6" s="1"/>
  <c r="BN117" i="6"/>
  <c r="BB117" i="6" s="1"/>
  <c r="F117" i="6" s="1"/>
  <c r="BN118" i="6"/>
  <c r="BB118" i="6" s="1"/>
  <c r="F118" i="6" s="1"/>
  <c r="BN119" i="6"/>
  <c r="BB119" i="6" s="1"/>
  <c r="F119" i="6" s="1"/>
  <c r="BN120" i="6"/>
  <c r="BB120" i="6" s="1"/>
  <c r="F120" i="6" s="1"/>
  <c r="BN121" i="6"/>
  <c r="BB121" i="6" s="1"/>
  <c r="F121" i="6" s="1"/>
  <c r="BN122" i="6"/>
  <c r="BB122" i="6" s="1"/>
  <c r="F122" i="6" s="1"/>
  <c r="F7" i="6" l="1"/>
  <c r="F32" i="6"/>
  <c r="D32" i="6" s="1"/>
  <c r="F31" i="6"/>
  <c r="D31" i="6" s="1"/>
  <c r="C80" i="15"/>
  <c r="F80" i="15" s="1"/>
  <c r="D81" i="6"/>
  <c r="C44" i="15"/>
  <c r="I44" i="15" s="1"/>
  <c r="D45" i="6"/>
  <c r="C103" i="15"/>
  <c r="F103" i="15" s="1"/>
  <c r="D104" i="6"/>
  <c r="C55" i="15"/>
  <c r="I55" i="15" s="1"/>
  <c r="D56" i="6"/>
  <c r="C78" i="15"/>
  <c r="F78" i="15" s="1"/>
  <c r="D79" i="6"/>
  <c r="C30" i="15"/>
  <c r="I30" i="15" s="1"/>
  <c r="D30" i="6"/>
  <c r="C101" i="15"/>
  <c r="I101" i="15" s="1"/>
  <c r="D102" i="6"/>
  <c r="C53" i="15"/>
  <c r="I53" i="15" s="1"/>
  <c r="C76" i="15"/>
  <c r="F76" i="15" s="1"/>
  <c r="D77" i="6"/>
  <c r="C40" i="15"/>
  <c r="I40" i="15" s="1"/>
  <c r="D40" i="6"/>
  <c r="C99" i="15"/>
  <c r="F99" i="15" s="1"/>
  <c r="D100" i="6"/>
  <c r="C75" i="15"/>
  <c r="F75" i="15" s="1"/>
  <c r="D76" i="6"/>
  <c r="C51" i="15"/>
  <c r="F51" i="15" s="1"/>
  <c r="D52" i="6"/>
  <c r="C27" i="15"/>
  <c r="I27" i="15" s="1"/>
  <c r="D27" i="6"/>
  <c r="C110" i="15"/>
  <c r="F110" i="15" s="1"/>
  <c r="D111" i="6"/>
  <c r="C98" i="15"/>
  <c r="F98" i="15" s="1"/>
  <c r="D99" i="6"/>
  <c r="C86" i="15"/>
  <c r="I86" i="15" s="1"/>
  <c r="D87" i="6"/>
  <c r="C74" i="15"/>
  <c r="F74" i="15" s="1"/>
  <c r="D75" i="6"/>
  <c r="C62" i="15"/>
  <c r="F62" i="15" s="1"/>
  <c r="D63" i="6"/>
  <c r="C50" i="15"/>
  <c r="F50" i="15" s="1"/>
  <c r="D51" i="6"/>
  <c r="C38" i="15"/>
  <c r="I38" i="15" s="1"/>
  <c r="D38" i="6"/>
  <c r="C92" i="15"/>
  <c r="F92" i="15" s="1"/>
  <c r="D93" i="6"/>
  <c r="C79" i="15"/>
  <c r="I79" i="15" s="1"/>
  <c r="D80" i="6"/>
  <c r="C43" i="15"/>
  <c r="I43" i="15" s="1"/>
  <c r="D44" i="6"/>
  <c r="C102" i="15"/>
  <c r="F102" i="15" s="1"/>
  <c r="D103" i="6"/>
  <c r="C54" i="15"/>
  <c r="I54" i="15" s="1"/>
  <c r="C77" i="15"/>
  <c r="F77" i="15" s="1"/>
  <c r="D78" i="6"/>
  <c r="C41" i="15"/>
  <c r="I41" i="15" s="1"/>
  <c r="D41" i="6"/>
  <c r="C100" i="15"/>
  <c r="I100" i="15" s="1"/>
  <c r="D101" i="6"/>
  <c r="C52" i="15"/>
  <c r="I52" i="15" s="1"/>
  <c r="D53" i="6"/>
  <c r="C111" i="15"/>
  <c r="I111" i="15" s="1"/>
  <c r="D112" i="6"/>
  <c r="C87" i="15"/>
  <c r="I87" i="15" s="1"/>
  <c r="D88" i="6"/>
  <c r="C63" i="15"/>
  <c r="I63" i="15" s="1"/>
  <c r="D64" i="6"/>
  <c r="C39" i="15"/>
  <c r="F39" i="15" s="1"/>
  <c r="D39" i="6"/>
  <c r="C121" i="15"/>
  <c r="F121" i="15" s="1"/>
  <c r="D122" i="6"/>
  <c r="C109" i="15"/>
  <c r="F109" i="15" s="1"/>
  <c r="D110" i="6"/>
  <c r="C97" i="15"/>
  <c r="I97" i="15" s="1"/>
  <c r="D98" i="6"/>
  <c r="C85" i="15"/>
  <c r="F85" i="15" s="1"/>
  <c r="D86" i="6"/>
  <c r="C73" i="15"/>
  <c r="I73" i="15" s="1"/>
  <c r="D74" i="6"/>
  <c r="C61" i="15"/>
  <c r="I61" i="15" s="1"/>
  <c r="D62" i="6"/>
  <c r="C49" i="15"/>
  <c r="F49" i="15" s="1"/>
  <c r="D50" i="6"/>
  <c r="C37" i="15"/>
  <c r="F37" i="15" s="1"/>
  <c r="D37" i="6"/>
  <c r="C116" i="15"/>
  <c r="I116" i="15" s="1"/>
  <c r="D117" i="6"/>
  <c r="C104" i="15"/>
  <c r="F104" i="15" s="1"/>
  <c r="D105" i="6"/>
  <c r="C68" i="15"/>
  <c r="I68" i="15" s="1"/>
  <c r="D69" i="6"/>
  <c r="C56" i="15"/>
  <c r="I56" i="15" s="1"/>
  <c r="D57" i="6"/>
  <c r="C115" i="15"/>
  <c r="F115" i="15" s="1"/>
  <c r="D116" i="6"/>
  <c r="C91" i="15"/>
  <c r="I91" i="15" s="1"/>
  <c r="D92" i="6"/>
  <c r="C67" i="15"/>
  <c r="F67" i="15" s="1"/>
  <c r="D68" i="6"/>
  <c r="C114" i="15"/>
  <c r="F114" i="15" s="1"/>
  <c r="D115" i="6"/>
  <c r="C90" i="15"/>
  <c r="I90" i="15" s="1"/>
  <c r="D91" i="6"/>
  <c r="C66" i="15"/>
  <c r="I66" i="15" s="1"/>
  <c r="D67" i="6"/>
  <c r="C42" i="15"/>
  <c r="F42" i="15" s="1"/>
  <c r="D43" i="6"/>
  <c r="C113" i="15"/>
  <c r="F113" i="15" s="1"/>
  <c r="D114" i="6"/>
  <c r="C89" i="15"/>
  <c r="I89" i="15" s="1"/>
  <c r="D90" i="6"/>
  <c r="C65" i="15"/>
  <c r="F65" i="15" s="1"/>
  <c r="D66" i="6"/>
  <c r="C29" i="15"/>
  <c r="I29" i="15" s="1"/>
  <c r="D29" i="6"/>
  <c r="C112" i="15"/>
  <c r="F112" i="15" s="1"/>
  <c r="D113" i="6"/>
  <c r="C88" i="15"/>
  <c r="I88" i="15" s="1"/>
  <c r="D89" i="6"/>
  <c r="C64" i="15"/>
  <c r="I64" i="15" s="1"/>
  <c r="D65" i="6"/>
  <c r="C28" i="15"/>
  <c r="F28" i="15" s="1"/>
  <c r="D28" i="6"/>
  <c r="C120" i="15"/>
  <c r="F120" i="15" s="1"/>
  <c r="D121" i="6"/>
  <c r="C108" i="15"/>
  <c r="F108" i="15" s="1"/>
  <c r="D109" i="6"/>
  <c r="C96" i="15"/>
  <c r="I96" i="15" s="1"/>
  <c r="D97" i="6"/>
  <c r="C84" i="15"/>
  <c r="F84" i="15" s="1"/>
  <c r="D85" i="6"/>
  <c r="C72" i="15"/>
  <c r="I72" i="15" s="1"/>
  <c r="D73" i="6"/>
  <c r="C60" i="15"/>
  <c r="I60" i="15" s="1"/>
  <c r="D61" i="6"/>
  <c r="C48" i="15"/>
  <c r="I48" i="15" s="1"/>
  <c r="D49" i="6"/>
  <c r="C36" i="15"/>
  <c r="F36" i="15" s="1"/>
  <c r="D36" i="6"/>
  <c r="C119" i="15"/>
  <c r="I119" i="15" s="1"/>
  <c r="D120" i="6"/>
  <c r="C107" i="15"/>
  <c r="I107" i="15" s="1"/>
  <c r="D108" i="6"/>
  <c r="C95" i="15"/>
  <c r="F95" i="15" s="1"/>
  <c r="D96" i="6"/>
  <c r="C83" i="15"/>
  <c r="F83" i="15" s="1"/>
  <c r="D84" i="6"/>
  <c r="C71" i="15"/>
  <c r="I71" i="15" s="1"/>
  <c r="D72" i="6"/>
  <c r="C59" i="15"/>
  <c r="I59" i="15" s="1"/>
  <c r="D60" i="6"/>
  <c r="C47" i="15"/>
  <c r="F47" i="15" s="1"/>
  <c r="D48" i="6"/>
  <c r="C35" i="15"/>
  <c r="F35" i="15" s="1"/>
  <c r="D35" i="6"/>
  <c r="C118" i="15"/>
  <c r="F118" i="15" s="1"/>
  <c r="D119" i="6"/>
  <c r="C106" i="15"/>
  <c r="I106" i="15" s="1"/>
  <c r="D107" i="6"/>
  <c r="C94" i="15"/>
  <c r="F94" i="15" s="1"/>
  <c r="D95" i="6"/>
  <c r="C82" i="15"/>
  <c r="I82" i="15" s="1"/>
  <c r="D83" i="6"/>
  <c r="C70" i="15"/>
  <c r="I70" i="15" s="1"/>
  <c r="D71" i="6"/>
  <c r="C58" i="15"/>
  <c r="F58" i="15" s="1"/>
  <c r="D59" i="6"/>
  <c r="C46" i="15"/>
  <c r="I46" i="15" s="1"/>
  <c r="D47" i="6"/>
  <c r="C34" i="15"/>
  <c r="I34" i="15" s="1"/>
  <c r="D34" i="6"/>
  <c r="C117" i="15"/>
  <c r="F117" i="15" s="1"/>
  <c r="D118" i="6"/>
  <c r="C105" i="15"/>
  <c r="I105" i="15" s="1"/>
  <c r="D106" i="6"/>
  <c r="C93" i="15"/>
  <c r="F93" i="15" s="1"/>
  <c r="D94" i="6"/>
  <c r="C81" i="15"/>
  <c r="F81" i="15" s="1"/>
  <c r="D82" i="6"/>
  <c r="C69" i="15"/>
  <c r="I69" i="15" s="1"/>
  <c r="D70" i="6"/>
  <c r="C57" i="15"/>
  <c r="F57" i="15" s="1"/>
  <c r="D58" i="6"/>
  <c r="C45" i="15"/>
  <c r="I45" i="15" s="1"/>
  <c r="D46" i="6"/>
  <c r="C33" i="15"/>
  <c r="I33" i="15" s="1"/>
  <c r="D33" i="6"/>
  <c r="L20" i="10"/>
  <c r="F20" i="10" s="1"/>
  <c r="BO303" i="6"/>
  <c r="BO205" i="6"/>
  <c r="BO116" i="6"/>
  <c r="BO44" i="6"/>
  <c r="BO315" i="6"/>
  <c r="BO241" i="6"/>
  <c r="BO155" i="6"/>
  <c r="BO103" i="6"/>
  <c r="BO43" i="6"/>
  <c r="BO314" i="6"/>
  <c r="BO216" i="6"/>
  <c r="BO78" i="6"/>
  <c r="BO15" i="6"/>
  <c r="BB15" i="6"/>
  <c r="F15" i="6" s="1"/>
  <c r="BO268" i="6"/>
  <c r="BO194" i="6"/>
  <c r="BO105" i="6"/>
  <c r="BO69" i="6"/>
  <c r="BO218" i="6"/>
  <c r="BO289" i="6"/>
  <c r="BO204" i="6"/>
  <c r="BO115" i="6"/>
  <c r="BO55" i="6"/>
  <c r="BO265" i="6"/>
  <c r="BO166" i="6"/>
  <c r="BO90" i="6"/>
  <c r="BO66" i="6"/>
  <c r="BO16" i="6"/>
  <c r="BB16" i="6"/>
  <c r="F16" i="6" s="1"/>
  <c r="BO300" i="6"/>
  <c r="BO264" i="6"/>
  <c r="BO239" i="6"/>
  <c r="BO202" i="6"/>
  <c r="BO165" i="6"/>
  <c r="BO128" i="6"/>
  <c r="BO101" i="6"/>
  <c r="BO65" i="6"/>
  <c r="BO28" i="6"/>
  <c r="BO324" i="6"/>
  <c r="BO312" i="6"/>
  <c r="BO299" i="6"/>
  <c r="BO287" i="6"/>
  <c r="BO275" i="6"/>
  <c r="BO263" i="6"/>
  <c r="BO250" i="6"/>
  <c r="BO238" i="6"/>
  <c r="BO226" i="6"/>
  <c r="BO214" i="6"/>
  <c r="BO201" i="6"/>
  <c r="BO189" i="6"/>
  <c r="BO176" i="6"/>
  <c r="BO164" i="6"/>
  <c r="BO152" i="6"/>
  <c r="BO140" i="6"/>
  <c r="BO127" i="6"/>
  <c r="BO112" i="6"/>
  <c r="BO100" i="6"/>
  <c r="BO88" i="6"/>
  <c r="BO76" i="6"/>
  <c r="BO64" i="6"/>
  <c r="BO52" i="6"/>
  <c r="BO39" i="6"/>
  <c r="BO27" i="6"/>
  <c r="BO14" i="6"/>
  <c r="BB14" i="6"/>
  <c r="F14" i="6" s="1"/>
  <c r="BO291" i="6"/>
  <c r="BO279" i="6"/>
  <c r="BO193" i="6"/>
  <c r="BO104" i="6"/>
  <c r="BO18" i="6"/>
  <c r="BB18" i="6"/>
  <c r="F18" i="6" s="1"/>
  <c r="BO278" i="6"/>
  <c r="BO217" i="6"/>
  <c r="BO130" i="6"/>
  <c r="BO30" i="6"/>
  <c r="BO252" i="6"/>
  <c r="BO142" i="6"/>
  <c r="BP325" i="6"/>
  <c r="BO251" i="6"/>
  <c r="BO215" i="6"/>
  <c r="BO177" i="6"/>
  <c r="BO141" i="6"/>
  <c r="BO113" i="6"/>
  <c r="BO89" i="6"/>
  <c r="BO53" i="6"/>
  <c r="BO40" i="6"/>
  <c r="BO323" i="6"/>
  <c r="BO311" i="6"/>
  <c r="BO298" i="6"/>
  <c r="BO286" i="6"/>
  <c r="BO274" i="6"/>
  <c r="BO262" i="6"/>
  <c r="BO249" i="6"/>
  <c r="BO237" i="6"/>
  <c r="BO225" i="6"/>
  <c r="BO213" i="6"/>
  <c r="BO200" i="6"/>
  <c r="BO188" i="6"/>
  <c r="BO175" i="6"/>
  <c r="BO163" i="6"/>
  <c r="BO151" i="6"/>
  <c r="BO139" i="6"/>
  <c r="BO126" i="6"/>
  <c r="BO111" i="6"/>
  <c r="BO99" i="6"/>
  <c r="BO87" i="6"/>
  <c r="BO75" i="6"/>
  <c r="BO63" i="6"/>
  <c r="BO51" i="6"/>
  <c r="BO38" i="6"/>
  <c r="BO25" i="6"/>
  <c r="BB25" i="6"/>
  <c r="F25" i="6" s="1"/>
  <c r="BO13" i="6"/>
  <c r="BB13" i="6"/>
  <c r="F13" i="6" s="1"/>
  <c r="BO255" i="6"/>
  <c r="BO169" i="6"/>
  <c r="BO93" i="6"/>
  <c r="BO19" i="6"/>
  <c r="BB19" i="6"/>
  <c r="F19" i="6" s="1"/>
  <c r="BO267" i="6"/>
  <c r="BO180" i="6"/>
  <c r="BO92" i="6"/>
  <c r="BO31" i="6"/>
  <c r="BO302" i="6"/>
  <c r="BO229" i="6"/>
  <c r="BO143" i="6"/>
  <c r="BO79" i="6"/>
  <c r="BO67" i="6"/>
  <c r="BO240" i="6"/>
  <c r="BO313" i="6"/>
  <c r="BO276" i="6"/>
  <c r="BO227" i="6"/>
  <c r="BO190" i="6"/>
  <c r="BO153" i="6"/>
  <c r="BO77" i="6"/>
  <c r="BO322" i="6"/>
  <c r="BO309" i="6"/>
  <c r="BO297" i="6"/>
  <c r="BO285" i="6"/>
  <c r="BO273" i="6"/>
  <c r="BO261" i="6"/>
  <c r="BO248" i="6"/>
  <c r="BO236" i="6"/>
  <c r="BO224" i="6"/>
  <c r="BO212" i="6"/>
  <c r="BO199" i="6"/>
  <c r="BO187" i="6"/>
  <c r="BO174" i="6"/>
  <c r="BO162" i="6"/>
  <c r="BO150" i="6"/>
  <c r="BO138" i="6"/>
  <c r="BO122" i="6"/>
  <c r="BO110" i="6"/>
  <c r="BO98" i="6"/>
  <c r="BO86" i="6"/>
  <c r="BO74" i="6"/>
  <c r="BO62" i="6"/>
  <c r="BO50" i="6"/>
  <c r="BO37" i="6"/>
  <c r="BO24" i="6"/>
  <c r="BB24" i="6"/>
  <c r="F24" i="6" s="1"/>
  <c r="BO12" i="6"/>
  <c r="BB12" i="6"/>
  <c r="F12" i="6" s="1"/>
  <c r="BO231" i="6"/>
  <c r="BO157" i="6"/>
  <c r="BO81" i="6"/>
  <c r="BO254" i="6"/>
  <c r="BO168" i="6"/>
  <c r="BO56" i="6"/>
  <c r="BO253" i="6"/>
  <c r="BO203" i="6"/>
  <c r="BO210" i="6"/>
  <c r="BO304" i="6"/>
  <c r="BO219" i="6"/>
  <c r="BO145" i="6"/>
  <c r="BO32" i="6"/>
  <c r="BO242" i="6"/>
  <c r="BO156" i="6"/>
  <c r="BO68" i="6"/>
  <c r="BO192" i="6"/>
  <c r="BO288" i="6"/>
  <c r="BO178" i="6"/>
  <c r="BO114" i="6"/>
  <c r="BO29" i="6"/>
  <c r="BO296" i="6"/>
  <c r="BO260" i="6"/>
  <c r="BO223" i="6"/>
  <c r="BO161" i="6"/>
  <c r="BO97" i="6"/>
  <c r="BO320" i="6"/>
  <c r="BO307" i="6"/>
  <c r="BO294" i="6"/>
  <c r="BO283" i="6"/>
  <c r="BO271" i="6"/>
  <c r="BO259" i="6"/>
  <c r="BO246" i="6"/>
  <c r="BO234" i="6"/>
  <c r="BO222" i="6"/>
  <c r="BO209" i="6"/>
  <c r="BO197" i="6"/>
  <c r="BO184" i="6"/>
  <c r="BO172" i="6"/>
  <c r="BO160" i="6"/>
  <c r="BO148" i="6"/>
  <c r="BO136" i="6"/>
  <c r="BO120" i="6"/>
  <c r="BO108" i="6"/>
  <c r="BO96" i="6"/>
  <c r="BO84" i="6"/>
  <c r="BO72" i="6"/>
  <c r="BO60" i="6"/>
  <c r="BO48" i="6"/>
  <c r="BO35" i="6"/>
  <c r="BO22" i="6"/>
  <c r="BB22" i="6"/>
  <c r="F22" i="6" s="1"/>
  <c r="BO10" i="6"/>
  <c r="BB10" i="6"/>
  <c r="F10" i="6" s="1"/>
  <c r="BO317" i="6"/>
  <c r="BO243" i="6"/>
  <c r="BO181" i="6"/>
  <c r="BO117" i="6"/>
  <c r="BO57" i="6"/>
  <c r="BO290" i="6"/>
  <c r="BO144" i="6"/>
  <c r="BO266" i="6"/>
  <c r="BO167" i="6"/>
  <c r="BO91" i="6"/>
  <c r="BO17" i="6"/>
  <c r="BB17" i="6"/>
  <c r="F17" i="6" s="1"/>
  <c r="BO301" i="6"/>
  <c r="BO228" i="6"/>
  <c r="BO154" i="6"/>
  <c r="BO102" i="6"/>
  <c r="BO54" i="6"/>
  <c r="BO321" i="6"/>
  <c r="BO284" i="6"/>
  <c r="BO247" i="6"/>
  <c r="BO186" i="6"/>
  <c r="BO149" i="6"/>
  <c r="BO121" i="6"/>
  <c r="BO85" i="6"/>
  <c r="BO61" i="6"/>
  <c r="BO36" i="6"/>
  <c r="BO319" i="6"/>
  <c r="BO306" i="6"/>
  <c r="BO293" i="6"/>
  <c r="BO282" i="6"/>
  <c r="BO270" i="6"/>
  <c r="BO258" i="6"/>
  <c r="BO245" i="6"/>
  <c r="BO233" i="6"/>
  <c r="BO221" i="6"/>
  <c r="BO208" i="6"/>
  <c r="BO196" i="6"/>
  <c r="BO183" i="6"/>
  <c r="BO171" i="6"/>
  <c r="BO159" i="6"/>
  <c r="BO147" i="6"/>
  <c r="BO135" i="6"/>
  <c r="BO119" i="6"/>
  <c r="BO107" i="6"/>
  <c r="BO95" i="6"/>
  <c r="BO83" i="6"/>
  <c r="BO71" i="6"/>
  <c r="BO59" i="6"/>
  <c r="BO47" i="6"/>
  <c r="BO34" i="6"/>
  <c r="BO21" i="6"/>
  <c r="BB21" i="6"/>
  <c r="F21" i="6" s="1"/>
  <c r="BO9" i="6"/>
  <c r="BB9" i="6"/>
  <c r="F9" i="6" s="1"/>
  <c r="BO280" i="6"/>
  <c r="BO206" i="6"/>
  <c r="BO133" i="6"/>
  <c r="BO45" i="6"/>
  <c r="BO316" i="6"/>
  <c r="BO230" i="6"/>
  <c r="BO132" i="6"/>
  <c r="BO80" i="6"/>
  <c r="BO179" i="6"/>
  <c r="BO277" i="6"/>
  <c r="BO191" i="6"/>
  <c r="BO129" i="6"/>
  <c r="BO41" i="6"/>
  <c r="BO308" i="6"/>
  <c r="BO272" i="6"/>
  <c r="BO235" i="6"/>
  <c r="BO198" i="6"/>
  <c r="BO173" i="6"/>
  <c r="BO137" i="6"/>
  <c r="BO109" i="6"/>
  <c r="BO73" i="6"/>
  <c r="BO49" i="6"/>
  <c r="BO23" i="6"/>
  <c r="BB23" i="6"/>
  <c r="F23" i="6" s="1"/>
  <c r="BO11" i="6"/>
  <c r="BB11" i="6"/>
  <c r="F11" i="6" s="1"/>
  <c r="BO318" i="6"/>
  <c r="BO305" i="6"/>
  <c r="BO292" i="6"/>
  <c r="BO281" i="6"/>
  <c r="BO269" i="6"/>
  <c r="BO256" i="6"/>
  <c r="BO244" i="6"/>
  <c r="BO232" i="6"/>
  <c r="BO220" i="6"/>
  <c r="BO207" i="6"/>
  <c r="BO195" i="6"/>
  <c r="BO182" i="6"/>
  <c r="BO170" i="6"/>
  <c r="BO158" i="6"/>
  <c r="BO146" i="6"/>
  <c r="BO134" i="6"/>
  <c r="BO118" i="6"/>
  <c r="BO106" i="6"/>
  <c r="BO94" i="6"/>
  <c r="BO82" i="6"/>
  <c r="BO70" i="6"/>
  <c r="BO58" i="6"/>
  <c r="BO46" i="6"/>
  <c r="BO33" i="6"/>
  <c r="BO20" i="6"/>
  <c r="BB20" i="6"/>
  <c r="F20" i="6" s="1"/>
  <c r="BO8" i="6"/>
  <c r="BB8" i="6"/>
  <c r="F8" i="6" s="1"/>
  <c r="BO7" i="6"/>
  <c r="BO325" i="6"/>
  <c r="BP326" i="6"/>
  <c r="BO326" i="6"/>
  <c r="D7" i="6" l="1"/>
  <c r="C7" i="15"/>
  <c r="F7" i="15" s="1"/>
  <c r="J7" i="15" s="1"/>
  <c r="BB5" i="6"/>
  <c r="I67" i="15"/>
  <c r="F27" i="15"/>
  <c r="C31" i="15"/>
  <c r="F63" i="15"/>
  <c r="I65" i="15"/>
  <c r="F82" i="15"/>
  <c r="I77" i="15"/>
  <c r="I94" i="15"/>
  <c r="I36" i="15"/>
  <c r="F73" i="15"/>
  <c r="F44" i="15"/>
  <c r="F90" i="15"/>
  <c r="C32" i="15"/>
  <c r="F29" i="15"/>
  <c r="F34" i="15"/>
  <c r="F38" i="15"/>
  <c r="F56" i="15"/>
  <c r="I83" i="15"/>
  <c r="I102" i="15"/>
  <c r="I51" i="15"/>
  <c r="I84" i="15"/>
  <c r="F89" i="15"/>
  <c r="F61" i="15"/>
  <c r="F101" i="15"/>
  <c r="I57" i="15"/>
  <c r="F97" i="15"/>
  <c r="I28" i="15"/>
  <c r="I121" i="15"/>
  <c r="F72" i="15"/>
  <c r="I117" i="15"/>
  <c r="F70" i="15"/>
  <c r="I108" i="15"/>
  <c r="I39" i="15"/>
  <c r="I112" i="15"/>
  <c r="F96" i="15"/>
  <c r="F54" i="15"/>
  <c r="I58" i="15"/>
  <c r="I93" i="15"/>
  <c r="F116" i="15"/>
  <c r="I50" i="15"/>
  <c r="F87" i="15"/>
  <c r="I80" i="15"/>
  <c r="I104" i="15"/>
  <c r="I120" i="15"/>
  <c r="F106" i="15"/>
  <c r="F111" i="15"/>
  <c r="I62" i="15"/>
  <c r="F48" i="15"/>
  <c r="F45" i="15"/>
  <c r="F60" i="15"/>
  <c r="I49" i="15"/>
  <c r="F53" i="15"/>
  <c r="I85" i="15"/>
  <c r="I74" i="15"/>
  <c r="F86" i="15"/>
  <c r="F40" i="15"/>
  <c r="I113" i="15"/>
  <c r="F55" i="15"/>
  <c r="I109" i="15"/>
  <c r="I98" i="15"/>
  <c r="F41" i="15"/>
  <c r="F59" i="15"/>
  <c r="F68" i="15"/>
  <c r="I110" i="15"/>
  <c r="I76" i="15"/>
  <c r="I99" i="15"/>
  <c r="F71" i="15"/>
  <c r="F105" i="15"/>
  <c r="F100" i="15"/>
  <c r="I114" i="15"/>
  <c r="I103" i="15"/>
  <c r="I37" i="15"/>
  <c r="F33" i="15"/>
  <c r="C14" i="15"/>
  <c r="F14" i="15" s="1"/>
  <c r="D14" i="6"/>
  <c r="F79" i="15"/>
  <c r="C8" i="15"/>
  <c r="F8" i="15" s="1"/>
  <c r="D8" i="6"/>
  <c r="C10" i="15"/>
  <c r="I10" i="15" s="1"/>
  <c r="D10" i="6"/>
  <c r="I95" i="15"/>
  <c r="I92" i="15"/>
  <c r="F64" i="15"/>
  <c r="I118" i="15"/>
  <c r="F91" i="15"/>
  <c r="I35" i="15"/>
  <c r="F107" i="15"/>
  <c r="C12" i="15"/>
  <c r="F12" i="15" s="1"/>
  <c r="D12" i="6"/>
  <c r="C13" i="15"/>
  <c r="F13" i="15" s="1"/>
  <c r="D13" i="6"/>
  <c r="C21" i="15"/>
  <c r="F21" i="15" s="1"/>
  <c r="D21" i="6"/>
  <c r="C24" i="15"/>
  <c r="I24" i="15" s="1"/>
  <c r="D24" i="6"/>
  <c r="C16" i="15"/>
  <c r="F16" i="15" s="1"/>
  <c r="D16" i="6"/>
  <c r="F30" i="15"/>
  <c r="C25" i="15"/>
  <c r="I25" i="15" s="1"/>
  <c r="D25" i="6"/>
  <c r="F52" i="15"/>
  <c r="I42" i="15"/>
  <c r="C15" i="15"/>
  <c r="F15" i="15" s="1"/>
  <c r="D15" i="6"/>
  <c r="C17" i="15"/>
  <c r="F17" i="15" s="1"/>
  <c r="D17" i="6"/>
  <c r="C22" i="15"/>
  <c r="F22" i="15" s="1"/>
  <c r="D22" i="6"/>
  <c r="C18" i="15"/>
  <c r="I18" i="15" s="1"/>
  <c r="D18" i="6"/>
  <c r="I75" i="15"/>
  <c r="F46" i="15"/>
  <c r="I47" i="15"/>
  <c r="F119" i="15"/>
  <c r="F69" i="15"/>
  <c r="I81" i="15"/>
  <c r="F66" i="15"/>
  <c r="C11" i="15"/>
  <c r="F11" i="15" s="1"/>
  <c r="D11" i="6"/>
  <c r="F88" i="15"/>
  <c r="I78" i="15"/>
  <c r="F43" i="15"/>
  <c r="I115" i="15"/>
  <c r="C23" i="15"/>
  <c r="F23" i="15" s="1"/>
  <c r="D23" i="6"/>
  <c r="C20" i="15"/>
  <c r="I20" i="15" s="1"/>
  <c r="D20" i="6"/>
  <c r="C19" i="15"/>
  <c r="I19" i="15" s="1"/>
  <c r="D19" i="6"/>
  <c r="C9" i="15"/>
  <c r="F9" i="15" s="1"/>
  <c r="D9" i="6"/>
  <c r="I7" i="15"/>
  <c r="J322" i="15"/>
  <c r="K322" i="15" s="1"/>
  <c r="F32" i="15" l="1"/>
  <c r="J32" i="15" s="1"/>
  <c r="I32" i="15"/>
  <c r="I31" i="15"/>
  <c r="F31" i="15"/>
  <c r="I11" i="15"/>
  <c r="I13" i="15"/>
  <c r="I15" i="15"/>
  <c r="F10" i="15"/>
  <c r="I16" i="15"/>
  <c r="I8" i="15"/>
  <c r="F25" i="15"/>
  <c r="I23" i="15"/>
  <c r="I12" i="15"/>
  <c r="I14" i="15"/>
  <c r="F24" i="15"/>
  <c r="F18" i="15"/>
  <c r="I17" i="15"/>
  <c r="F19" i="15"/>
  <c r="F20" i="15"/>
  <c r="I21" i="15"/>
  <c r="I22" i="15"/>
  <c r="I9" i="15"/>
  <c r="K20" i="10"/>
  <c r="K32" i="15" l="1"/>
  <c r="D20" i="10"/>
  <c r="S5" i="6" l="1"/>
  <c r="BP311" i="6" l="1"/>
  <c r="BP292" i="6"/>
  <c r="BP256" i="6"/>
  <c r="BP244" i="6"/>
  <c r="BP220" i="6"/>
  <c r="BP166" i="6"/>
  <c r="BP146" i="6"/>
  <c r="BP122" i="6"/>
  <c r="BP86" i="6"/>
  <c r="BP66" i="6"/>
  <c r="BP62" i="6"/>
  <c r="BP46" i="6"/>
  <c r="BP41" i="6"/>
  <c r="BP29" i="6"/>
  <c r="BP24" i="6"/>
  <c r="BP16" i="6"/>
  <c r="BP12" i="6"/>
  <c r="BP8" i="6"/>
  <c r="BP318" i="6"/>
  <c r="BP301" i="6"/>
  <c r="BP288" i="6"/>
  <c r="BP269" i="6"/>
  <c r="BP248" i="6"/>
  <c r="BP232" i="6"/>
  <c r="BP191" i="6"/>
  <c r="BP182" i="6"/>
  <c r="BP174" i="6"/>
  <c r="BP150" i="6"/>
  <c r="BP134" i="6"/>
  <c r="BP118" i="6"/>
  <c r="BP102" i="6"/>
  <c r="BP90" i="6"/>
  <c r="BP82" i="6"/>
  <c r="BP54" i="6"/>
  <c r="BP317" i="6"/>
  <c r="BP300" i="6"/>
  <c r="BP284" i="6"/>
  <c r="BP268" i="6"/>
  <c r="BP264" i="6"/>
  <c r="BP251" i="6"/>
  <c r="BP239" i="6"/>
  <c r="BP235" i="6"/>
  <c r="BP219" i="6"/>
  <c r="BP206" i="6"/>
  <c r="BP202" i="6"/>
  <c r="BP198" i="6"/>
  <c r="BP190" i="6"/>
  <c r="BP186" i="6"/>
  <c r="BP169" i="6"/>
  <c r="BP153" i="6"/>
  <c r="BP137" i="6"/>
  <c r="BP133" i="6"/>
  <c r="BP117" i="6"/>
  <c r="BP105" i="6"/>
  <c r="BP101" i="6"/>
  <c r="BP85" i="6"/>
  <c r="BP69" i="6"/>
  <c r="BP65" i="6"/>
  <c r="BP57" i="6"/>
  <c r="BP53" i="6"/>
  <c r="BP36" i="6"/>
  <c r="BP23" i="6"/>
  <c r="BP19" i="6"/>
  <c r="BP324" i="6"/>
  <c r="BP316" i="6"/>
  <c r="BP307" i="6"/>
  <c r="BP299" i="6"/>
  <c r="BP290" i="6"/>
  <c r="BP263" i="6"/>
  <c r="BP246" i="6"/>
  <c r="BP230" i="6"/>
  <c r="BP218" i="6"/>
  <c r="BP205" i="6"/>
  <c r="BP189" i="6"/>
  <c r="BP180" i="6"/>
  <c r="BP176" i="6"/>
  <c r="BP168" i="6"/>
  <c r="BP164" i="6"/>
  <c r="BP160" i="6"/>
  <c r="BP84" i="6"/>
  <c r="BP80" i="6"/>
  <c r="BP76" i="6"/>
  <c r="BP68" i="6"/>
  <c r="BP64" i="6"/>
  <c r="BP60" i="6"/>
  <c r="BP52" i="6"/>
  <c r="BP48" i="6"/>
  <c r="BP44" i="6"/>
  <c r="BP35" i="6"/>
  <c r="BP31" i="6"/>
  <c r="BP27" i="6"/>
  <c r="BP14" i="6"/>
  <c r="BP323" i="6"/>
  <c r="BP319" i="6"/>
  <c r="BP315" i="6"/>
  <c r="BP306" i="6"/>
  <c r="BP302" i="6"/>
  <c r="BP298" i="6"/>
  <c r="BP293" i="6"/>
  <c r="BP289" i="6"/>
  <c r="BP286" i="6"/>
  <c r="BP282" i="6"/>
  <c r="BP278" i="6"/>
  <c r="BP274" i="6"/>
  <c r="BP270" i="6"/>
  <c r="BP266" i="6"/>
  <c r="BP262" i="6"/>
  <c r="BP258" i="6"/>
  <c r="BP253" i="6"/>
  <c r="BP249" i="6"/>
  <c r="BP245" i="6"/>
  <c r="BP241" i="6"/>
  <c r="BP237" i="6"/>
  <c r="BP233" i="6"/>
  <c r="BP229" i="6"/>
  <c r="BP225" i="6"/>
  <c r="BP221" i="6"/>
  <c r="BP217" i="6"/>
  <c r="BP213" i="6"/>
  <c r="BP208" i="6"/>
  <c r="BP204" i="6"/>
  <c r="BP200" i="6"/>
  <c r="BP314" i="6"/>
  <c r="BP273" i="6"/>
  <c r="BP261" i="6"/>
  <c r="BP236" i="6"/>
  <c r="BP321" i="6"/>
  <c r="BP89" i="6"/>
  <c r="BP73" i="6"/>
  <c r="BP40" i="6"/>
  <c r="BP312" i="6"/>
  <c r="BP279" i="6"/>
  <c r="BP267" i="6"/>
  <c r="BP197" i="6"/>
  <c r="BP196" i="6"/>
  <c r="BP192" i="6"/>
  <c r="BP188" i="6"/>
  <c r="BP183" i="6"/>
  <c r="BP179" i="6"/>
  <c r="BP175" i="6"/>
  <c r="BP171" i="6"/>
  <c r="BP167" i="6"/>
  <c r="BP163" i="6"/>
  <c r="BP159" i="6"/>
  <c r="BP155" i="6"/>
  <c r="BP151" i="6"/>
  <c r="BP147" i="6"/>
  <c r="BP143" i="6"/>
  <c r="BP139" i="6"/>
  <c r="BP135" i="6"/>
  <c r="BP130" i="6"/>
  <c r="BP126" i="6"/>
  <c r="BP119" i="6"/>
  <c r="BP115" i="6"/>
  <c r="BP111" i="6"/>
  <c r="BP107" i="6"/>
  <c r="BP103" i="6"/>
  <c r="BP99" i="6"/>
  <c r="BP95" i="6"/>
  <c r="BP91" i="6"/>
  <c r="BP87" i="6"/>
  <c r="BP83" i="6"/>
  <c r="BP79" i="6"/>
  <c r="BP75" i="6"/>
  <c r="BP71" i="6"/>
  <c r="BP67" i="6"/>
  <c r="BP63" i="6"/>
  <c r="BP59" i="6"/>
  <c r="BP55" i="6"/>
  <c r="BP51" i="6"/>
  <c r="BP47" i="6"/>
  <c r="BP43" i="6"/>
  <c r="BP38" i="6"/>
  <c r="BP34" i="6"/>
  <c r="BP30" i="6"/>
  <c r="BP25" i="6"/>
  <c r="BP21" i="6"/>
  <c r="BP17" i="6"/>
  <c r="BP13" i="6"/>
  <c r="BP9" i="6"/>
  <c r="BP203" i="6"/>
  <c r="BP195" i="6"/>
  <c r="BP158" i="6"/>
  <c r="BP138" i="6"/>
  <c r="BP129" i="6"/>
  <c r="BP114" i="6"/>
  <c r="BP78" i="6"/>
  <c r="BP58" i="6"/>
  <c r="BP37" i="6"/>
  <c r="BP20" i="6"/>
  <c r="J319" i="15" l="1"/>
  <c r="BP216" i="6"/>
  <c r="BP277" i="6"/>
  <c r="BP88" i="6"/>
  <c r="BP280" i="6"/>
  <c r="BP178" i="6"/>
  <c r="BP15" i="6"/>
  <c r="BP215" i="6"/>
  <c r="BP214" i="6"/>
  <c r="BP322" i="6"/>
  <c r="BP7" i="6"/>
  <c r="BP148" i="6"/>
  <c r="BP223" i="6"/>
  <c r="BP304" i="6"/>
  <c r="BP250" i="6"/>
  <c r="BP283" i="6"/>
  <c r="BP81" i="6"/>
  <c r="BP149" i="6"/>
  <c r="BP18" i="6"/>
  <c r="BP116" i="6"/>
  <c r="BP184" i="6"/>
  <c r="BP234" i="6"/>
  <c r="BP152" i="6"/>
  <c r="BP112" i="6"/>
  <c r="BP294" i="6"/>
  <c r="BP132" i="6"/>
  <c r="BP96" i="6"/>
  <c r="BP100" i="6"/>
  <c r="BP136" i="6"/>
  <c r="BP201" i="6"/>
  <c r="BP173" i="6"/>
  <c r="BP70" i="6"/>
  <c r="BP50" i="6"/>
  <c r="BP142" i="6"/>
  <c r="BP228" i="6"/>
  <c r="BP33" i="6"/>
  <c r="BP110" i="6"/>
  <c r="BP170" i="6"/>
  <c r="BP187" i="6"/>
  <c r="BP285" i="6"/>
  <c r="BP199" i="6"/>
  <c r="BP265" i="6"/>
  <c r="BP74" i="6"/>
  <c r="BP106" i="6"/>
  <c r="BP92" i="6"/>
  <c r="BP108" i="6"/>
  <c r="BP127" i="6"/>
  <c r="BP144" i="6"/>
  <c r="BP121" i="6"/>
  <c r="BP141" i="6"/>
  <c r="BP157" i="6"/>
  <c r="BP255" i="6"/>
  <c r="BP272" i="6"/>
  <c r="BP309" i="6"/>
  <c r="BP252" i="6"/>
  <c r="BP305" i="6"/>
  <c r="BP224" i="6"/>
  <c r="BP156" i="6"/>
  <c r="BP32" i="6"/>
  <c r="BP97" i="6"/>
  <c r="BP165" i="6"/>
  <c r="BP231" i="6"/>
  <c r="BP296" i="6"/>
  <c r="BP94" i="6"/>
  <c r="BP162" i="6"/>
  <c r="BP193" i="6"/>
  <c r="BP209" i="6"/>
  <c r="BP222" i="6"/>
  <c r="BP49" i="6"/>
  <c r="BP113" i="6"/>
  <c r="BP181" i="6"/>
  <c r="BP247" i="6"/>
  <c r="BP313" i="6"/>
  <c r="BP22" i="6"/>
  <c r="BP226" i="6"/>
  <c r="BP242" i="6"/>
  <c r="BP259" i="6"/>
  <c r="BP275" i="6"/>
  <c r="BP287" i="6"/>
  <c r="BP72" i="6"/>
  <c r="BP140" i="6"/>
  <c r="BP271" i="6"/>
  <c r="BP297" i="6"/>
  <c r="BP56" i="6"/>
  <c r="BP120" i="6"/>
  <c r="BP254" i="6"/>
  <c r="BP320" i="6"/>
  <c r="BP281" i="6"/>
  <c r="BP154" i="6"/>
  <c r="BP39" i="6"/>
  <c r="BP104" i="6"/>
  <c r="BP172" i="6"/>
  <c r="BP238" i="6"/>
  <c r="BP303" i="6"/>
  <c r="BP240" i="6"/>
  <c r="BP207" i="6"/>
  <c r="BP212" i="6"/>
  <c r="BP11" i="6"/>
  <c r="BP28" i="6"/>
  <c r="BP45" i="6"/>
  <c r="BP61" i="6"/>
  <c r="BP77" i="6"/>
  <c r="BP93" i="6"/>
  <c r="BP109" i="6"/>
  <c r="BP128" i="6"/>
  <c r="BP145" i="6"/>
  <c r="BP161" i="6"/>
  <c r="BP177" i="6"/>
  <c r="BP194" i="6"/>
  <c r="BP210" i="6"/>
  <c r="BP227" i="6"/>
  <c r="BP243" i="6"/>
  <c r="BP260" i="6"/>
  <c r="BP276" i="6"/>
  <c r="BP291" i="6"/>
  <c r="BP308" i="6"/>
  <c r="BP10" i="6"/>
  <c r="BP98" i="6"/>
  <c r="J320" i="15" l="1"/>
  <c r="J321" i="15"/>
  <c r="K319" i="15"/>
  <c r="K321" i="15" l="1"/>
  <c r="J223" i="15"/>
  <c r="K320" i="15"/>
  <c r="J222" i="15" l="1"/>
  <c r="K223" i="15"/>
  <c r="J221" i="15"/>
  <c r="F6" i="6"/>
  <c r="C6" i="15" s="1"/>
  <c r="I6" i="15" s="1"/>
  <c r="D6" i="6" l="1"/>
  <c r="F5" i="6"/>
  <c r="D5" i="6" s="1"/>
  <c r="BN5" i="6"/>
  <c r="BO6" i="6"/>
  <c r="K221" i="15"/>
  <c r="K222" i="15"/>
  <c r="J157" i="15"/>
  <c r="J224" i="15"/>
  <c r="BP6" i="6"/>
  <c r="K157" i="15" l="1"/>
  <c r="J289" i="15"/>
  <c r="J44" i="15"/>
  <c r="J92" i="15"/>
  <c r="J143" i="15"/>
  <c r="J191" i="15"/>
  <c r="J248" i="15"/>
  <c r="J297" i="15"/>
  <c r="J33" i="15"/>
  <c r="J81" i="15"/>
  <c r="J132" i="15"/>
  <c r="J180" i="15"/>
  <c r="J233" i="15"/>
  <c r="J282" i="15"/>
  <c r="J17" i="15"/>
  <c r="J66" i="15"/>
  <c r="J114" i="15"/>
  <c r="J169" i="15"/>
  <c r="J218" i="15"/>
  <c r="J271" i="15"/>
  <c r="J51" i="15"/>
  <c r="J99" i="15"/>
  <c r="J150" i="15"/>
  <c r="J198" i="15"/>
  <c r="J251" i="15"/>
  <c r="J300" i="15"/>
  <c r="J188" i="15"/>
  <c r="J48" i="15"/>
  <c r="J96" i="15"/>
  <c r="J147" i="15"/>
  <c r="J195" i="15"/>
  <c r="J252" i="15"/>
  <c r="J301" i="15"/>
  <c r="J37" i="15"/>
  <c r="J85" i="15"/>
  <c r="J136" i="15"/>
  <c r="J184" i="15"/>
  <c r="J237" i="15"/>
  <c r="J285" i="15"/>
  <c r="J21" i="15"/>
  <c r="J70" i="15"/>
  <c r="J118" i="15"/>
  <c r="J173" i="15"/>
  <c r="J226" i="15"/>
  <c r="J275" i="15"/>
  <c r="J55" i="15"/>
  <c r="J103" i="15"/>
  <c r="J154" i="15"/>
  <c r="J202" i="15"/>
  <c r="J256" i="15"/>
  <c r="J304" i="15"/>
  <c r="J199" i="15"/>
  <c r="J241" i="15"/>
  <c r="J230" i="15"/>
  <c r="J158" i="15"/>
  <c r="J261" i="15"/>
  <c r="J45" i="15"/>
  <c r="J192" i="15"/>
  <c r="J245" i="15"/>
  <c r="J294" i="15"/>
  <c r="J30" i="15"/>
  <c r="J78" i="15"/>
  <c r="J181" i="15"/>
  <c r="J234" i="15"/>
  <c r="J283" i="15"/>
  <c r="J14" i="15"/>
  <c r="J63" i="15"/>
  <c r="J111" i="15"/>
  <c r="J162" i="15"/>
  <c r="J211" i="15"/>
  <c r="J264" i="15"/>
  <c r="J312" i="15"/>
  <c r="J11" i="15"/>
  <c r="J60" i="15"/>
  <c r="J108" i="15"/>
  <c r="J159" i="15"/>
  <c r="J207" i="15"/>
  <c r="J265" i="15"/>
  <c r="J313" i="15"/>
  <c r="J49" i="15"/>
  <c r="J97" i="15"/>
  <c r="J148" i="15"/>
  <c r="J196" i="15"/>
  <c r="J249" i="15"/>
  <c r="J298" i="15"/>
  <c r="J34" i="15"/>
  <c r="J82" i="15"/>
  <c r="J133" i="15"/>
  <c r="J185" i="15"/>
  <c r="J238" i="15"/>
  <c r="J286" i="15"/>
  <c r="J18" i="15"/>
  <c r="J67" i="15"/>
  <c r="J115" i="15"/>
  <c r="J166" i="15"/>
  <c r="J215" i="15"/>
  <c r="J268" i="15"/>
  <c r="J316" i="15"/>
  <c r="J89" i="15"/>
  <c r="J206" i="15"/>
  <c r="J64" i="15"/>
  <c r="J269" i="15"/>
  <c r="J317" i="15"/>
  <c r="J53" i="15"/>
  <c r="J101" i="15"/>
  <c r="J152" i="15"/>
  <c r="J200" i="15"/>
  <c r="J253" i="15"/>
  <c r="J302" i="15"/>
  <c r="J38" i="15"/>
  <c r="J86" i="15"/>
  <c r="J137" i="15"/>
  <c r="J189" i="15"/>
  <c r="J242" i="15"/>
  <c r="J290" i="15"/>
  <c r="J22" i="15"/>
  <c r="J71" i="15"/>
  <c r="J119" i="15"/>
  <c r="J170" i="15"/>
  <c r="J219" i="15"/>
  <c r="J272" i="15"/>
  <c r="J257" i="15"/>
  <c r="J74" i="15"/>
  <c r="J10" i="15"/>
  <c r="J309" i="15"/>
  <c r="J216" i="15"/>
  <c r="J273" i="15"/>
  <c r="J8" i="15"/>
  <c r="J57" i="15"/>
  <c r="J105" i="15"/>
  <c r="J156" i="15"/>
  <c r="J204" i="15"/>
  <c r="J258" i="15"/>
  <c r="J306" i="15"/>
  <c r="J42" i="15"/>
  <c r="J90" i="15"/>
  <c r="J141" i="15"/>
  <c r="J193" i="15"/>
  <c r="J246" i="15"/>
  <c r="J295" i="15"/>
  <c r="J27" i="15"/>
  <c r="J75" i="15"/>
  <c r="J174" i="15"/>
  <c r="J227" i="15"/>
  <c r="J276" i="15"/>
  <c r="J52" i="15"/>
  <c r="J279" i="15"/>
  <c r="J203" i="15"/>
  <c r="J15" i="15"/>
  <c r="J68" i="15"/>
  <c r="J23" i="15"/>
  <c r="J277" i="15"/>
  <c r="J12" i="15"/>
  <c r="J61" i="15"/>
  <c r="J109" i="15"/>
  <c r="J160" i="15"/>
  <c r="J209" i="15"/>
  <c r="J262" i="15"/>
  <c r="J310" i="15"/>
  <c r="J46" i="15"/>
  <c r="J94" i="15"/>
  <c r="J145" i="15"/>
  <c r="J197" i="15"/>
  <c r="J250" i="15"/>
  <c r="J299" i="15"/>
  <c r="J31" i="15"/>
  <c r="J79" i="15"/>
  <c r="J130" i="15"/>
  <c r="J178" i="15"/>
  <c r="J231" i="15"/>
  <c r="J280" i="15"/>
  <c r="J151" i="15"/>
  <c r="J59" i="15"/>
  <c r="J104" i="15"/>
  <c r="J212" i="15"/>
  <c r="J171" i="15"/>
  <c r="J232" i="15"/>
  <c r="J65" i="15"/>
  <c r="J113" i="15"/>
  <c r="J164" i="15"/>
  <c r="J213" i="15"/>
  <c r="J266" i="15"/>
  <c r="J314" i="15"/>
  <c r="J50" i="15"/>
  <c r="J98" i="15"/>
  <c r="J149" i="15"/>
  <c r="J201" i="15"/>
  <c r="J255" i="15"/>
  <c r="J303" i="15"/>
  <c r="J35" i="15"/>
  <c r="J83" i="15"/>
  <c r="J134" i="15"/>
  <c r="J182" i="15"/>
  <c r="J235" i="15"/>
  <c r="J284" i="15"/>
  <c r="J305" i="15"/>
  <c r="J25" i="15"/>
  <c r="J107" i="15"/>
  <c r="J56" i="15"/>
  <c r="J112" i="15"/>
  <c r="J19" i="15"/>
  <c r="J120" i="15"/>
  <c r="J175" i="15"/>
  <c r="J236" i="15"/>
  <c r="J117" i="15"/>
  <c r="J217" i="15"/>
  <c r="J270" i="15"/>
  <c r="J318" i="15"/>
  <c r="J54" i="15"/>
  <c r="J102" i="15"/>
  <c r="J153" i="15"/>
  <c r="J205" i="15"/>
  <c r="J259" i="15"/>
  <c r="J307" i="15"/>
  <c r="J39" i="15"/>
  <c r="J87" i="15"/>
  <c r="J138" i="15"/>
  <c r="J186" i="15"/>
  <c r="J239" i="15"/>
  <c r="J287" i="15"/>
  <c r="K224" i="15"/>
  <c r="J41" i="15"/>
  <c r="J308" i="15"/>
  <c r="J93" i="15"/>
  <c r="J116" i="15"/>
  <c r="J72" i="15"/>
  <c r="J16" i="15"/>
  <c r="J179" i="15"/>
  <c r="J69" i="15"/>
  <c r="J84" i="15"/>
  <c r="J240" i="15"/>
  <c r="J73" i="15"/>
  <c r="J274" i="15"/>
  <c r="J58" i="15"/>
  <c r="J106" i="15"/>
  <c r="J161" i="15"/>
  <c r="J210" i="15"/>
  <c r="J263" i="15"/>
  <c r="J311" i="15"/>
  <c r="J43" i="15"/>
  <c r="J91" i="15"/>
  <c r="J142" i="15"/>
  <c r="J190" i="15"/>
  <c r="J243" i="15"/>
  <c r="J291" i="15"/>
  <c r="J100" i="15"/>
  <c r="J140" i="15"/>
  <c r="J177" i="15"/>
  <c r="J260" i="15"/>
  <c r="J155" i="15"/>
  <c r="J144" i="15"/>
  <c r="J163" i="15"/>
  <c r="J167" i="15"/>
  <c r="J228" i="15"/>
  <c r="J28" i="15"/>
  <c r="J76" i="15"/>
  <c r="J281" i="15"/>
  <c r="J80" i="15"/>
  <c r="J131" i="15"/>
  <c r="J20" i="15"/>
  <c r="J168" i="15"/>
  <c r="J36" i="15"/>
  <c r="J135" i="15"/>
  <c r="J183" i="15"/>
  <c r="J288" i="15"/>
  <c r="J24" i="15"/>
  <c r="J121" i="15"/>
  <c r="J172" i="15"/>
  <c r="J225" i="15"/>
  <c r="J9" i="15"/>
  <c r="J40" i="15"/>
  <c r="J88" i="15"/>
  <c r="J139" i="15"/>
  <c r="J187" i="15"/>
  <c r="J244" i="15"/>
  <c r="J293" i="15"/>
  <c r="J29" i="15"/>
  <c r="J77" i="15"/>
  <c r="J176" i="15"/>
  <c r="J229" i="15"/>
  <c r="J278" i="15"/>
  <c r="J13" i="15"/>
  <c r="J62" i="15"/>
  <c r="J110" i="15"/>
  <c r="J165" i="15"/>
  <c r="J214" i="15"/>
  <c r="J267" i="15"/>
  <c r="J315" i="15"/>
  <c r="J47" i="15"/>
  <c r="J95" i="15"/>
  <c r="J146" i="15"/>
  <c r="J194" i="15"/>
  <c r="J247" i="15"/>
  <c r="J296" i="15"/>
  <c r="J126" i="15"/>
  <c r="J127" i="15"/>
  <c r="J124" i="15"/>
  <c r="J128" i="15"/>
  <c r="J125" i="15"/>
  <c r="BP5" i="6"/>
  <c r="BO5" i="6"/>
  <c r="F30" i="10"/>
  <c r="F37" i="10"/>
  <c r="F47" i="10"/>
  <c r="F52" i="10"/>
  <c r="F58" i="10"/>
  <c r="F61" i="10" l="1"/>
  <c r="K71" i="15"/>
  <c r="K86" i="15"/>
  <c r="K101" i="15"/>
  <c r="K89" i="15"/>
  <c r="K45" i="15"/>
  <c r="K51" i="15"/>
  <c r="K17" i="15"/>
  <c r="K33" i="15"/>
  <c r="K44" i="15"/>
  <c r="K153" i="15"/>
  <c r="K117" i="15"/>
  <c r="K112" i="15"/>
  <c r="K235" i="15"/>
  <c r="K255" i="15"/>
  <c r="K171" i="15"/>
  <c r="K231" i="15"/>
  <c r="K262" i="15"/>
  <c r="K52" i="15"/>
  <c r="K295" i="15"/>
  <c r="K306" i="15"/>
  <c r="K8" i="15"/>
  <c r="K257" i="15"/>
  <c r="K277" i="15"/>
  <c r="K29" i="15"/>
  <c r="K288" i="15"/>
  <c r="K228" i="15"/>
  <c r="K177" i="15"/>
  <c r="K142" i="15"/>
  <c r="K84" i="15"/>
  <c r="K93" i="15"/>
  <c r="K40" i="15"/>
  <c r="K296" i="15"/>
  <c r="K315" i="15"/>
  <c r="K9" i="15"/>
  <c r="K167" i="15"/>
  <c r="K308" i="15"/>
  <c r="K247" i="15"/>
  <c r="K278" i="15"/>
  <c r="K22" i="15"/>
  <c r="K49" i="15"/>
  <c r="K225" i="15"/>
  <c r="K135" i="15"/>
  <c r="K163" i="15"/>
  <c r="K100" i="15"/>
  <c r="K179" i="15"/>
  <c r="K307" i="15"/>
  <c r="K318" i="15"/>
  <c r="K175" i="15"/>
  <c r="K25" i="15"/>
  <c r="K98" i="15"/>
  <c r="K113" i="15"/>
  <c r="K79" i="15"/>
  <c r="K94" i="15"/>
  <c r="K15" i="15"/>
  <c r="K174" i="15"/>
  <c r="K309" i="15"/>
  <c r="K219" i="15"/>
  <c r="K253" i="15"/>
  <c r="K294" i="15"/>
  <c r="K118" i="15"/>
  <c r="K136" i="15"/>
  <c r="K239" i="15"/>
  <c r="K120" i="15"/>
  <c r="K151" i="15"/>
  <c r="K61" i="15"/>
  <c r="K75" i="15"/>
  <c r="K105" i="15"/>
  <c r="K189" i="15"/>
  <c r="K166" i="15"/>
  <c r="K207" i="15"/>
  <c r="K264" i="15"/>
  <c r="K245" i="15"/>
  <c r="K241" i="15"/>
  <c r="K85" i="15"/>
  <c r="K96" i="15"/>
  <c r="K150" i="15"/>
  <c r="K261" i="15"/>
  <c r="K226" i="15"/>
  <c r="K237" i="15"/>
  <c r="K54" i="15"/>
  <c r="K107" i="15"/>
  <c r="K134" i="15"/>
  <c r="K149" i="15"/>
  <c r="K130" i="15"/>
  <c r="K145" i="15"/>
  <c r="K160" i="15"/>
  <c r="K68" i="15"/>
  <c r="K290" i="15"/>
  <c r="K317" i="15"/>
  <c r="K268" i="15"/>
  <c r="K286" i="15"/>
  <c r="K30" i="15"/>
  <c r="K158" i="15"/>
  <c r="K202" i="15"/>
  <c r="K195" i="15"/>
  <c r="K233" i="15"/>
  <c r="K248" i="15"/>
  <c r="K172" i="15"/>
  <c r="K214" i="15"/>
  <c r="K274" i="15"/>
  <c r="K187" i="15"/>
  <c r="K311" i="15"/>
  <c r="K144" i="15"/>
  <c r="K229" i="15"/>
  <c r="K194" i="15"/>
  <c r="K252" i="15"/>
  <c r="K143" i="15"/>
  <c r="K303" i="15"/>
  <c r="K232" i="15"/>
  <c r="K279" i="15"/>
  <c r="K57" i="15"/>
  <c r="K74" i="15"/>
  <c r="K137" i="15"/>
  <c r="K206" i="15"/>
  <c r="K115" i="15"/>
  <c r="K148" i="15"/>
  <c r="K159" i="15"/>
  <c r="K234" i="15"/>
  <c r="K48" i="15"/>
  <c r="K66" i="15"/>
  <c r="K81" i="15"/>
  <c r="K300" i="15"/>
  <c r="K95" i="15"/>
  <c r="K110" i="15"/>
  <c r="K77" i="15"/>
  <c r="K88" i="15"/>
  <c r="K28" i="15"/>
  <c r="K210" i="15"/>
  <c r="K116" i="15"/>
  <c r="K282" i="15"/>
  <c r="K102" i="15"/>
  <c r="K56" i="15"/>
  <c r="K182" i="15"/>
  <c r="K297" i="15"/>
  <c r="K197" i="15"/>
  <c r="K209" i="15"/>
  <c r="K289" i="15"/>
  <c r="K165" i="15"/>
  <c r="K176" i="15"/>
  <c r="K139" i="15"/>
  <c r="K121" i="15"/>
  <c r="K168" i="15"/>
  <c r="K155" i="15"/>
  <c r="K263" i="15"/>
  <c r="K73" i="15"/>
  <c r="K72" i="15"/>
  <c r="K23" i="15"/>
  <c r="K258" i="15"/>
  <c r="K36" i="15"/>
  <c r="K281" i="15"/>
  <c r="K291" i="15"/>
  <c r="K16" i="15"/>
  <c r="K39" i="15"/>
  <c r="K164" i="15"/>
  <c r="K104" i="15"/>
  <c r="K227" i="15"/>
  <c r="K193" i="15"/>
  <c r="K204" i="15"/>
  <c r="K216" i="15"/>
  <c r="K272" i="15"/>
  <c r="K302" i="15"/>
  <c r="K298" i="15"/>
  <c r="K313" i="15"/>
  <c r="K11" i="15"/>
  <c r="K63" i="15"/>
  <c r="K173" i="15"/>
  <c r="K184" i="15"/>
  <c r="K251" i="15"/>
  <c r="K218" i="15"/>
  <c r="K124" i="15"/>
  <c r="K146" i="15"/>
  <c r="K76" i="15"/>
  <c r="K243" i="15"/>
  <c r="K287" i="15"/>
  <c r="K83" i="15"/>
  <c r="K59" i="15"/>
  <c r="K109" i="15"/>
  <c r="K141" i="15"/>
  <c r="K156" i="15"/>
  <c r="K242" i="15"/>
  <c r="K269" i="15"/>
  <c r="K215" i="15"/>
  <c r="K238" i="15"/>
  <c r="K249" i="15"/>
  <c r="K265" i="15"/>
  <c r="K312" i="15"/>
  <c r="K14" i="15"/>
  <c r="K230" i="15"/>
  <c r="K154" i="15"/>
  <c r="K147" i="15"/>
  <c r="K198" i="15"/>
  <c r="K169" i="15"/>
  <c r="K180" i="15"/>
  <c r="K191" i="15"/>
  <c r="K259" i="15"/>
  <c r="K270" i="15"/>
  <c r="K305" i="15"/>
  <c r="K35" i="15"/>
  <c r="K50" i="15"/>
  <c r="K65" i="15"/>
  <c r="K31" i="15"/>
  <c r="K46" i="15"/>
  <c r="K203" i="15"/>
  <c r="K90" i="15"/>
  <c r="K10" i="15"/>
  <c r="K170" i="15"/>
  <c r="K200" i="15"/>
  <c r="K64" i="15"/>
  <c r="K185" i="15"/>
  <c r="K196" i="15"/>
  <c r="K283" i="15"/>
  <c r="K103" i="15"/>
  <c r="K70" i="15"/>
  <c r="K114" i="15"/>
  <c r="K132" i="15"/>
  <c r="K24" i="15"/>
  <c r="K20" i="15"/>
  <c r="K260" i="15"/>
  <c r="K190" i="15"/>
  <c r="K240" i="15"/>
  <c r="K47" i="15"/>
  <c r="K62" i="15"/>
  <c r="K161" i="15"/>
  <c r="K186" i="15"/>
  <c r="K205" i="15"/>
  <c r="K217" i="15"/>
  <c r="K19" i="15"/>
  <c r="K284" i="15"/>
  <c r="K314" i="15"/>
  <c r="K280" i="15"/>
  <c r="K299" i="15"/>
  <c r="K310" i="15"/>
  <c r="K12" i="15"/>
  <c r="K27" i="15"/>
  <c r="K42" i="15"/>
  <c r="K119" i="15"/>
  <c r="K152" i="15"/>
  <c r="K133" i="15"/>
  <c r="K211" i="15"/>
  <c r="K192" i="15"/>
  <c r="K199" i="15"/>
  <c r="K55" i="15"/>
  <c r="K21" i="15"/>
  <c r="K37" i="15"/>
  <c r="K99" i="15"/>
  <c r="K92" i="15"/>
  <c r="K7" i="15"/>
  <c r="K13" i="15"/>
  <c r="K293" i="15"/>
  <c r="K183" i="15"/>
  <c r="K131" i="15"/>
  <c r="K140" i="15"/>
  <c r="K91" i="15"/>
  <c r="K106" i="15"/>
  <c r="K69" i="15"/>
  <c r="K138" i="15"/>
  <c r="K266" i="15"/>
  <c r="K250" i="15"/>
  <c r="K67" i="15"/>
  <c r="K82" i="15"/>
  <c r="K97" i="15"/>
  <c r="K108" i="15"/>
  <c r="K162" i="15"/>
  <c r="K181" i="15"/>
  <c r="K304" i="15"/>
  <c r="K275" i="15"/>
  <c r="K285" i="15"/>
  <c r="K301" i="15"/>
  <c r="K188" i="15"/>
  <c r="J220" i="15"/>
  <c r="K38" i="15"/>
  <c r="K53" i="15"/>
  <c r="K316" i="15"/>
  <c r="K18" i="15"/>
  <c r="K34" i="15"/>
  <c r="K60" i="15"/>
  <c r="K111" i="15"/>
  <c r="K78" i="15"/>
  <c r="K256" i="15"/>
  <c r="K271" i="15"/>
  <c r="K267" i="15"/>
  <c r="K244" i="15"/>
  <c r="K80" i="15"/>
  <c r="K43" i="15"/>
  <c r="K58" i="15"/>
  <c r="K41" i="15"/>
  <c r="K87" i="15"/>
  <c r="K236" i="15"/>
  <c r="K201" i="15"/>
  <c r="K213" i="15"/>
  <c r="K212" i="15"/>
  <c r="K178" i="15"/>
  <c r="K276" i="15"/>
  <c r="K246" i="15"/>
  <c r="K273" i="15"/>
  <c r="K128" i="15"/>
  <c r="K127" i="15"/>
  <c r="K125" i="15"/>
  <c r="K126" i="15"/>
  <c r="F6" i="15" l="1"/>
  <c r="J6" i="15" s="1"/>
  <c r="C5" i="15"/>
  <c r="F5" i="15" s="1"/>
  <c r="J5" i="15" s="1"/>
  <c r="K220" i="15"/>
  <c r="K6" i="15" l="1"/>
  <c r="K5" i="15" s="1"/>
  <c r="I5" i="15"/>
  <c r="F66" i="10"/>
  <c r="F67" i="10" s="1"/>
  <c r="F63" i="10"/>
  <c r="H67" i="10" l="1"/>
  <c r="H68" i="10"/>
</calcChain>
</file>

<file path=xl/sharedStrings.xml><?xml version="1.0" encoding="utf-8"?>
<sst xmlns="http://schemas.openxmlformats.org/spreadsheetml/2006/main" count="5915" uniqueCount="1293">
  <si>
    <t>Total Full Enrollment</t>
  </si>
  <si>
    <t>Expenditures</t>
  </si>
  <si>
    <t>K-12 Enrollment</t>
  </si>
  <si>
    <t>Other Enrollment</t>
  </si>
  <si>
    <t>17001</t>
  </si>
  <si>
    <t>Seattle</t>
  </si>
  <si>
    <t>32081</t>
  </si>
  <si>
    <t>Spokane</t>
  </si>
  <si>
    <t>17414</t>
  </si>
  <si>
    <t>Lake Washington</t>
  </si>
  <si>
    <t>27010</t>
  </si>
  <si>
    <t>Tacoma</t>
  </si>
  <si>
    <t>17415</t>
  </si>
  <si>
    <t>Kent</t>
  </si>
  <si>
    <t>06114</t>
  </si>
  <si>
    <t>Evergreen (Clark)</t>
  </si>
  <si>
    <t>06037</t>
  </si>
  <si>
    <t>Vancouver</t>
  </si>
  <si>
    <t>27003</t>
  </si>
  <si>
    <t>Puyallup</t>
  </si>
  <si>
    <t>17210</t>
  </si>
  <si>
    <t>Federal Way</t>
  </si>
  <si>
    <t>17417</t>
  </si>
  <si>
    <t>Northshore</t>
  </si>
  <si>
    <t>31015</t>
  </si>
  <si>
    <t>Edmonds</t>
  </si>
  <si>
    <t>17411</t>
  </si>
  <si>
    <t>Issaquah</t>
  </si>
  <si>
    <t>17405</t>
  </si>
  <si>
    <t>Bellevue</t>
  </si>
  <si>
    <t>31002</t>
  </si>
  <si>
    <t>Everett</t>
  </si>
  <si>
    <t>17401</t>
  </si>
  <si>
    <t>Highline</t>
  </si>
  <si>
    <t>27403</t>
  </si>
  <si>
    <t>Bethel</t>
  </si>
  <si>
    <t>03017</t>
  </si>
  <si>
    <t>Kennewick</t>
  </si>
  <si>
    <t>11001</t>
  </si>
  <si>
    <t>Pasco</t>
  </si>
  <si>
    <t>39007</t>
  </si>
  <si>
    <t>Yakima</t>
  </si>
  <si>
    <t>17408</t>
  </si>
  <si>
    <t>Auburn</t>
  </si>
  <si>
    <t>17403</t>
  </si>
  <si>
    <t>Renton</t>
  </si>
  <si>
    <t>31006</t>
  </si>
  <si>
    <t>Mukilteo</t>
  </si>
  <si>
    <t>34003</t>
  </si>
  <si>
    <t>North Thurston</t>
  </si>
  <si>
    <t>32356</t>
  </si>
  <si>
    <t>Central Valley</t>
  </si>
  <si>
    <t>03400</t>
  </si>
  <si>
    <t>Richland</t>
  </si>
  <si>
    <t>06119</t>
  </si>
  <si>
    <t>Battle Ground</t>
  </si>
  <si>
    <t>27400</t>
  </si>
  <si>
    <t>Clover Park</t>
  </si>
  <si>
    <t>37501</t>
  </si>
  <si>
    <t>Bellingham</t>
  </si>
  <si>
    <t>18401</t>
  </si>
  <si>
    <t>Central Kitsap</t>
  </si>
  <si>
    <t>31025</t>
  </si>
  <si>
    <t>Marysville</t>
  </si>
  <si>
    <t>31201</t>
  </si>
  <si>
    <t>Snohomish</t>
  </si>
  <si>
    <t>34111</t>
  </si>
  <si>
    <t>Olympia</t>
  </si>
  <si>
    <t>18402</t>
  </si>
  <si>
    <t>South Kitsap</t>
  </si>
  <si>
    <t>32354</t>
  </si>
  <si>
    <t>Mead</t>
  </si>
  <si>
    <t>17412</t>
  </si>
  <si>
    <t>Shoreline</t>
  </si>
  <si>
    <t>27320</t>
  </si>
  <si>
    <t>Sumner</t>
  </si>
  <si>
    <t>27401</t>
  </si>
  <si>
    <t>Peninsula</t>
  </si>
  <si>
    <t>31004</t>
  </si>
  <si>
    <t>Lake Stevens</t>
  </si>
  <si>
    <t>13161</t>
  </si>
  <si>
    <t>Moses Lake</t>
  </si>
  <si>
    <t>17409</t>
  </si>
  <si>
    <t>Tahoma</t>
  </si>
  <si>
    <t>27402</t>
  </si>
  <si>
    <t>Franklin Pierce</t>
  </si>
  <si>
    <t>04246</t>
  </si>
  <si>
    <t>Wenatchee</t>
  </si>
  <si>
    <t>06117</t>
  </si>
  <si>
    <t>Camas</t>
  </si>
  <si>
    <t>17410</t>
  </si>
  <si>
    <t>Snoqualmie Valley</t>
  </si>
  <si>
    <t>34033</t>
  </si>
  <si>
    <t>Tumwater</t>
  </si>
  <si>
    <t>29320</t>
  </si>
  <si>
    <t>Mt Vernon</t>
  </si>
  <si>
    <t>31103</t>
  </si>
  <si>
    <t>Monroe</t>
  </si>
  <si>
    <t>39201</t>
  </si>
  <si>
    <t>Sunnyside</t>
  </si>
  <si>
    <t>08122</t>
  </si>
  <si>
    <t>Longview</t>
  </si>
  <si>
    <t>09206</t>
  </si>
  <si>
    <t>Eastmont</t>
  </si>
  <si>
    <t>18400</t>
  </si>
  <si>
    <t>North Kitsap</t>
  </si>
  <si>
    <t>15201</t>
  </si>
  <si>
    <t>Oak Harbor</t>
  </si>
  <si>
    <t>36140</t>
  </si>
  <si>
    <t>Walla Walla</t>
  </si>
  <si>
    <t>34002</t>
  </si>
  <si>
    <t>Yelm</t>
  </si>
  <si>
    <t>27083</t>
  </si>
  <si>
    <t>University Place</t>
  </si>
  <si>
    <t>31016</t>
  </si>
  <si>
    <t>Arlington</t>
  </si>
  <si>
    <t>39208</t>
  </si>
  <si>
    <t>West Valley (Yak)</t>
  </si>
  <si>
    <t>18100</t>
  </si>
  <si>
    <t>Bremerton</t>
  </si>
  <si>
    <t>24019</t>
  </si>
  <si>
    <t>Omak</t>
  </si>
  <si>
    <t>08458</t>
  </si>
  <si>
    <t>Kelso</t>
  </si>
  <si>
    <t>37502</t>
  </si>
  <si>
    <t>Ferndale</t>
  </si>
  <si>
    <t>32360</t>
  </si>
  <si>
    <t>Cheney</t>
  </si>
  <si>
    <t>31401</t>
  </si>
  <si>
    <t>Stanwood</t>
  </si>
  <si>
    <t>23309</t>
  </si>
  <si>
    <t>Shelton</t>
  </si>
  <si>
    <t>17400</t>
  </si>
  <si>
    <t>Mercer Island</t>
  </si>
  <si>
    <t>01147</t>
  </si>
  <si>
    <t>Othello</t>
  </si>
  <si>
    <t>29101</t>
  </si>
  <si>
    <t>Sedro Woolley</t>
  </si>
  <si>
    <t>39202</t>
  </si>
  <si>
    <t>Toppenish</t>
  </si>
  <si>
    <t>32361</t>
  </si>
  <si>
    <t>East Valley (Spok</t>
  </si>
  <si>
    <t>17216</t>
  </si>
  <si>
    <t>Enumclaw</t>
  </si>
  <si>
    <t>18303</t>
  </si>
  <si>
    <t>Bainbridge</t>
  </si>
  <si>
    <t>05121</t>
  </si>
  <si>
    <t>Port Angeles</t>
  </si>
  <si>
    <t>39200</t>
  </si>
  <si>
    <t>Grandview</t>
  </si>
  <si>
    <t>32363</t>
  </si>
  <si>
    <t>West Valley (Spok</t>
  </si>
  <si>
    <t>27417</t>
  </si>
  <si>
    <t>Fife</t>
  </si>
  <si>
    <t>29100</t>
  </si>
  <si>
    <t>Burlington Edison</t>
  </si>
  <si>
    <t>27416</t>
  </si>
  <si>
    <t>White River</t>
  </si>
  <si>
    <t>21401</t>
  </si>
  <si>
    <t>Centralia</t>
  </si>
  <si>
    <t>39119</t>
  </si>
  <si>
    <t>Selah</t>
  </si>
  <si>
    <t>14005</t>
  </si>
  <si>
    <t>Aberdeen</t>
  </si>
  <si>
    <t>39207</t>
  </si>
  <si>
    <t>Wapato</t>
  </si>
  <si>
    <t>19401</t>
  </si>
  <si>
    <t>Ellensburg</t>
  </si>
  <si>
    <t>17407</t>
  </si>
  <si>
    <t>Riverview</t>
  </si>
  <si>
    <t>27001</t>
  </si>
  <si>
    <t>Steilacoom Hist.</t>
  </si>
  <si>
    <t>37504</t>
  </si>
  <si>
    <t>Lynden</t>
  </si>
  <si>
    <t>06112</t>
  </si>
  <si>
    <t>Washougal</t>
  </si>
  <si>
    <t>39090</t>
  </si>
  <si>
    <t>East Valley (Yak)</t>
  </si>
  <si>
    <t>21302</t>
  </si>
  <si>
    <t>Chehalis</t>
  </si>
  <si>
    <t>13144</t>
  </si>
  <si>
    <t>Quincy</t>
  </si>
  <si>
    <t>17406</t>
  </si>
  <si>
    <t>Tukwila</t>
  </si>
  <si>
    <t>05402</t>
  </si>
  <si>
    <t>Quillayute Valley</t>
  </si>
  <si>
    <t>38267</t>
  </si>
  <si>
    <t>Pullman</t>
  </si>
  <si>
    <t>05323</t>
  </si>
  <si>
    <t>Sequim</t>
  </si>
  <si>
    <t>29103</t>
  </si>
  <si>
    <t>Anacortes</t>
  </si>
  <si>
    <t>06122</t>
  </si>
  <si>
    <t>Ridgefield</t>
  </si>
  <si>
    <t>03116</t>
  </si>
  <si>
    <t>Prosser</t>
  </si>
  <si>
    <t>02250</t>
  </si>
  <si>
    <t>Clarkston</t>
  </si>
  <si>
    <t>27344</t>
  </si>
  <si>
    <t>Orting</t>
  </si>
  <si>
    <t>13165</t>
  </si>
  <si>
    <t>Ephrata</t>
  </si>
  <si>
    <t>32414</t>
  </si>
  <si>
    <t>Deer Park</t>
  </si>
  <si>
    <t>08404</t>
  </si>
  <si>
    <t>Woodland</t>
  </si>
  <si>
    <t>13073</t>
  </si>
  <si>
    <t>Wahluke</t>
  </si>
  <si>
    <t>31306</t>
  </si>
  <si>
    <t>Lakewood</t>
  </si>
  <si>
    <t>34401</t>
  </si>
  <si>
    <t>Rochester</t>
  </si>
  <si>
    <t>37503</t>
  </si>
  <si>
    <t>Blaine</t>
  </si>
  <si>
    <t>23403</t>
  </si>
  <si>
    <t>North Mason</t>
  </si>
  <si>
    <t>11051</t>
  </si>
  <si>
    <t>North Franklin</t>
  </si>
  <si>
    <t>31332</t>
  </si>
  <si>
    <t>Granite Falls</t>
  </si>
  <si>
    <t>31311</t>
  </si>
  <si>
    <t>Sultan</t>
  </si>
  <si>
    <t>27404</t>
  </si>
  <si>
    <t>Eatonville</t>
  </si>
  <si>
    <t>37507</t>
  </si>
  <si>
    <t>Mount Baker</t>
  </si>
  <si>
    <t>32326</t>
  </si>
  <si>
    <t>Medical Lake</t>
  </si>
  <si>
    <t>06098</t>
  </si>
  <si>
    <t>Hockinson</t>
  </si>
  <si>
    <t>33115</t>
  </si>
  <si>
    <t>Colville</t>
  </si>
  <si>
    <t>37505</t>
  </si>
  <si>
    <t>Meridian</t>
  </si>
  <si>
    <t>13160</t>
  </si>
  <si>
    <t>Royal</t>
  </si>
  <si>
    <t>37506</t>
  </si>
  <si>
    <t>Nooksack Valley</t>
  </si>
  <si>
    <t>14028</t>
  </si>
  <si>
    <t>Hoquiam</t>
  </si>
  <si>
    <t>06101</t>
  </si>
  <si>
    <t>Lacenter</t>
  </si>
  <si>
    <t>17402</t>
  </si>
  <si>
    <t>Vashon Island</t>
  </si>
  <si>
    <t>04222</t>
  </si>
  <si>
    <t>Cashmere</t>
  </si>
  <si>
    <t>39204</t>
  </si>
  <si>
    <t>Granger</t>
  </si>
  <si>
    <t>27343</t>
  </si>
  <si>
    <t>Dieringer</t>
  </si>
  <si>
    <t>32416</t>
  </si>
  <si>
    <t>Riverside</t>
  </si>
  <si>
    <t>04129</t>
  </si>
  <si>
    <t>Lake Chelan</t>
  </si>
  <si>
    <t>03052</t>
  </si>
  <si>
    <t>Kiona Benton</t>
  </si>
  <si>
    <t>14068</t>
  </si>
  <si>
    <t>Elma</t>
  </si>
  <si>
    <t>32325</t>
  </si>
  <si>
    <t>Nine Mile Falls</t>
  </si>
  <si>
    <t>14066</t>
  </si>
  <si>
    <t>Montesano</t>
  </si>
  <si>
    <t>15206</t>
  </si>
  <si>
    <t>South Whidbey</t>
  </si>
  <si>
    <t>36250</t>
  </si>
  <si>
    <t>College Place</t>
  </si>
  <si>
    <t>39003</t>
  </si>
  <si>
    <t>Naches Valley</t>
  </si>
  <si>
    <t>04228</t>
  </si>
  <si>
    <t>Cascade</t>
  </si>
  <si>
    <t>39205</t>
  </si>
  <si>
    <t>Zillah</t>
  </si>
  <si>
    <t>08401</t>
  </si>
  <si>
    <t>Castle Rock</t>
  </si>
  <si>
    <t>20405</t>
  </si>
  <si>
    <t>White Salmon</t>
  </si>
  <si>
    <t>34402</t>
  </si>
  <si>
    <t>Tenino</t>
  </si>
  <si>
    <t>16050</t>
  </si>
  <si>
    <t>Port Townsend</t>
  </si>
  <si>
    <t>39203</t>
  </si>
  <si>
    <t>Highland</t>
  </si>
  <si>
    <t>24404</t>
  </si>
  <si>
    <t>Tonasket</t>
  </si>
  <si>
    <t>24105</t>
  </si>
  <si>
    <t>Okanogan</t>
  </si>
  <si>
    <t>26056</t>
  </si>
  <si>
    <t>Newport</t>
  </si>
  <si>
    <t>16049</t>
  </si>
  <si>
    <t>Chimacum</t>
  </si>
  <si>
    <t>25101</t>
  </si>
  <si>
    <t>Ocean Beach</t>
  </si>
  <si>
    <t>15204</t>
  </si>
  <si>
    <t>Coupeville</t>
  </si>
  <si>
    <t>13146</t>
  </si>
  <si>
    <t>Warden</t>
  </si>
  <si>
    <t>24111</t>
  </si>
  <si>
    <t>Brewster</t>
  </si>
  <si>
    <t>33212</t>
  </si>
  <si>
    <t>Kettle Falls</t>
  </si>
  <si>
    <t>08402</t>
  </si>
  <si>
    <t>Kalama</t>
  </si>
  <si>
    <t>39209</t>
  </si>
  <si>
    <t>Mount Adams</t>
  </si>
  <si>
    <t>20404</t>
  </si>
  <si>
    <t>Goldendale</t>
  </si>
  <si>
    <t>30303</t>
  </si>
  <si>
    <t>Stevenson-Carson</t>
  </si>
  <si>
    <t>03053</t>
  </si>
  <si>
    <t>Finley</t>
  </si>
  <si>
    <t>39120</t>
  </si>
  <si>
    <t>Mabton</t>
  </si>
  <si>
    <t>32358</t>
  </si>
  <si>
    <t>Freeman</t>
  </si>
  <si>
    <t>19404</t>
  </si>
  <si>
    <t>Cle Elum-Roslyn</t>
  </si>
  <si>
    <t>09075</t>
  </si>
  <si>
    <t>Bridgeport</t>
  </si>
  <si>
    <t>34307</t>
  </si>
  <si>
    <t>Rainier</t>
  </si>
  <si>
    <t>28149</t>
  </si>
  <si>
    <t>San Juan</t>
  </si>
  <si>
    <t>21014</t>
  </si>
  <si>
    <t>Napavine</t>
  </si>
  <si>
    <t>21300</t>
  </si>
  <si>
    <t>Onalaska</t>
  </si>
  <si>
    <t>33036</t>
  </si>
  <si>
    <t>Chewelah</t>
  </si>
  <si>
    <t>28137</t>
  </si>
  <si>
    <t>Orcas</t>
  </si>
  <si>
    <t>21237</t>
  </si>
  <si>
    <t>Toledo</t>
  </si>
  <si>
    <t>36400</t>
  </si>
  <si>
    <t>Columbia (Walla)</t>
  </si>
  <si>
    <t>23402</t>
  </si>
  <si>
    <t>Pioneer</t>
  </si>
  <si>
    <t>13301</t>
  </si>
  <si>
    <t>Grand Coulee Dam</t>
  </si>
  <si>
    <t>33070</t>
  </si>
  <si>
    <t>Valley</t>
  </si>
  <si>
    <t>21232</t>
  </si>
  <si>
    <t>Winlock</t>
  </si>
  <si>
    <t>14064</t>
  </si>
  <si>
    <t>North Beach</t>
  </si>
  <si>
    <t>04019</t>
  </si>
  <si>
    <t>Manson</t>
  </si>
  <si>
    <t>02420</t>
  </si>
  <si>
    <t>Asotin-Anatone</t>
  </si>
  <si>
    <t>08130</t>
  </si>
  <si>
    <t>Toutle Lake</t>
  </si>
  <si>
    <t>19403</t>
  </si>
  <si>
    <t>Kittitas</t>
  </si>
  <si>
    <t>34324</t>
  </si>
  <si>
    <t>Griffin</t>
  </si>
  <si>
    <t>21226</t>
  </si>
  <si>
    <t>Adna</t>
  </si>
  <si>
    <t>39002</t>
  </si>
  <si>
    <t>Union Gap</t>
  </si>
  <si>
    <t>25118</t>
  </si>
  <si>
    <t>South Bend</t>
  </si>
  <si>
    <t>24350</t>
  </si>
  <si>
    <t>Methow Valley</t>
  </si>
  <si>
    <t>14172</t>
  </si>
  <si>
    <t>Ocosta</t>
  </si>
  <si>
    <t>25116</t>
  </si>
  <si>
    <t>Raymond</t>
  </si>
  <si>
    <t>16048</t>
  </si>
  <si>
    <t>Quilcene</t>
  </si>
  <si>
    <t>22207</t>
  </si>
  <si>
    <t>Davenport</t>
  </si>
  <si>
    <t>38300</t>
  </si>
  <si>
    <t>Colfax</t>
  </si>
  <si>
    <t>24410</t>
  </si>
  <si>
    <t>Oroville</t>
  </si>
  <si>
    <t>23311</t>
  </si>
  <si>
    <t>Mary M Knight</t>
  </si>
  <si>
    <t>22009</t>
  </si>
  <si>
    <t>Reardan</t>
  </si>
  <si>
    <t>29311</t>
  </si>
  <si>
    <t>La Conner</t>
  </si>
  <si>
    <t>29011</t>
  </si>
  <si>
    <t>Concrete</t>
  </si>
  <si>
    <t>33207</t>
  </si>
  <si>
    <t>Mary Walker</t>
  </si>
  <si>
    <t>21206</t>
  </si>
  <si>
    <t>Mossyrock</t>
  </si>
  <si>
    <t>13156</t>
  </si>
  <si>
    <t>Soap Lake</t>
  </si>
  <si>
    <t>05401</t>
  </si>
  <si>
    <t>Cape Flattery</t>
  </si>
  <si>
    <t>32362</t>
  </si>
  <si>
    <t>Liberty</t>
  </si>
  <si>
    <t>17903</t>
  </si>
  <si>
    <t>Muckleshoot Tribal</t>
  </si>
  <si>
    <t>25155</t>
  </si>
  <si>
    <t>Naselle Grays Riv</t>
  </si>
  <si>
    <t>29317</t>
  </si>
  <si>
    <t>Conway</t>
  </si>
  <si>
    <t>35200</t>
  </si>
  <si>
    <t>Wahkiakum</t>
  </si>
  <si>
    <t>21303</t>
  </si>
  <si>
    <t>White Pass</t>
  </si>
  <si>
    <t>07002</t>
  </si>
  <si>
    <t>Dayton</t>
  </si>
  <si>
    <t>33049</t>
  </si>
  <si>
    <t>Wellpinit</t>
  </si>
  <si>
    <t>31330</t>
  </si>
  <si>
    <t>Darrington</t>
  </si>
  <si>
    <t>10309</t>
  </si>
  <si>
    <t>Republic</t>
  </si>
  <si>
    <t>01160</t>
  </si>
  <si>
    <t>Ritzville</t>
  </si>
  <si>
    <t>04127</t>
  </si>
  <si>
    <t>Entiat</t>
  </si>
  <si>
    <t>14065</t>
  </si>
  <si>
    <t>Mc Cleary</t>
  </si>
  <si>
    <t>37903</t>
  </si>
  <si>
    <t>Lummi Tribal</t>
  </si>
  <si>
    <t>25160</t>
  </si>
  <si>
    <t>Willapa Valley</t>
  </si>
  <si>
    <t>21214</t>
  </si>
  <si>
    <t>Morton</t>
  </si>
  <si>
    <t>05313</t>
  </si>
  <si>
    <t>Crescent</t>
  </si>
  <si>
    <t>23404</t>
  </si>
  <si>
    <t>Hood Canal</t>
  </si>
  <si>
    <t>12110</t>
  </si>
  <si>
    <t>Pomeroy</t>
  </si>
  <si>
    <t>24122</t>
  </si>
  <si>
    <t>Pateros</t>
  </si>
  <si>
    <t>36401</t>
  </si>
  <si>
    <t>Waitsburg</t>
  </si>
  <si>
    <t>09209</t>
  </si>
  <si>
    <t>Waterville</t>
  </si>
  <si>
    <t>36402</t>
  </si>
  <si>
    <t>Prescott</t>
  </si>
  <si>
    <t>21301</t>
  </si>
  <si>
    <t>Pe Ell</t>
  </si>
  <si>
    <t>22200</t>
  </si>
  <si>
    <t>Wilbur</t>
  </si>
  <si>
    <t>26070</t>
  </si>
  <si>
    <t>Selkirk</t>
  </si>
  <si>
    <t>32901</t>
  </si>
  <si>
    <t>Spokane Int'l Charter</t>
  </si>
  <si>
    <t>17908</t>
  </si>
  <si>
    <t>Rainier Prep Charter</t>
  </si>
  <si>
    <t>22105</t>
  </si>
  <si>
    <t>Odessa</t>
  </si>
  <si>
    <t>32907</t>
  </si>
  <si>
    <t>Pride Prep Charter</t>
  </si>
  <si>
    <t>28144</t>
  </si>
  <si>
    <t>Lopez</t>
  </si>
  <si>
    <t>26059</t>
  </si>
  <si>
    <t>Cusick</t>
  </si>
  <si>
    <t>33211</t>
  </si>
  <si>
    <t>Northport</t>
  </si>
  <si>
    <t>20406</t>
  </si>
  <si>
    <t>Lyle</t>
  </si>
  <si>
    <t>14400</t>
  </si>
  <si>
    <t>Oakville</t>
  </si>
  <si>
    <t>20400</t>
  </si>
  <si>
    <t>Trout Lake</t>
  </si>
  <si>
    <t>10070</t>
  </si>
  <si>
    <t>Inchelium</t>
  </si>
  <si>
    <t>23042</t>
  </si>
  <si>
    <t>Southside</t>
  </si>
  <si>
    <t>23054</t>
  </si>
  <si>
    <t>Grapeview</t>
  </si>
  <si>
    <t>36300</t>
  </si>
  <si>
    <t>Touchet</t>
  </si>
  <si>
    <t>38265</t>
  </si>
  <si>
    <t>Tekoa</t>
  </si>
  <si>
    <t>13151</t>
  </si>
  <si>
    <t>Coulee/Hartline</t>
  </si>
  <si>
    <t>33183</t>
  </si>
  <si>
    <t>Loon Lake</t>
  </si>
  <si>
    <t>38301</t>
  </si>
  <si>
    <t>Palouse</t>
  </si>
  <si>
    <t>01158</t>
  </si>
  <si>
    <t>Lind</t>
  </si>
  <si>
    <t>17902</t>
  </si>
  <si>
    <t>Summit Sierra Charter</t>
  </si>
  <si>
    <t>09013</t>
  </si>
  <si>
    <t>Orondo</t>
  </si>
  <si>
    <t>27019</t>
  </si>
  <si>
    <t>Carbonado</t>
  </si>
  <si>
    <t>38320</t>
  </si>
  <si>
    <t>Rosalia</t>
  </si>
  <si>
    <t>10050</t>
  </si>
  <si>
    <t>Curlew</t>
  </si>
  <si>
    <t>14077</t>
  </si>
  <si>
    <t>Taholah</t>
  </si>
  <si>
    <t>38322</t>
  </si>
  <si>
    <t>St John</t>
  </si>
  <si>
    <t>14097</t>
  </si>
  <si>
    <t>Quinault</t>
  </si>
  <si>
    <t>14117</t>
  </si>
  <si>
    <t>Wishkah Valley</t>
  </si>
  <si>
    <t>06103</t>
  </si>
  <si>
    <t>Green Mountain</t>
  </si>
  <si>
    <t>33206</t>
  </si>
  <si>
    <t>Columbia (Stev)</t>
  </si>
  <si>
    <t>14099</t>
  </si>
  <si>
    <t>Cosmopolis</t>
  </si>
  <si>
    <t>38306</t>
  </si>
  <si>
    <t>Colton</t>
  </si>
  <si>
    <t>13167</t>
  </si>
  <si>
    <t>Wilson Creek</t>
  </si>
  <si>
    <t>19400</t>
  </si>
  <si>
    <t>Thorp</t>
  </si>
  <si>
    <t>03050</t>
  </si>
  <si>
    <t>Paterson</t>
  </si>
  <si>
    <t>24014</t>
  </si>
  <si>
    <t>Nespelem</t>
  </si>
  <si>
    <t>27905</t>
  </si>
  <si>
    <t>Summit Olympus Charter</t>
  </si>
  <si>
    <t>19028</t>
  </si>
  <si>
    <t>Easton</t>
  </si>
  <si>
    <t>22204</t>
  </si>
  <si>
    <t>Harrington</t>
  </si>
  <si>
    <t>38324</t>
  </si>
  <si>
    <t>Oakesdale</t>
  </si>
  <si>
    <t>38302</t>
  </si>
  <si>
    <t>Garfield</t>
  </si>
  <si>
    <t>09207</t>
  </si>
  <si>
    <t>Mansfield</t>
  </si>
  <si>
    <t>21234</t>
  </si>
  <si>
    <t>Boistfort</t>
  </si>
  <si>
    <t>20203</t>
  </si>
  <si>
    <t>Bickleton</t>
  </si>
  <si>
    <t>22073</t>
  </si>
  <si>
    <t>Creston</t>
  </si>
  <si>
    <t>38308</t>
  </si>
  <si>
    <t>Endicott</t>
  </si>
  <si>
    <t>20215</t>
  </si>
  <si>
    <t>Centerville</t>
  </si>
  <si>
    <t>30002</t>
  </si>
  <si>
    <t>Skamania</t>
  </si>
  <si>
    <t>20094</t>
  </si>
  <si>
    <t>Wishram</t>
  </si>
  <si>
    <t>32123</t>
  </si>
  <si>
    <t>Orchard Prairie</t>
  </si>
  <si>
    <t>22017</t>
  </si>
  <si>
    <t>Almira</t>
  </si>
  <si>
    <t>18902</t>
  </si>
  <si>
    <t>Suquamish Tribal</t>
  </si>
  <si>
    <t>20401</t>
  </si>
  <si>
    <t>Glenwood</t>
  </si>
  <si>
    <t>20402</t>
  </si>
  <si>
    <t>Klickitat</t>
  </si>
  <si>
    <t>22008</t>
  </si>
  <si>
    <t>Sprague</t>
  </si>
  <si>
    <t>14104</t>
  </si>
  <si>
    <t>Satsop</t>
  </si>
  <si>
    <t>33202</t>
  </si>
  <si>
    <t>Summit Valley</t>
  </si>
  <si>
    <t>05903</t>
  </si>
  <si>
    <t>Quileute Tribal</t>
  </si>
  <si>
    <t>25200</t>
  </si>
  <si>
    <t>North River</t>
  </si>
  <si>
    <t>30029</t>
  </si>
  <si>
    <t>Mount Pleasant</t>
  </si>
  <si>
    <t>10065</t>
  </si>
  <si>
    <t>Orient</t>
  </si>
  <si>
    <t>38126</t>
  </si>
  <si>
    <t>Lacrosse Joint</t>
  </si>
  <si>
    <t>16046</t>
  </si>
  <si>
    <t>Brinnon</t>
  </si>
  <si>
    <t>17404</t>
  </si>
  <si>
    <t>Skykomish</t>
  </si>
  <si>
    <t>21036</t>
  </si>
  <si>
    <t>Evaline</t>
  </si>
  <si>
    <t>32312</t>
  </si>
  <si>
    <t>Great Northern</t>
  </si>
  <si>
    <t>01109</t>
  </si>
  <si>
    <t>Washtucna</t>
  </si>
  <si>
    <t>11056</t>
  </si>
  <si>
    <t>Kahlotus</t>
  </si>
  <si>
    <t>33030</t>
  </si>
  <si>
    <t>Onion Creek</t>
  </si>
  <si>
    <t>19007</t>
  </si>
  <si>
    <t>Damman</t>
  </si>
  <si>
    <t>31063</t>
  </si>
  <si>
    <t>Index</t>
  </si>
  <si>
    <t>38304</t>
  </si>
  <si>
    <t>Steptoe</t>
  </si>
  <si>
    <t>38264</t>
  </si>
  <si>
    <t>Lamont</t>
  </si>
  <si>
    <t>10003</t>
  </si>
  <si>
    <t>Keller</t>
  </si>
  <si>
    <t>33205</t>
  </si>
  <si>
    <t>Evergreen (Stev)</t>
  </si>
  <si>
    <t>20403</t>
  </si>
  <si>
    <t>Roosevelt</t>
  </si>
  <si>
    <t>09102</t>
  </si>
  <si>
    <t>Palisades</t>
  </si>
  <si>
    <t>16020</t>
  </si>
  <si>
    <t>Queets-Clearwater</t>
  </si>
  <si>
    <t>07035</t>
  </si>
  <si>
    <t>Starbuck</t>
  </si>
  <si>
    <t>30031</t>
  </si>
  <si>
    <t>Mill A</t>
  </si>
  <si>
    <t>36101</t>
  </si>
  <si>
    <t>Dixie</t>
  </si>
  <si>
    <t>01122</t>
  </si>
  <si>
    <t>Benge</t>
  </si>
  <si>
    <t>11054</t>
  </si>
  <si>
    <t>Star</t>
  </si>
  <si>
    <t>28010</t>
  </si>
  <si>
    <t>Shaw</t>
  </si>
  <si>
    <t>04069</t>
  </si>
  <si>
    <t>Stehekin</t>
  </si>
  <si>
    <t>CCDDD</t>
  </si>
  <si>
    <t>532</t>
  </si>
  <si>
    <t>98</t>
  </si>
  <si>
    <t>6198</t>
  </si>
  <si>
    <t>6298</t>
  </si>
  <si>
    <t>6398</t>
  </si>
  <si>
    <t>6998</t>
  </si>
  <si>
    <t>Grand Total</t>
  </si>
  <si>
    <t>509</t>
  </si>
  <si>
    <t>980</t>
  </si>
  <si>
    <t>81</t>
  </si>
  <si>
    <t>86</t>
  </si>
  <si>
    <t>88</t>
  </si>
  <si>
    <t>89</t>
  </si>
  <si>
    <t>97</t>
  </si>
  <si>
    <t>83</t>
  </si>
  <si>
    <t>84</t>
  </si>
  <si>
    <t>85</t>
  </si>
  <si>
    <t>38</t>
  </si>
  <si>
    <t>46</t>
  </si>
  <si>
    <t>51</t>
  </si>
  <si>
    <t>52</t>
  </si>
  <si>
    <t>53</t>
  </si>
  <si>
    <t>55</t>
  </si>
  <si>
    <t>56</t>
  </si>
  <si>
    <t>69</t>
  </si>
  <si>
    <t>2298</t>
  </si>
  <si>
    <t>4198</t>
  </si>
  <si>
    <t>4398</t>
  </si>
  <si>
    <t>7198</t>
  </si>
  <si>
    <t>8198</t>
  </si>
  <si>
    <t>5500</t>
  </si>
  <si>
    <t>Revenue 5500</t>
  </si>
  <si>
    <t>DIFF OF CALC</t>
  </si>
  <si>
    <t>ITEM 980</t>
  </si>
  <si>
    <t>USE FOR TEST</t>
  </si>
  <si>
    <t>add back</t>
  </si>
  <si>
    <t>Total Exp.</t>
  </si>
  <si>
    <t>Community Services-ALL OBJECTS</t>
  </si>
  <si>
    <t>DS Interest</t>
  </si>
  <si>
    <t>DS Principal</t>
  </si>
  <si>
    <t>Debt Related Exp</t>
  </si>
  <si>
    <t>Capital</t>
  </si>
  <si>
    <t>Fed - Genl</t>
  </si>
  <si>
    <t>Fed Spec Purp</t>
  </si>
  <si>
    <t>Fed Forest</t>
  </si>
  <si>
    <t>Add back capital outlay to these programs-OBJECT 9</t>
  </si>
  <si>
    <t>FS Deficit</t>
  </si>
  <si>
    <t>program 98</t>
  </si>
  <si>
    <t>Total Revenues</t>
  </si>
  <si>
    <t>exp less rev</t>
  </si>
  <si>
    <t>Codist</t>
  </si>
  <si>
    <t>Name</t>
  </si>
  <si>
    <t>for county 30</t>
  </si>
  <si>
    <t>The formula for County 30 is different than the other districts.  Do not copy and paste the formula for county 30. Calculation</t>
  </si>
  <si>
    <t>97-83-7</t>
  </si>
  <si>
    <t>97-84-7</t>
  </si>
  <si>
    <t>5500 for county 30 districts only</t>
  </si>
  <si>
    <t>11xx9</t>
  </si>
  <si>
    <t>12xx9</t>
  </si>
  <si>
    <t>13xx9</t>
  </si>
  <si>
    <t>14xx9</t>
  </si>
  <si>
    <t>18xx9</t>
  </si>
  <si>
    <t>19xx9</t>
  </si>
  <si>
    <t>24xx9</t>
  </si>
  <si>
    <t>26xx9</t>
  </si>
  <si>
    <t>29xx9</t>
  </si>
  <si>
    <t>38xx9</t>
  </si>
  <si>
    <t>39xx9</t>
  </si>
  <si>
    <t>46xx9</t>
  </si>
  <si>
    <t>51xx9</t>
  </si>
  <si>
    <t>52xx9</t>
  </si>
  <si>
    <t>53xx9</t>
  </si>
  <si>
    <t>54xx9</t>
  </si>
  <si>
    <t>56xx9</t>
  </si>
  <si>
    <t>57xx9</t>
  </si>
  <si>
    <t>59xx9</t>
  </si>
  <si>
    <t>61xx9</t>
  </si>
  <si>
    <t>62xx9</t>
  </si>
  <si>
    <t>64xx9</t>
  </si>
  <si>
    <t>67xx9</t>
  </si>
  <si>
    <t>68xx9</t>
  </si>
  <si>
    <t>69xx9</t>
  </si>
  <si>
    <t>76xx9</t>
  </si>
  <si>
    <t>78xx9</t>
  </si>
  <si>
    <t>79xx9</t>
  </si>
  <si>
    <t>81xx9</t>
  </si>
  <si>
    <t>86xx9</t>
  </si>
  <si>
    <t>88xx9</t>
  </si>
  <si>
    <t>89xx9</t>
  </si>
  <si>
    <t>98xx9</t>
  </si>
  <si>
    <t>added to aggregate expenditures</t>
  </si>
  <si>
    <t>subtract from aggregate expenditure calculation in Column F</t>
  </si>
  <si>
    <t>Add back to aggregate calculation in column F</t>
  </si>
  <si>
    <t>if positive will be included in FS deficit column</t>
  </si>
  <si>
    <t>total only districts with deficit</t>
  </si>
  <si>
    <t>District with Revenue &gt; exp</t>
  </si>
  <si>
    <t>WASHTUCNA</t>
  </si>
  <si>
    <t>BENGE</t>
  </si>
  <si>
    <t>OTHELLO</t>
  </si>
  <si>
    <t>LIND</t>
  </si>
  <si>
    <t>RITZVILLE</t>
  </si>
  <si>
    <t>CLARKSTON</t>
  </si>
  <si>
    <t>ASOTIN-ANATONE</t>
  </si>
  <si>
    <t>KENNEWICK</t>
  </si>
  <si>
    <t>PATERSON</t>
  </si>
  <si>
    <t>FINLEY</t>
  </si>
  <si>
    <t>PROSSER</t>
  </si>
  <si>
    <t>RICHLAND</t>
  </si>
  <si>
    <t>MANSON</t>
  </si>
  <si>
    <t>STEHEKIN</t>
  </si>
  <si>
    <t>ENTIAT</t>
  </si>
  <si>
    <t>LAKE CHELAN</t>
  </si>
  <si>
    <t>CASHMERE</t>
  </si>
  <si>
    <t>CASCADE</t>
  </si>
  <si>
    <t>WENATCHEE</t>
  </si>
  <si>
    <t>PORT ANGELES</t>
  </si>
  <si>
    <t>CRESCENT</t>
  </si>
  <si>
    <t>SEQUIM</t>
  </si>
  <si>
    <t>CAPE FLATTERY</t>
  </si>
  <si>
    <t>QUILLAYUTE VALLEY</t>
  </si>
  <si>
    <t>QUILLAYUTE TRIBAL SCHOOL</t>
  </si>
  <si>
    <t>VANCOUVER</t>
  </si>
  <si>
    <t>HOCKINSON</t>
  </si>
  <si>
    <t>GREEN MOUNTAIN</t>
  </si>
  <si>
    <t>WASHOUGAL</t>
  </si>
  <si>
    <t>CAMAS</t>
  </si>
  <si>
    <t>BATTLE GROUND</t>
  </si>
  <si>
    <t>RIDGEFIELD</t>
  </si>
  <si>
    <t>DAYTON</t>
  </si>
  <si>
    <t>STARBUCK</t>
  </si>
  <si>
    <t>LONGVIEW</t>
  </si>
  <si>
    <t>TOUTLE LAKE</t>
  </si>
  <si>
    <t>CASTLE ROCK</t>
  </si>
  <si>
    <t>KALAMA</t>
  </si>
  <si>
    <t>WOODLAND</t>
  </si>
  <si>
    <t>KELSO</t>
  </si>
  <si>
    <t>ORONDO</t>
  </si>
  <si>
    <t>BRIDGEPORT</t>
  </si>
  <si>
    <t>PALISADES</t>
  </si>
  <si>
    <t>EASTMONT</t>
  </si>
  <si>
    <t>MANSFIELD</t>
  </si>
  <si>
    <t>WATERVILLE</t>
  </si>
  <si>
    <t>KELLER</t>
  </si>
  <si>
    <t>CURLEW</t>
  </si>
  <si>
    <t>ORIENT</t>
  </si>
  <si>
    <t>INCHELIUM</t>
  </si>
  <si>
    <t>REPUBLIC</t>
  </si>
  <si>
    <t>PASCO</t>
  </si>
  <si>
    <t>NORTH FRANKLIN</t>
  </si>
  <si>
    <t>STAR</t>
  </si>
  <si>
    <t>KAHLOTUS</t>
  </si>
  <si>
    <t>POMEROY</t>
  </si>
  <si>
    <t>WAHLUKE</t>
  </si>
  <si>
    <t>QUINCY</t>
  </si>
  <si>
    <t>WARDEN</t>
  </si>
  <si>
    <t>SOAP LAKE</t>
  </si>
  <si>
    <t>ROYAL</t>
  </si>
  <si>
    <t>MOSES LAKE</t>
  </si>
  <si>
    <t>EPHRATA</t>
  </si>
  <si>
    <t>WILSON CREEK</t>
  </si>
  <si>
    <t>GRAND COULEE DAM</t>
  </si>
  <si>
    <t>ABERDEEN</t>
  </si>
  <si>
    <t>HOQUIAM</t>
  </si>
  <si>
    <t>NORTH BEACH</t>
  </si>
  <si>
    <t>MONTESANO</t>
  </si>
  <si>
    <t>ELMA</t>
  </si>
  <si>
    <t>TAHOLAH</t>
  </si>
  <si>
    <t>COSMOPOLIS</t>
  </si>
  <si>
    <t>SATSOP</t>
  </si>
  <si>
    <t>WISHKAH VALLEY</t>
  </si>
  <si>
    <t>OCOSTA</t>
  </si>
  <si>
    <t>OAKVILLE</t>
  </si>
  <si>
    <t>OAK HARBOR</t>
  </si>
  <si>
    <t>COUPEVILLE</t>
  </si>
  <si>
    <t>SOUTH WHIDBEY</t>
  </si>
  <si>
    <t>QUEETS-CLEARWATER</t>
  </si>
  <si>
    <t>BRINNON</t>
  </si>
  <si>
    <t>QUILCENE</t>
  </si>
  <si>
    <t>CHIMACUM</t>
  </si>
  <si>
    <t>PORT TOWNSEND</t>
  </si>
  <si>
    <t>SEATTLE</t>
  </si>
  <si>
    <t>FEDERAL WAY</t>
  </si>
  <si>
    <t>ENUMCLAW</t>
  </si>
  <si>
    <t>MERCER ISLAND</t>
  </si>
  <si>
    <t>HIGHLINE</t>
  </si>
  <si>
    <t>VASHON ISLAND</t>
  </si>
  <si>
    <t>RENTON</t>
  </si>
  <si>
    <t>SKYKOMISH</t>
  </si>
  <si>
    <t>BELLEVUE</t>
  </si>
  <si>
    <t>TUKWILA</t>
  </si>
  <si>
    <t>RIVERVIEW</t>
  </si>
  <si>
    <t>AUBURN</t>
  </si>
  <si>
    <t>TAHOMA</t>
  </si>
  <si>
    <t>SNOQUALMIE VALLEY</t>
  </si>
  <si>
    <t>ISSAQUAH</t>
  </si>
  <si>
    <t>SHORELINE</t>
  </si>
  <si>
    <t>LAKE WASHINGTON</t>
  </si>
  <si>
    <t>KENT</t>
  </si>
  <si>
    <t>NORTHSHORE</t>
  </si>
  <si>
    <t>MUCKLESHOOT INDIAN TRIBE</t>
  </si>
  <si>
    <t>RAINIER PREP CHARTER</t>
  </si>
  <si>
    <t>BREMERTON</t>
  </si>
  <si>
    <t>NORTH KITSAP</t>
  </si>
  <si>
    <t>CENTRAL KITSAP</t>
  </si>
  <si>
    <t>SOUTH KITSAP</t>
  </si>
  <si>
    <t>DAMMAN</t>
  </si>
  <si>
    <t>EASTON</t>
  </si>
  <si>
    <t>THORP</t>
  </si>
  <si>
    <t>ELLENSBURG</t>
  </si>
  <si>
    <t>KITTITAS</t>
  </si>
  <si>
    <t>CLE ELUM-ROSLYN</t>
  </si>
  <si>
    <t>WISHRAM</t>
  </si>
  <si>
    <t>BICKLETON</t>
  </si>
  <si>
    <t>CENTERVILLE</t>
  </si>
  <si>
    <t>TROUT LAKE</t>
  </si>
  <si>
    <t>GLENWOOD</t>
  </si>
  <si>
    <t>KLICKITAT</t>
  </si>
  <si>
    <t>ROOSEVELT</t>
  </si>
  <si>
    <t>GOLDENDALE</t>
  </si>
  <si>
    <t>WHITE SALMON</t>
  </si>
  <si>
    <t>LYLE</t>
  </si>
  <si>
    <t>NAPAVINE</t>
  </si>
  <si>
    <t>EVALINE</t>
  </si>
  <si>
    <t>MOSSYROCK</t>
  </si>
  <si>
    <t>MORTON</t>
  </si>
  <si>
    <t>ADNA</t>
  </si>
  <si>
    <t>WINLOCK</t>
  </si>
  <si>
    <t>BOISTFORT</t>
  </si>
  <si>
    <t>TOLEDO</t>
  </si>
  <si>
    <t>ONALASKA</t>
  </si>
  <si>
    <t>PE ELL</t>
  </si>
  <si>
    <t>CHEHALIS</t>
  </si>
  <si>
    <t>WHITE PASS</t>
  </si>
  <si>
    <t>CENTRALIA</t>
  </si>
  <si>
    <t>SPRAGUE</t>
  </si>
  <si>
    <t>ALMIRA</t>
  </si>
  <si>
    <t>CRESTON</t>
  </si>
  <si>
    <t>ODESSA</t>
  </si>
  <si>
    <t>WILBUR</t>
  </si>
  <si>
    <t>HARRINGTON</t>
  </si>
  <si>
    <t>DAVENPORT</t>
  </si>
  <si>
    <t>SOUTHSIDE</t>
  </si>
  <si>
    <t>GRAPEVIEW</t>
  </si>
  <si>
    <t>SHELTON</t>
  </si>
  <si>
    <t>PIONEER</t>
  </si>
  <si>
    <t>NORTH MASON</t>
  </si>
  <si>
    <t>HOOD CANAL</t>
  </si>
  <si>
    <t>NESPELEM</t>
  </si>
  <si>
    <t>OMAK</t>
  </si>
  <si>
    <t>OKANOGAN</t>
  </si>
  <si>
    <t>BREWSTER</t>
  </si>
  <si>
    <t>PATEROS</t>
  </si>
  <si>
    <t>METHOW VALLEY</t>
  </si>
  <si>
    <t>TONASKET</t>
  </si>
  <si>
    <t>OROVILLE</t>
  </si>
  <si>
    <t>OCEAN BEACH</t>
  </si>
  <si>
    <t>RAYMOND</t>
  </si>
  <si>
    <t>SOUTH BEND</t>
  </si>
  <si>
    <t>WILLAPA VALLEY</t>
  </si>
  <si>
    <t>NORTH RIVER</t>
  </si>
  <si>
    <t>NEWPORT</t>
  </si>
  <si>
    <t>CUSICK</t>
  </si>
  <si>
    <t>SELKIRK</t>
  </si>
  <si>
    <t>STEILACOOM HIST.</t>
  </si>
  <si>
    <t>PUYALLUP</t>
  </si>
  <si>
    <t>TACOMA</t>
  </si>
  <si>
    <t>CARBONADO</t>
  </si>
  <si>
    <t>UNIVERSITY PLACE</t>
  </si>
  <si>
    <t>SUMNER</t>
  </si>
  <si>
    <t>DIERINGER</t>
  </si>
  <si>
    <t>ORTING</t>
  </si>
  <si>
    <t>CLOVER PARK</t>
  </si>
  <si>
    <t>PENINSULA</t>
  </si>
  <si>
    <t>FRANKLIN PIERCE</t>
  </si>
  <si>
    <t>BETHEL</t>
  </si>
  <si>
    <t>EATONVILLE</t>
  </si>
  <si>
    <t>WHITE RIVER</t>
  </si>
  <si>
    <t>FIFE</t>
  </si>
  <si>
    <t>SHAW</t>
  </si>
  <si>
    <t>SAN JUAN</t>
  </si>
  <si>
    <t>CONCRETE</t>
  </si>
  <si>
    <t>SEDRO WOOLLEY</t>
  </si>
  <si>
    <t>ANACORTES</t>
  </si>
  <si>
    <t>LA CONNER</t>
  </si>
  <si>
    <t>CONWAY</t>
  </si>
  <si>
    <t>MOUNT VERNON</t>
  </si>
  <si>
    <t>SKAMANIA</t>
  </si>
  <si>
    <t>MOUNT PLEASANT</t>
  </si>
  <si>
    <t>MILL A</t>
  </si>
  <si>
    <t>STEVENSON-CARSON</t>
  </si>
  <si>
    <t>EVERETT</t>
  </si>
  <si>
    <t>LAKE STEVENS</t>
  </si>
  <si>
    <t>MUKILTEO</t>
  </si>
  <si>
    <t>EDMONDS</t>
  </si>
  <si>
    <t>ARLINGTON</t>
  </si>
  <si>
    <t>MARYSVILLE</t>
  </si>
  <si>
    <t>INDEX</t>
  </si>
  <si>
    <t>MONROE</t>
  </si>
  <si>
    <t>SNOHOMISH</t>
  </si>
  <si>
    <t>LAKEWOOD</t>
  </si>
  <si>
    <t>SULTAN</t>
  </si>
  <si>
    <t>DARRINGTON</t>
  </si>
  <si>
    <t>GRANITE FALLS</t>
  </si>
  <si>
    <t>STANWOOD</t>
  </si>
  <si>
    <t>SPOKANE</t>
  </si>
  <si>
    <t>ORCHARD PRAIRIE</t>
  </si>
  <si>
    <t>GREAT NORTHERN</t>
  </si>
  <si>
    <t>NINE MILE FALLS</t>
  </si>
  <si>
    <t>MEDICAL LAKE</t>
  </si>
  <si>
    <t>MEAD</t>
  </si>
  <si>
    <t>CENTRAL VALLEY</t>
  </si>
  <si>
    <t>FREEMAN</t>
  </si>
  <si>
    <t>CHENEY</t>
  </si>
  <si>
    <t>LIBERTY</t>
  </si>
  <si>
    <t>DEER PARK</t>
  </si>
  <si>
    <t>RIVERSIDE</t>
  </si>
  <si>
    <t>SPOKANE INTL ACADEMY</t>
  </si>
  <si>
    <t>PRIDE PREP CHARTER</t>
  </si>
  <si>
    <t>ONION CREEK</t>
  </si>
  <si>
    <t>CHEWELAH</t>
  </si>
  <si>
    <t>WELLPINIT</t>
  </si>
  <si>
    <t>VALLEY</t>
  </si>
  <si>
    <t>COLVILLE</t>
  </si>
  <si>
    <t>LOON LAKE</t>
  </si>
  <si>
    <t>SUMMIT VALLEY</t>
  </si>
  <si>
    <t>MARY WALKER</t>
  </si>
  <si>
    <t>NORTHPORT</t>
  </si>
  <si>
    <t>KETTLE FALLS</t>
  </si>
  <si>
    <t>NORTH THURSTON</t>
  </si>
  <si>
    <t>TUMWATER</t>
  </si>
  <si>
    <t>OLYMPIA</t>
  </si>
  <si>
    <t>RAINIER</t>
  </si>
  <si>
    <t>GRIFFIN</t>
  </si>
  <si>
    <t>ROCHESTER</t>
  </si>
  <si>
    <t>TENINO</t>
  </si>
  <si>
    <t>WAHKIAKUM</t>
  </si>
  <si>
    <t>DIXIE</t>
  </si>
  <si>
    <t>WALLA WALLA</t>
  </si>
  <si>
    <t>COLLEGE PLACE</t>
  </si>
  <si>
    <t>TOUCHET</t>
  </si>
  <si>
    <t>WAITSBURG</t>
  </si>
  <si>
    <t>PRESCOTT</t>
  </si>
  <si>
    <t>BELLINGHAM</t>
  </si>
  <si>
    <t>FERNDALE</t>
  </si>
  <si>
    <t>BLAINE</t>
  </si>
  <si>
    <t>LYNDEN</t>
  </si>
  <si>
    <t>MERIDIAN</t>
  </si>
  <si>
    <t>NOOKSACK VALLEY</t>
  </si>
  <si>
    <t>MOUNT BAKER</t>
  </si>
  <si>
    <t>LUMMI TRIBAL AGENCY</t>
  </si>
  <si>
    <t>LAMONT</t>
  </si>
  <si>
    <t>TEKOA</t>
  </si>
  <si>
    <t>PULLMAN</t>
  </si>
  <si>
    <t>COLFAX</t>
  </si>
  <si>
    <t>PALOUSE</t>
  </si>
  <si>
    <t>GARFIELD</t>
  </si>
  <si>
    <t>STEPTOE</t>
  </si>
  <si>
    <t>COLTON</t>
  </si>
  <si>
    <t>ENDICOTT</t>
  </si>
  <si>
    <t>ROSALIA</t>
  </si>
  <si>
    <t>OAKESDALE</t>
  </si>
  <si>
    <t>UNION GAP</t>
  </si>
  <si>
    <t>NACHES VALLEY</t>
  </si>
  <si>
    <t>YAKIMA</t>
  </si>
  <si>
    <t>SELAH</t>
  </si>
  <si>
    <t>MABTON</t>
  </si>
  <si>
    <t>GRANDVIEW</t>
  </si>
  <si>
    <t>SUNNYSIDE</t>
  </si>
  <si>
    <t>TOPPENISH</t>
  </si>
  <si>
    <t>HIGHLAND</t>
  </si>
  <si>
    <t>GRANGER</t>
  </si>
  <si>
    <t>ZILLAH</t>
  </si>
  <si>
    <t>WAPATO</t>
  </si>
  <si>
    <t>MOUNT ADAMS</t>
  </si>
  <si>
    <t>Per</t>
  </si>
  <si>
    <t>Aggregate MOE</t>
  </si>
  <si>
    <t xml:space="preserve">Total </t>
  </si>
  <si>
    <t xml:space="preserve"> Expend. Per</t>
  </si>
  <si>
    <t>Pupil</t>
  </si>
  <si>
    <t>(DNME)</t>
  </si>
  <si>
    <t>FTE</t>
  </si>
  <si>
    <t>Test</t>
  </si>
  <si>
    <t>Both Tests</t>
  </si>
  <si>
    <t>State Totals</t>
  </si>
  <si>
    <t>defined as moedetail1617</t>
  </si>
  <si>
    <t>17905</t>
  </si>
  <si>
    <t>17910</t>
  </si>
  <si>
    <t>34901</t>
  </si>
  <si>
    <t>Summit Atlas Charter</t>
  </si>
  <si>
    <t>Wa He Lut Tribal</t>
  </si>
  <si>
    <t>Green Dot Seattle Charter</t>
  </si>
  <si>
    <t>KIONA-BENTON</t>
  </si>
  <si>
    <t>LA CENTER</t>
  </si>
  <si>
    <t>EVERGREEN</t>
  </si>
  <si>
    <t>COULEE-HARTLINE</t>
  </si>
  <si>
    <t>MCCLEARY</t>
  </si>
  <si>
    <t>QUINAULT</t>
  </si>
  <si>
    <t>SUMMIT: SIERRA</t>
  </si>
  <si>
    <t>SUMMIT:ATLAS</t>
  </si>
  <si>
    <t>GREEN DOT-RAINIER VALLEY</t>
  </si>
  <si>
    <t>BAINBRIDGE ISLAND</t>
  </si>
  <si>
    <t xml:space="preserve">SUQUAMISH TRIBAL EDUCATION </t>
  </si>
  <si>
    <t>REARDAN-EDWALL</t>
  </si>
  <si>
    <t>MARY M. KNIGHT</t>
  </si>
  <si>
    <t>NASELLE-GRAYS RIVER</t>
  </si>
  <si>
    <t>SUMMIT: OLYMPUS</t>
  </si>
  <si>
    <t>ORCAS ISLAND</t>
  </si>
  <si>
    <t>LOPEZ ISLAND</t>
  </si>
  <si>
    <t>BURLINGTON-EDISON</t>
  </si>
  <si>
    <t>EAST VALLEY (Spokane)</t>
  </si>
  <si>
    <t>WEST VALLEY (Spokane)</t>
  </si>
  <si>
    <t>COLUMBIA (Stevens)</t>
  </si>
  <si>
    <t>YELM COMMUNITY SCHS.</t>
  </si>
  <si>
    <t>WA HE LUT Indian School Agency</t>
  </si>
  <si>
    <t>COLUMBIA (Walla Walla)</t>
  </si>
  <si>
    <t>LACROSSE</t>
  </si>
  <si>
    <t>ST. JOHN</t>
  </si>
  <si>
    <t>EAST VALLEY (Yakima)</t>
  </si>
  <si>
    <t>WEST VALLEY (Yakima)</t>
  </si>
  <si>
    <t>Preliminary Federal Cross-Cutting Maintenance of Effort Worksheet</t>
  </si>
  <si>
    <t>Manually enter data in the</t>
  </si>
  <si>
    <t>green shaded cells.</t>
  </si>
  <si>
    <t xml:space="preserve"> Food Services Deficit Calculation</t>
  </si>
  <si>
    <t>Description</t>
  </si>
  <si>
    <t>vs</t>
  </si>
  <si>
    <t>Data Element Required</t>
  </si>
  <si>
    <t>Total Expenditures</t>
  </si>
  <si>
    <t>+</t>
  </si>
  <si>
    <t>Total District Expenditures</t>
  </si>
  <si>
    <t>Total Program 98</t>
  </si>
  <si>
    <t>Public Radio/Television</t>
  </si>
  <si>
    <t>-</t>
  </si>
  <si>
    <t>Program 81 Expenditures</t>
  </si>
  <si>
    <t>Revenue 2298 (Local)</t>
  </si>
  <si>
    <t>Community Schools</t>
  </si>
  <si>
    <t>Program 86 Expenditures</t>
  </si>
  <si>
    <t>Revenue 4198 (State)</t>
  </si>
  <si>
    <t>Child Care</t>
  </si>
  <si>
    <t>Program 88 Expenditures</t>
  </si>
  <si>
    <t>Revenue 4398 (State)</t>
  </si>
  <si>
    <t>Other Community Services</t>
  </si>
  <si>
    <t>Program 89 Expenditures</t>
  </si>
  <si>
    <t>Revenue 6198 (Fed)</t>
  </si>
  <si>
    <t>Food Services</t>
  </si>
  <si>
    <t>Program 98 Expenditures</t>
  </si>
  <si>
    <t>Revenue 6298 (Fed)</t>
  </si>
  <si>
    <t>Debt Service-Interest</t>
  </si>
  <si>
    <t>Account 97-83-7</t>
  </si>
  <si>
    <t>Revenue 6398 (Fed)</t>
  </si>
  <si>
    <t>Debt Service-Principal</t>
  </si>
  <si>
    <t>Account 97-84-7</t>
  </si>
  <si>
    <t>Revenue 6998 (Fed)</t>
  </si>
  <si>
    <t>Debt Service-Debt Related Expenditures</t>
  </si>
  <si>
    <t>Account 97-85-7</t>
  </si>
  <si>
    <t>Revenue 7198 (Other)</t>
  </si>
  <si>
    <t>Capital Outlay-All Object 9</t>
  </si>
  <si>
    <t>Total District Object 9</t>
  </si>
  <si>
    <t>Revenue 8198 (Other)</t>
  </si>
  <si>
    <t>See Calculation on Right</t>
  </si>
  <si>
    <t>Total Food Service Deficit</t>
  </si>
  <si>
    <t>Federal-General Purpose Revenue</t>
  </si>
  <si>
    <t>Total 5000 Revenue</t>
  </si>
  <si>
    <t>NOTE:</t>
  </si>
  <si>
    <t>Federal-Special Purpose Revenue</t>
  </si>
  <si>
    <t>Total 6000 Revenue</t>
  </si>
  <si>
    <t>If the amount calculated is negative</t>
  </si>
  <si>
    <t>Food Service Revenue-Federal</t>
  </si>
  <si>
    <t>Revenue Account 6198</t>
  </si>
  <si>
    <t xml:space="preserve"> (expenditures &gt; revenues),</t>
  </si>
  <si>
    <t>Revenue Account 6298</t>
  </si>
  <si>
    <t>the deficit amount is added to</t>
  </si>
  <si>
    <t>Revenue Account 6398</t>
  </si>
  <si>
    <t xml:space="preserve"> the MOE test as a positive number.</t>
  </si>
  <si>
    <t>Food Service-USDA Commodities</t>
  </si>
  <si>
    <t>Revenue Account 6998</t>
  </si>
  <si>
    <t>Otherwise, it is left alone.</t>
  </si>
  <si>
    <t>Account 11-XX-9</t>
  </si>
  <si>
    <t>Account 12-XX-9</t>
  </si>
  <si>
    <t>Account 13-XX-9</t>
  </si>
  <si>
    <t>Account 14-XX-9</t>
  </si>
  <si>
    <t>Account 18-XX-9</t>
  </si>
  <si>
    <t>Account 19-XX-9</t>
  </si>
  <si>
    <t>Capital Outlay-Special Education Supplement-Federal</t>
  </si>
  <si>
    <t>Account 24-XX-9</t>
  </si>
  <si>
    <t>Capital Outlay-Special Education Institution-State</t>
  </si>
  <si>
    <t>Account 26-XX-9</t>
  </si>
  <si>
    <t>Capital Outlay-Special Education Other Categorical</t>
  </si>
  <si>
    <t>Account 29-XX-9</t>
  </si>
  <si>
    <t>Capital Outlay-Vocational-Federal</t>
  </si>
  <si>
    <t>Account 38-XX-9</t>
  </si>
  <si>
    <t>Capital Outlay-Vocational-Other Categorical</t>
  </si>
  <si>
    <t>Account 39-XX-9</t>
  </si>
  <si>
    <t>Capital Outlay-Skills Center-Federal</t>
  </si>
  <si>
    <t>Account 46-XX-9</t>
  </si>
  <si>
    <t>Capital Outlay-Disadvantaged-Federal</t>
  </si>
  <si>
    <t>Account 51-XX-9</t>
  </si>
  <si>
    <t>Capital Outlay-School Improvement-Federal</t>
  </si>
  <si>
    <t>Account 52-XX-9</t>
  </si>
  <si>
    <t>Capital Outlay-Migrant-Federal</t>
  </si>
  <si>
    <t>Account 53-XX-9</t>
  </si>
  <si>
    <t>Capital Outlay-Reading First-Federal</t>
  </si>
  <si>
    <t>Account 54-XX-9</t>
  </si>
  <si>
    <t>Account 56-XX-9</t>
  </si>
  <si>
    <t>Capital Outlay-Institutions-Neglected &amp; Delinquent</t>
  </si>
  <si>
    <t>Account 57-XX-9</t>
  </si>
  <si>
    <t>Capital Outlay-Head Start-Federal</t>
  </si>
  <si>
    <t>Account 61-XX-9</t>
  </si>
  <si>
    <t>Capital Outlay-Math &amp; Science</t>
  </si>
  <si>
    <t>Account 62-XX-9</t>
  </si>
  <si>
    <t>Capital Outlay-Limited English Proficiency-Federal</t>
  </si>
  <si>
    <t>Account 64-XX-9</t>
  </si>
  <si>
    <t>Capital Outlay-Indian Education-Federal-JOM</t>
  </si>
  <si>
    <t>Account 67-XX-9</t>
  </si>
  <si>
    <t>Capital Outlay-Indian Education-Federal-ED</t>
  </si>
  <si>
    <t>Account 68-XX-9</t>
  </si>
  <si>
    <t>Capital Outlay-Compensatory-Other</t>
  </si>
  <si>
    <t>Account 69-XX-9</t>
  </si>
  <si>
    <t>Capital Outlay-Targeted Assistance-Federal</t>
  </si>
  <si>
    <t>Account 76-XX-9</t>
  </si>
  <si>
    <t>Capital Outlay-Youth Training Program-Federal</t>
  </si>
  <si>
    <t>Account 78-XX-9</t>
  </si>
  <si>
    <t>Capital Outlay-Instructional Program-Other</t>
  </si>
  <si>
    <t>Account 79-XX-9</t>
  </si>
  <si>
    <t>Capital Outlay-Public Radio/Television</t>
  </si>
  <si>
    <t>Account 81-XX-9</t>
  </si>
  <si>
    <t>Capital Outlay-Community Schools</t>
  </si>
  <si>
    <t>Account 86-XX-9</t>
  </si>
  <si>
    <t>Capital Outlay-Day Care</t>
  </si>
  <si>
    <t>Account 88-XX-9</t>
  </si>
  <si>
    <t>Capital Outlay-Other Community Services</t>
  </si>
  <si>
    <t>Account 89-XX-9</t>
  </si>
  <si>
    <t>Capital Outlay-Food Services</t>
  </si>
  <si>
    <t>Account 98-XX-9</t>
  </si>
  <si>
    <t>Total Aggregate Expenditures for Maintenance of Effort</t>
  </si>
  <si>
    <t>Total Aggregate Expenditures</t>
  </si>
  <si>
    <t>Preliminary Federal Cross Cutting Aggregate Test (new year/prior year)</t>
  </si>
  <si>
    <t>Enrollment</t>
  </si>
  <si>
    <t>Expenditure Per Pupil</t>
  </si>
  <si>
    <t>Preliminary Federal Cross Cutting Per Pupil Test (new year/prior year)</t>
  </si>
  <si>
    <r>
      <t xml:space="preserve">Food Services Deficit </t>
    </r>
    <r>
      <rPr>
        <b/>
        <sz val="12"/>
        <rFont val="Segoe UI"/>
        <family val="2"/>
      </rPr>
      <t>(calculated cell)</t>
    </r>
  </si>
  <si>
    <t>District</t>
  </si>
  <si>
    <t>27901</t>
  </si>
  <si>
    <t>Chief Leschi Tribal</t>
  </si>
  <si>
    <t>17911</t>
  </si>
  <si>
    <t>Impact Charter</t>
  </si>
  <si>
    <t>17916</t>
  </si>
  <si>
    <t>18901</t>
  </si>
  <si>
    <t>32903</t>
  </si>
  <si>
    <t>6000</t>
  </si>
  <si>
    <t>5000</t>
  </si>
  <si>
    <t>CHIEF LESCHI TRIBAL</t>
  </si>
  <si>
    <t>WA HE LUT Tribal School</t>
  </si>
  <si>
    <t>39901</t>
  </si>
  <si>
    <t>YAKAMA NATION TRIBAL SCHOOL</t>
  </si>
  <si>
    <t>Yakama Nation Tribal</t>
  </si>
  <si>
    <t>Capital Outlay-Institutions-Juveniles in Adult Jailes</t>
  </si>
  <si>
    <t>Account 59-XX-10</t>
  </si>
  <si>
    <t>CATALYST CHARTER</t>
  </si>
  <si>
    <t>IMPACT SALISH SEA</t>
  </si>
  <si>
    <t>LUMENS HIGH SCHOOL</t>
  </si>
  <si>
    <t>11</t>
  </si>
  <si>
    <t>12</t>
  </si>
  <si>
    <t>13</t>
  </si>
  <si>
    <t>Catalyst Charter</t>
  </si>
  <si>
    <t>Impact Salish Sea Charter</t>
  </si>
  <si>
    <t>Lumen Charter</t>
  </si>
  <si>
    <t>Capital Outlay-Federal COVID - ESSER II</t>
  </si>
  <si>
    <t>Capital Outlay-Federal COVID - ESSER III</t>
  </si>
  <si>
    <t>Capital Outlay-Federal COVID - ESSER III - Learning Loss</t>
  </si>
  <si>
    <t>Capital Outlay-Federal - COVID Reserve</t>
  </si>
  <si>
    <t>West Valley (Yakima)</t>
  </si>
  <si>
    <t>East Valley (Yakima)</t>
  </si>
  <si>
    <t>38901</t>
  </si>
  <si>
    <t>Whatcom Int'g Charter</t>
  </si>
  <si>
    <t>37902</t>
  </si>
  <si>
    <t>Columbia (Stevenson)</t>
  </si>
  <si>
    <t>Evergreen (Stevevenson)</t>
  </si>
  <si>
    <t>West Valley (Spokane)</t>
  </si>
  <si>
    <t>East Valley (Spokane)</t>
  </si>
  <si>
    <t>Impact Comm Bay Charter</t>
  </si>
  <si>
    <t>27902</t>
  </si>
  <si>
    <t>Suquamish (Chief Kitsap) Tribal</t>
  </si>
  <si>
    <t>Why Not You Charter</t>
  </si>
  <si>
    <t>17917</t>
  </si>
  <si>
    <t>Impact Puget Sound Charter</t>
  </si>
  <si>
    <t>RVLA Charter</t>
  </si>
  <si>
    <t>Pinnacle Prep Charter</t>
  </si>
  <si>
    <t>04901</t>
  </si>
  <si>
    <t>County District Code</t>
  </si>
  <si>
    <t>Total Expenditures: Federal Cross Cutting MOE</t>
  </si>
  <si>
    <t>Total Program Expenditures - Totals</t>
  </si>
  <si>
    <t>Capital Outlay - Object 9</t>
  </si>
  <si>
    <t>Public Radio and Television</t>
  </si>
  <si>
    <t>District Name</t>
  </si>
  <si>
    <t>21-22 Community Service Expenditures</t>
  </si>
  <si>
    <t>Districtwide Support</t>
  </si>
  <si>
    <t>Interest</t>
  </si>
  <si>
    <t>Principal</t>
  </si>
  <si>
    <t>Debt Service</t>
  </si>
  <si>
    <t>Program Code  /  Description (Programs)</t>
  </si>
  <si>
    <t>School Food Services</t>
  </si>
  <si>
    <t>14</t>
  </si>
  <si>
    <t>19</t>
  </si>
  <si>
    <t>23</t>
  </si>
  <si>
    <t>57</t>
  </si>
  <si>
    <t>USDA Commodities</t>
  </si>
  <si>
    <t>School Food Services—Sales of Goods, Supplies, and Services</t>
  </si>
  <si>
    <t>Federal Revenue—Special Purpose (GL 960)</t>
  </si>
  <si>
    <t>Federal Forests</t>
  </si>
  <si>
    <t>Federal Revenue—General Purpose (GL 960)</t>
  </si>
  <si>
    <t>Whatcom Interg'l Charter</t>
  </si>
  <si>
    <t>Impact CB Charter</t>
  </si>
  <si>
    <t>IMPACT COMMENCEMENT BAY CHARTER</t>
  </si>
  <si>
    <t>PINNACLES PREP CHARTER</t>
  </si>
  <si>
    <t>PULLMAN COMM MONT CHARTER</t>
  </si>
  <si>
    <t>WHATCOM INT CHARTER</t>
  </si>
  <si>
    <t>WHY NOT YOU CHARTER</t>
  </si>
  <si>
    <t>IMPACT PUGET CHARTER</t>
  </si>
  <si>
    <t>IMPACT SALISH CHARTER</t>
  </si>
  <si>
    <t>23xx9</t>
  </si>
  <si>
    <t>Capital Outlay - Federal - ARP - IDEA - Suplimnetal - Federal</t>
  </si>
  <si>
    <t>STATEWIDE</t>
  </si>
  <si>
    <t>Account 23-xx-9</t>
  </si>
  <si>
    <t>FEDERAL CROSS CUTTING MAINTENANCE OF EFFORT</t>
  </si>
  <si>
    <t>Aggregate</t>
  </si>
  <si>
    <t>IMPACT COMMENCEMENT BAY</t>
  </si>
  <si>
    <t>PINNACLES PREP</t>
  </si>
  <si>
    <t>WHATCOM INTERGENERATIONAL</t>
  </si>
  <si>
    <t xml:space="preserve">WHY NOT YOU </t>
  </si>
  <si>
    <t>IMPACT PUGET SOUND</t>
  </si>
  <si>
    <t>Did Not Meet</t>
  </si>
  <si>
    <t>Capital Outlay-St Inst, Ctrs, &amp; Homes for Delinquents</t>
  </si>
  <si>
    <t>OSPI</t>
  </si>
  <si>
    <t>CountyDistrictCode (ActualsGeneralFundExpenditures)</t>
  </si>
  <si>
    <t>Capital Outlay-Federal COVID - SLRF</t>
  </si>
  <si>
    <t>Capital Outlay - Federal - COVID CARES Act - Other</t>
  </si>
  <si>
    <t>Program Code</t>
  </si>
  <si>
    <t>24</t>
  </si>
  <si>
    <t>39</t>
  </si>
  <si>
    <t>Innovation Spokane (Pride) Charter</t>
  </si>
  <si>
    <t>06901</t>
  </si>
  <si>
    <t>Rooted Schools Charter</t>
  </si>
  <si>
    <t>17919</t>
  </si>
  <si>
    <t>Impact Black River Charter</t>
  </si>
  <si>
    <t>24915</t>
  </si>
  <si>
    <t>Paschal Sherman Tribal</t>
  </si>
  <si>
    <t>2023-24</t>
  </si>
  <si>
    <t>Rooted Charter</t>
  </si>
  <si>
    <t>Impact Black River</t>
  </si>
  <si>
    <t>Paschal Sherman Tribal School</t>
  </si>
  <si>
    <t>FY 24-25</t>
  </si>
  <si>
    <t>ROOTED CHARTER</t>
  </si>
  <si>
    <t>IMPACT BLACK RIVER CHARTER</t>
  </si>
  <si>
    <t>PASCHAL SHERMAN TRIBAL</t>
  </si>
  <si>
    <t>State Summary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</si>
  <si>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</si>
  <si>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</si>
  <si>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</si>
  <si>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</si>
  <si>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</si>
  <si>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</si>
  <si>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</si>
  <si>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</si>
  <si>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</si>
  <si>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</si>
  <si>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</si>
  <si>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</si>
  <si>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</si>
  <si>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</si>
  <si>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</si>
  <si>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</si>
  <si>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</si>
  <si>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</si>
  <si>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</si>
  <si>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2024-25</t>
  </si>
  <si>
    <t>2024-25 Full Enrollment By Serving District</t>
  </si>
  <si>
    <t>FY 25-26</t>
  </si>
  <si>
    <t>97-85-7</t>
  </si>
  <si>
    <t>Fiscal Year 2025-26 with 2024-25</t>
  </si>
  <si>
    <t>Did not file a 2024-25 F-196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</si>
</sst>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00000"/>
    <numFmt numFmtId="165" formatCode="_(* #,##0_);_(* \(#,##0\);_(* &quot;-&quot;??_);_(@_)"/>
    <numFmt numFmtId="166" formatCode="_(* #,##0_);[Red]_(* \(#,##0\);_(* &quot; &quot;??_);_(@_)"/>
    <numFmt numFmtId="167" formatCode="_(* #,##0.00_);[Red]_(* \(#,##0.00\);_(* &quot; &quot;??_);_(@_)"/>
    <numFmt numFmtId="168" formatCode="#,##0.00;\(#,##0.0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b/>
      <sz val="12"/>
      <name val="Segoe UI"/>
      <family val="2"/>
    </font>
    <font>
      <sz val="12"/>
      <name val="Segoe UI"/>
      <family val="2"/>
    </font>
    <font>
      <sz val="12"/>
      <color theme="1"/>
      <name val="Segoe UI"/>
      <family val="2"/>
    </font>
    <font>
      <b/>
      <u/>
      <sz val="12"/>
      <name val="Segoe UI"/>
      <family val="2"/>
    </font>
    <font>
      <b/>
      <sz val="12"/>
      <color indexed="10"/>
      <name val="Segoe UI"/>
      <family val="2"/>
    </font>
    <font>
      <sz val="10"/>
      <color theme="1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FF0000"/>
      <name val="Segoe U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333333"/>
      <name val="Arial"/>
      <family val="2"/>
    </font>
    <font>
      <sz val="9"/>
      <color rgb="FF666666"/>
      <name val="Arial"/>
      <family val="2"/>
    </font>
    <font>
      <i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8" fillId="0" borderId="0" xfId="0" applyFont="1"/>
    <xf numFmtId="0" fontId="10" fillId="0" borderId="0" xfId="0" applyFont="1" applyProtection="1">
      <protection locked="0"/>
    </xf>
    <xf numFmtId="49" fontId="10" fillId="0" borderId="0" xfId="0" applyNumberFormat="1" applyFont="1" applyProtection="1">
      <protection locked="0"/>
    </xf>
    <xf numFmtId="166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centerContinuous"/>
      <protection locked="0"/>
    </xf>
    <xf numFmtId="0" fontId="12" fillId="0" borderId="0" xfId="0" applyFont="1" applyAlignment="1" applyProtection="1">
      <alignment horizontal="centerContinuous"/>
      <protection locked="0"/>
    </xf>
    <xf numFmtId="49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2" borderId="0" xfId="0" applyFont="1" applyFill="1" applyProtection="1">
      <protection locked="0"/>
    </xf>
    <xf numFmtId="0" fontId="13" fillId="0" borderId="0" xfId="0" applyFont="1"/>
    <xf numFmtId="49" fontId="11" fillId="4" borderId="0" xfId="0" applyNumberFormat="1" applyFont="1" applyFill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1" fillId="0" borderId="12" xfId="0" applyFont="1" applyBorder="1" applyAlignment="1" applyProtection="1">
      <alignment horizontal="centerContinuous"/>
      <protection locked="0"/>
    </xf>
    <xf numFmtId="49" fontId="14" fillId="0" borderId="0" xfId="0" applyNumberFormat="1" applyFont="1" applyAlignment="1" applyProtection="1">
      <alignment horizontal="centerContinuous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166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49" fontId="12" fillId="0" borderId="0" xfId="0" quotePrefix="1" applyNumberFormat="1" applyFont="1" applyProtection="1">
      <protection locked="0"/>
    </xf>
    <xf numFmtId="49" fontId="12" fillId="0" borderId="0" xfId="0" applyNumberFormat="1" applyFont="1" applyAlignment="1" applyProtection="1">
      <alignment horizontal="center"/>
      <protection locked="0"/>
    </xf>
    <xf numFmtId="165" fontId="12" fillId="2" borderId="0" xfId="4" applyNumberFormat="1" applyFont="1" applyFill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16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 vertical="top" readingOrder="1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quotePrefix="1" applyFont="1" applyProtection="1">
      <protection locked="0"/>
    </xf>
    <xf numFmtId="49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167" fontId="15" fillId="0" borderId="0" xfId="0" quotePrefix="1" applyNumberFormat="1" applyFont="1" applyAlignment="1">
      <alignment horizontal="center"/>
    </xf>
    <xf numFmtId="49" fontId="11" fillId="0" borderId="0" xfId="0" applyNumberFormat="1" applyFont="1" applyProtection="1">
      <protection locked="0"/>
    </xf>
    <xf numFmtId="0" fontId="9" fillId="0" borderId="0" xfId="0" applyFont="1"/>
    <xf numFmtId="0" fontId="18" fillId="0" borderId="3" xfId="0" applyFont="1" applyBorder="1" applyAlignment="1">
      <alignment horizontal="center"/>
    </xf>
    <xf numFmtId="4" fontId="18" fillId="0" borderId="2" xfId="4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40" fontId="17" fillId="0" borderId="0" xfId="0" applyNumberFormat="1" applyFont="1" applyAlignment="1">
      <alignment horizontal="right"/>
    </xf>
    <xf numFmtId="49" fontId="1" fillId="0" borderId="0" xfId="0" applyNumberFormat="1" applyFont="1"/>
    <xf numFmtId="43" fontId="1" fillId="0" borderId="0" xfId="1" applyFont="1"/>
    <xf numFmtId="43" fontId="1" fillId="0" borderId="0" xfId="0" applyNumberFormat="1" applyFont="1"/>
    <xf numFmtId="49" fontId="5" fillId="0" borderId="0" xfId="0" applyNumberFormat="1" applyFont="1"/>
    <xf numFmtId="49" fontId="5" fillId="0" borderId="0" xfId="0" quotePrefix="1" applyNumberFormat="1" applyFont="1"/>
    <xf numFmtId="49" fontId="1" fillId="0" borderId="0" xfId="0" quotePrefix="1" applyNumberFormat="1" applyFont="1"/>
    <xf numFmtId="0" fontId="1" fillId="0" borderId="0" xfId="0" quotePrefix="1" applyFont="1"/>
    <xf numFmtId="43" fontId="1" fillId="0" borderId="0" xfId="1" applyFont="1" applyFill="1"/>
    <xf numFmtId="0" fontId="1" fillId="4" borderId="0" xfId="0" applyFont="1" applyFill="1"/>
    <xf numFmtId="49" fontId="1" fillId="4" borderId="0" xfId="0" applyNumberFormat="1" applyFont="1" applyFill="1"/>
    <xf numFmtId="43" fontId="1" fillId="4" borderId="0" xfId="1" applyFont="1" applyFill="1"/>
    <xf numFmtId="164" fontId="3" fillId="0" borderId="0" xfId="3" applyNumberFormat="1" applyFont="1"/>
    <xf numFmtId="3" fontId="22" fillId="0" borderId="0" xfId="3" applyNumberFormat="1" applyFont="1"/>
    <xf numFmtId="3" fontId="3" fillId="0" borderId="0" xfId="3" applyNumberFormat="1" applyFont="1" applyAlignment="1">
      <alignment horizontal="left"/>
    </xf>
    <xf numFmtId="3" fontId="3" fillId="0" borderId="0" xfId="3" applyNumberFormat="1" applyFont="1" applyAlignment="1">
      <alignment horizontal="center"/>
    </xf>
    <xf numFmtId="165" fontId="3" fillId="0" borderId="0" xfId="4" applyNumberFormat="1" applyFont="1" applyFill="1" applyBorder="1" applyAlignment="1">
      <alignment horizontal="center"/>
    </xf>
    <xf numFmtId="0" fontId="3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22" fillId="0" borderId="0" xfId="3" applyFont="1" applyAlignment="1">
      <alignment horizontal="center" wrapText="1"/>
    </xf>
    <xf numFmtId="0" fontId="3" fillId="6" borderId="0" xfId="3" applyFont="1" applyFill="1" applyAlignment="1">
      <alignment horizontal="center" wrapText="1"/>
    </xf>
    <xf numFmtId="0" fontId="3" fillId="6" borderId="0" xfId="3" applyFont="1" applyFill="1" applyAlignment="1">
      <alignment horizontal="center"/>
    </xf>
    <xf numFmtId="0" fontId="3" fillId="0" borderId="0" xfId="4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>
      <alignment horizontal="center" wrapText="1"/>
    </xf>
    <xf numFmtId="165" fontId="3" fillId="0" borderId="4" xfId="4" applyNumberFormat="1" applyFont="1" applyFill="1" applyBorder="1" applyAlignment="1">
      <alignment horizontal="center"/>
    </xf>
    <xf numFmtId="165" fontId="3" fillId="2" borderId="0" xfId="4" applyNumberFormat="1" applyFont="1" applyFill="1" applyBorder="1" applyAlignment="1">
      <alignment horizontal="center" wrapText="1"/>
    </xf>
    <xf numFmtId="165" fontId="3" fillId="0" borderId="0" xfId="4" applyNumberFormat="1" applyFont="1" applyFill="1" applyBorder="1" applyAlignment="1">
      <alignment horizontal="center" wrapText="1"/>
    </xf>
    <xf numFmtId="0" fontId="5" fillId="2" borderId="0" xfId="3" applyFont="1" applyFill="1" applyAlignment="1">
      <alignment horizontal="center"/>
    </xf>
    <xf numFmtId="0" fontId="5" fillId="0" borderId="0" xfId="3" applyFont="1" applyAlignment="1">
      <alignment horizontal="center"/>
    </xf>
    <xf numFmtId="0" fontId="5" fillId="3" borderId="0" xfId="3" applyFont="1" applyFill="1" applyAlignment="1">
      <alignment horizontal="center" wrapText="1"/>
    </xf>
    <xf numFmtId="0" fontId="5" fillId="0" borderId="0" xfId="3" applyFont="1" applyAlignment="1">
      <alignment horizontal="center" wrapText="1"/>
    </xf>
    <xf numFmtId="164" fontId="5" fillId="0" borderId="0" xfId="3" applyNumberFormat="1" applyFont="1"/>
    <xf numFmtId="3" fontId="5" fillId="0" borderId="0" xfId="3" applyNumberFormat="1" applyFont="1"/>
    <xf numFmtId="3" fontId="20" fillId="0" borderId="0" xfId="3" applyNumberFormat="1" applyFont="1" applyAlignment="1">
      <alignment horizontal="center"/>
    </xf>
    <xf numFmtId="49" fontId="3" fillId="2" borderId="0" xfId="0" applyNumberFormat="1" applyFont="1" applyFill="1" applyProtection="1">
      <protection locked="0"/>
    </xf>
    <xf numFmtId="3" fontId="3" fillId="0" borderId="0" xfId="3" applyNumberFormat="1" applyFont="1"/>
    <xf numFmtId="3" fontId="3" fillId="2" borderId="1" xfId="3" applyNumberFormat="1" applyFont="1" applyFill="1" applyBorder="1"/>
    <xf numFmtId="3" fontId="3" fillId="0" borderId="1" xfId="3" applyNumberFormat="1" applyFont="1" applyBorder="1"/>
    <xf numFmtId="43" fontId="5" fillId="0" borderId="0" xfId="4" applyFont="1" applyBorder="1"/>
    <xf numFmtId="43" fontId="5" fillId="0" borderId="0" xfId="4" applyFont="1"/>
    <xf numFmtId="43" fontId="5" fillId="0" borderId="0" xfId="4" applyFont="1" applyFill="1"/>
    <xf numFmtId="43" fontId="5" fillId="4" borderId="0" xfId="4" applyFont="1" applyFill="1"/>
    <xf numFmtId="43" fontId="1" fillId="0" borderId="12" xfId="1" applyFont="1" applyBorder="1"/>
    <xf numFmtId="43" fontId="5" fillId="0" borderId="12" xfId="4" applyFont="1" applyBorder="1"/>
    <xf numFmtId="3" fontId="3" fillId="0" borderId="1" xfId="3" applyNumberFormat="1" applyFont="1" applyBorder="1" applyAlignment="1">
      <alignment horizontal="center"/>
    </xf>
    <xf numFmtId="0" fontId="3" fillId="0" borderId="0" xfId="3" applyFont="1" applyAlignment="1">
      <alignment horizontal="center" wrapText="1"/>
    </xf>
    <xf numFmtId="0" fontId="5" fillId="0" borderId="0" xfId="0" applyFont="1" applyAlignment="1">
      <alignment horizontal="center"/>
    </xf>
    <xf numFmtId="2" fontId="17" fillId="0" borderId="0" xfId="0" applyNumberFormat="1" applyFont="1" applyAlignment="1">
      <alignment horizontal="center"/>
    </xf>
    <xf numFmtId="40" fontId="17" fillId="0" borderId="9" xfId="0" applyNumberFormat="1" applyFont="1" applyBorder="1" applyAlignment="1">
      <alignment horizontal="right"/>
    </xf>
    <xf numFmtId="0" fontId="5" fillId="2" borderId="0" xfId="3" applyFont="1" applyFill="1" applyAlignment="1">
      <alignment horizontal="left"/>
    </xf>
    <xf numFmtId="168" fontId="23" fillId="0" borderId="0" xfId="0" applyNumberFormat="1" applyFont="1" applyAlignment="1">
      <alignment vertical="center"/>
    </xf>
    <xf numFmtId="0" fontId="24" fillId="0" borderId="0" xfId="0" quotePrefix="1" applyFont="1" applyAlignment="1">
      <alignment horizontal="left" vertical="top"/>
    </xf>
    <xf numFmtId="0" fontId="24" fillId="7" borderId="0" xfId="0" quotePrefix="1" applyFont="1" applyFill="1" applyAlignment="1">
      <alignment horizontal="center"/>
    </xf>
    <xf numFmtId="0" fontId="23" fillId="7" borderId="0" xfId="0" quotePrefix="1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7" borderId="0" xfId="0" applyFill="1"/>
    <xf numFmtId="3" fontId="23" fillId="0" borderId="0" xfId="0" applyNumberFormat="1" applyFont="1" applyAlignment="1">
      <alignment vertical="center"/>
    </xf>
    <xf numFmtId="0" fontId="23" fillId="7" borderId="0" xfId="0" quotePrefix="1" applyFont="1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8" fontId="0" fillId="0" borderId="0" xfId="0" applyNumberFormat="1"/>
    <xf numFmtId="165" fontId="5" fillId="0" borderId="0" xfId="5" applyNumberFormat="1" applyFont="1" applyFill="1"/>
    <xf numFmtId="41" fontId="12" fillId="0" borderId="0" xfId="0" applyNumberFormat="1" applyFont="1" applyAlignment="1" applyProtection="1">
      <alignment horizontal="centerContinuous"/>
      <protection locked="0"/>
    </xf>
    <xf numFmtId="41" fontId="12" fillId="0" borderId="0" xfId="0" applyNumberFormat="1" applyFont="1" applyProtection="1">
      <protection locked="0"/>
    </xf>
    <xf numFmtId="41" fontId="12" fillId="2" borderId="0" xfId="0" applyNumberFormat="1" applyFont="1" applyFill="1" applyProtection="1">
      <protection locked="0"/>
    </xf>
    <xf numFmtId="41" fontId="14" fillId="0" borderId="0" xfId="0" applyNumberFormat="1" applyFont="1" applyAlignment="1" applyProtection="1">
      <alignment horizontal="center"/>
      <protection locked="0"/>
    </xf>
    <xf numFmtId="41" fontId="11" fillId="0" borderId="0" xfId="0" applyNumberFormat="1" applyFont="1" applyProtection="1">
      <protection locked="0"/>
    </xf>
    <xf numFmtId="41" fontId="11" fillId="0" borderId="0" xfId="0" applyNumberFormat="1" applyFont="1"/>
    <xf numFmtId="41" fontId="12" fillId="0" borderId="0" xfId="0" applyNumberFormat="1" applyFont="1"/>
    <xf numFmtId="41" fontId="10" fillId="0" borderId="0" xfId="0" applyNumberFormat="1" applyFont="1" applyProtection="1">
      <protection locked="0"/>
    </xf>
    <xf numFmtId="165" fontId="12" fillId="0" borderId="0" xfId="0" applyNumberFormat="1" applyFont="1" applyAlignment="1" applyProtection="1">
      <alignment horizontal="centerContinuous"/>
      <protection locked="0"/>
    </xf>
    <xf numFmtId="165" fontId="11" fillId="0" borderId="0" xfId="0" applyNumberFormat="1" applyFont="1" applyAlignment="1" applyProtection="1">
      <alignment horizontal="centerContinuous"/>
      <protection locked="0"/>
    </xf>
    <xf numFmtId="165" fontId="12" fillId="0" borderId="0" xfId="0" applyNumberFormat="1" applyFont="1" applyProtection="1">
      <protection locked="0"/>
    </xf>
    <xf numFmtId="165" fontId="11" fillId="2" borderId="0" xfId="0" applyNumberFormat="1" applyFont="1" applyFill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5" fontId="12" fillId="2" borderId="0" xfId="0" applyNumberFormat="1" applyFont="1" applyFill="1" applyProtection="1">
      <protection locked="0"/>
    </xf>
    <xf numFmtId="165" fontId="11" fillId="0" borderId="0" xfId="0" applyNumberFormat="1" applyFont="1"/>
    <xf numFmtId="165" fontId="12" fillId="0" borderId="0" xfId="4" applyNumberFormat="1" applyFont="1" applyFill="1" applyProtection="1"/>
    <xf numFmtId="165" fontId="10" fillId="0" borderId="0" xfId="0" applyNumberFormat="1" applyFont="1" applyProtection="1">
      <protection locked="0"/>
    </xf>
    <xf numFmtId="0" fontId="18" fillId="0" borderId="0" xfId="0" applyFont="1" applyAlignment="1">
      <alignment horizontal="left"/>
    </xf>
    <xf numFmtId="0" fontId="17" fillId="0" borderId="0" xfId="0" applyFont="1"/>
    <xf numFmtId="3" fontId="18" fillId="0" borderId="0" xfId="0" applyNumberFormat="1" applyFont="1" applyAlignment="1">
      <alignment horizontal="center"/>
    </xf>
    <xf numFmtId="0" fontId="16" fillId="0" borderId="0" xfId="0" applyFont="1"/>
    <xf numFmtId="3" fontId="17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16" fillId="0" borderId="0" xfId="0" applyNumberFormat="1" applyFont="1"/>
    <xf numFmtId="0" fontId="17" fillId="0" borderId="0" xfId="0" applyFont="1" applyAlignment="1">
      <alignment horizontal="center"/>
    </xf>
    <xf numFmtId="0" fontId="17" fillId="5" borderId="0" xfId="0" applyFont="1" applyFill="1"/>
    <xf numFmtId="49" fontId="17" fillId="0" borderId="0" xfId="0" applyNumberFormat="1" applyFont="1"/>
    <xf numFmtId="49" fontId="17" fillId="0" borderId="0" xfId="0" quotePrefix="1" applyNumberFormat="1" applyFont="1"/>
    <xf numFmtId="0" fontId="16" fillId="0" borderId="0" xfId="0" quotePrefix="1" applyFont="1"/>
    <xf numFmtId="0" fontId="17" fillId="0" borderId="0" xfId="0" quotePrefix="1" applyFont="1"/>
    <xf numFmtId="49" fontId="16" fillId="0" borderId="0" xfId="0" quotePrefix="1" applyNumberFormat="1" applyFont="1"/>
    <xf numFmtId="40" fontId="17" fillId="0" borderId="0" xfId="0" applyNumberFormat="1" applyFont="1"/>
    <xf numFmtId="40" fontId="18" fillId="0" borderId="3" xfId="0" applyNumberFormat="1" applyFont="1" applyBorder="1"/>
    <xf numFmtId="0" fontId="18" fillId="9" borderId="0" xfId="0" applyFont="1" applyFill="1" applyAlignment="1">
      <alignment horizontal="center"/>
    </xf>
    <xf numFmtId="40" fontId="18" fillId="9" borderId="0" xfId="0" applyNumberFormat="1" applyFont="1" applyFill="1" applyAlignment="1">
      <alignment horizontal="center"/>
    </xf>
    <xf numFmtId="43" fontId="18" fillId="7" borderId="5" xfId="4" applyFont="1" applyFill="1" applyBorder="1" applyAlignment="1">
      <alignment horizontal="center"/>
    </xf>
    <xf numFmtId="43" fontId="18" fillId="8" borderId="6" xfId="4" applyFont="1" applyFill="1" applyBorder="1" applyAlignment="1">
      <alignment horizontal="center"/>
    </xf>
    <xf numFmtId="3" fontId="18" fillId="7" borderId="10" xfId="0" applyNumberFormat="1" applyFont="1" applyFill="1" applyBorder="1" applyAlignment="1">
      <alignment horizontal="center"/>
    </xf>
    <xf numFmtId="3" fontId="18" fillId="8" borderId="11" xfId="0" applyNumberFormat="1" applyFont="1" applyFill="1" applyBorder="1" applyAlignment="1">
      <alignment horizontal="center"/>
    </xf>
    <xf numFmtId="165" fontId="18" fillId="0" borderId="2" xfId="4" applyNumberFormat="1" applyFont="1" applyBorder="1"/>
    <xf numFmtId="165" fontId="18" fillId="0" borderId="7" xfId="4" applyNumberFormat="1" applyFont="1" applyBorder="1"/>
    <xf numFmtId="43" fontId="16" fillId="0" borderId="10" xfId="0" applyNumberFormat="1" applyFont="1" applyBorder="1"/>
    <xf numFmtId="43" fontId="16" fillId="0" borderId="11" xfId="0" applyNumberFormat="1" applyFont="1" applyBorder="1"/>
    <xf numFmtId="43" fontId="16" fillId="4" borderId="11" xfId="0" applyNumberFormat="1" applyFont="1" applyFill="1" applyBorder="1"/>
    <xf numFmtId="43" fontId="16" fillId="0" borderId="8" xfId="0" applyNumberFormat="1" applyFont="1" applyBorder="1"/>
    <xf numFmtId="43" fontId="16" fillId="0" borderId="9" xfId="0" applyNumberFormat="1" applyFont="1" applyBorder="1"/>
    <xf numFmtId="43" fontId="18" fillId="7" borderId="6" xfId="4" applyFont="1" applyFill="1" applyBorder="1" applyAlignment="1">
      <alignment horizontal="center"/>
    </xf>
    <xf numFmtId="43" fontId="18" fillId="7" borderId="10" xfId="4" applyFont="1" applyFill="1" applyBorder="1" applyAlignment="1">
      <alignment horizontal="center"/>
    </xf>
    <xf numFmtId="43" fontId="18" fillId="7" borderId="11" xfId="4" applyFont="1" applyFill="1" applyBorder="1" applyAlignment="1">
      <alignment horizontal="center"/>
    </xf>
    <xf numFmtId="4" fontId="18" fillId="0" borderId="7" xfId="4" applyNumberFormat="1" applyFont="1" applyBorder="1" applyAlignment="1">
      <alignment horizontal="right"/>
    </xf>
    <xf numFmtId="0" fontId="17" fillId="0" borderId="10" xfId="0" applyFont="1" applyBorder="1"/>
    <xf numFmtId="43" fontId="17" fillId="0" borderId="11" xfId="0" applyNumberFormat="1" applyFont="1" applyBorder="1"/>
    <xf numFmtId="0" fontId="17" fillId="0" borderId="8" xfId="0" applyFont="1" applyBorder="1"/>
    <xf numFmtId="43" fontId="17" fillId="0" borderId="9" xfId="0" applyNumberFormat="1" applyFont="1" applyBorder="1"/>
    <xf numFmtId="43" fontId="18" fillId="8" borderId="5" xfId="4" applyFont="1" applyFill="1" applyBorder="1" applyAlignment="1">
      <alignment horizontal="center"/>
    </xf>
    <xf numFmtId="43" fontId="18" fillId="8" borderId="10" xfId="4" applyFont="1" applyFill="1" applyBorder="1" applyAlignment="1">
      <alignment horizontal="center"/>
    </xf>
    <xf numFmtId="43" fontId="18" fillId="8" borderId="11" xfId="4" applyFont="1" applyFill="1" applyBorder="1" applyAlignment="1">
      <alignment horizontal="center"/>
    </xf>
    <xf numFmtId="40" fontId="17" fillId="0" borderId="10" xfId="0" applyNumberFormat="1" applyFont="1" applyBorder="1" applyAlignment="1">
      <alignment horizontal="right"/>
    </xf>
    <xf numFmtId="40" fontId="17" fillId="0" borderId="11" xfId="0" applyNumberFormat="1" applyFont="1" applyBorder="1" applyAlignment="1">
      <alignment horizontal="right"/>
    </xf>
    <xf numFmtId="40" fontId="17" fillId="0" borderId="8" xfId="0" applyNumberFormat="1" applyFont="1" applyBorder="1" applyAlignment="1">
      <alignment horizontal="right"/>
    </xf>
    <xf numFmtId="43" fontId="18" fillId="9" borderId="5" xfId="4" applyFont="1" applyFill="1" applyBorder="1" applyAlignment="1">
      <alignment horizontal="center"/>
    </xf>
    <xf numFmtId="0" fontId="18" fillId="9" borderId="4" xfId="0" applyFont="1" applyFill="1" applyBorder="1" applyAlignment="1">
      <alignment horizontal="center"/>
    </xf>
    <xf numFmtId="0" fontId="18" fillId="9" borderId="6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center"/>
    </xf>
    <xf numFmtId="0" fontId="18" fillId="9" borderId="11" xfId="0" applyFont="1" applyFill="1" applyBorder="1" applyAlignment="1">
      <alignment horizontal="center"/>
    </xf>
    <xf numFmtId="40" fontId="18" fillId="0" borderId="2" xfId="0" applyNumberFormat="1" applyFont="1" applyBorder="1" applyAlignment="1">
      <alignment horizontal="right"/>
    </xf>
    <xf numFmtId="0" fontId="18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40" fontId="17" fillId="0" borderId="12" xfId="0" applyNumberFormat="1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43" fontId="12" fillId="0" borderId="0" xfId="0" applyNumberFormat="1" applyFont="1" applyProtection="1">
      <protection locked="0"/>
    </xf>
    <xf numFmtId="43" fontId="0" fillId="0" borderId="0" xfId="1" applyFont="1"/>
    <xf numFmtId="43" fontId="0" fillId="7" borderId="0" xfId="1" applyFont="1" applyFill="1"/>
    <xf numFmtId="43" fontId="24" fillId="7" borderId="0" xfId="1" quotePrefix="1" applyFont="1" applyFill="1" applyAlignment="1">
      <alignment horizontal="center"/>
    </xf>
    <xf numFmtId="43" fontId="0" fillId="7" borderId="0" xfId="1" applyFont="1" applyFill="1" applyAlignment="1">
      <alignment horizontal="center" vertical="center" wrapText="1"/>
    </xf>
    <xf numFmtId="43" fontId="24" fillId="7" borderId="0" xfId="1" quotePrefix="1" applyFont="1" applyFill="1" applyAlignment="1">
      <alignment horizontal="center" vertical="center" wrapText="1"/>
    </xf>
    <xf numFmtId="43" fontId="24" fillId="0" borderId="0" xfId="1" quotePrefix="1" applyFont="1" applyAlignment="1">
      <alignment horizontal="left" vertical="top"/>
    </xf>
    <xf numFmtId="43" fontId="23" fillId="0" borderId="0" xfId="1" applyFont="1" applyAlignment="1">
      <alignment vertical="center"/>
    </xf>
    <xf numFmtId="3" fontId="0" fillId="0" borderId="0" xfId="0" applyNumberFormat="1"/>
    <xf numFmtId="165" fontId="12" fillId="0" borderId="0" xfId="1" applyNumberFormat="1" applyFont="1" applyProtection="1">
      <protection locked="0"/>
    </xf>
    <xf numFmtId="0" fontId="7" fillId="0" borderId="0" xfId="0" quotePrefix="1" applyFont="1"/>
    <xf numFmtId="43" fontId="7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0" applyNumberFormat="1" applyFont="1"/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quotePrefix="1" applyFont="1"/>
    <xf numFmtId="0" fontId="6" fillId="0" borderId="0" xfId="0" quotePrefix="1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23" fillId="7" borderId="0" xfId="0" quotePrefix="1" applyFont="1" applyFill="1" applyAlignment="1">
      <alignment horizontal="center" vertical="center" wrapText="1"/>
    </xf>
    <xf numFmtId="0" fontId="24" fillId="7" borderId="0" xfId="0" quotePrefix="1" applyFont="1" applyFill="1" applyAlignment="1">
      <alignment horizontal="center" vertical="center" wrapText="1"/>
    </xf>
    <xf numFmtId="0" fontId="0" fillId="4" borderId="0" xfId="0" applyFill="1"/>
    <xf numFmtId="43" fontId="10" fillId="0" borderId="3" xfId="1" quotePrefix="1" applyFont="1" applyFill="1" applyBorder="1" applyAlignment="1">
      <alignment horizontal="left"/>
    </xf>
    <xf numFmtId="43" fontId="10" fillId="0" borderId="3" xfId="1" quotePrefix="1" applyFont="1" applyFill="1" applyBorder="1" applyAlignment="1">
      <alignment horizontal="center"/>
    </xf>
    <xf numFmtId="49" fontId="20" fillId="0" borderId="0" xfId="0" applyNumberFormat="1" applyFont="1"/>
    <xf numFmtId="49" fontId="20" fillId="0" borderId="0" xfId="0" quotePrefix="1" applyNumberFormat="1" applyFont="1"/>
    <xf numFmtId="0" fontId="7" fillId="0" borderId="0" xfId="0" applyFont="1"/>
    <xf numFmtId="0" fontId="25" fillId="0" borderId="0" xfId="0" applyFont="1"/>
    <xf numFmtId="0" fontId="0" fillId="0" borderId="0" xfId="0" quotePrefix="1"/>
    <xf numFmtId="3" fontId="1" fillId="0" borderId="0" xfId="0" applyNumberFormat="1" applyFont="1"/>
    <xf numFmtId="43" fontId="3" fillId="0" borderId="0" xfId="1" applyFont="1"/>
    <xf numFmtId="0" fontId="27" fillId="0" borderId="0" xfId="0" quotePrefix="1" applyFont="1" applyAlignment="1">
      <alignment horizontal="left" vertical="top"/>
    </xf>
    <xf numFmtId="43" fontId="27" fillId="0" borderId="0" xfId="1" quotePrefix="1" applyFont="1" applyAlignment="1">
      <alignment horizontal="left" vertical="top"/>
    </xf>
    <xf numFmtId="43" fontId="26" fillId="0" borderId="0" xfId="1" applyFont="1"/>
    <xf numFmtId="43" fontId="27" fillId="0" borderId="0" xfId="1" applyFont="1" applyAlignment="1">
      <alignment vertical="center"/>
    </xf>
    <xf numFmtId="0" fontId="7" fillId="0" borderId="13" xfId="0" applyFont="1" applyBorder="1"/>
    <xf numFmtId="0" fontId="7" fillId="0" borderId="14" xfId="0" applyFont="1" applyBorder="1"/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8" fontId="28" fillId="0" borderId="0" xfId="0" applyNumberFormat="1" applyFont="1" applyAlignment="1">
      <alignment vertical="center"/>
    </xf>
    <xf numFmtId="0" fontId="28" fillId="0" borderId="0" xfId="0" quotePrefix="1" applyFont="1" applyAlignment="1">
      <alignment horizontal="left" vertical="top"/>
    </xf>
    <xf numFmtId="165" fontId="3" fillId="4" borderId="2" xfId="4" applyNumberFormat="1" applyFont="1" applyFill="1" applyBorder="1"/>
    <xf numFmtId="165" fontId="3" fillId="4" borderId="2" xfId="4" applyNumberFormat="1" applyFont="1" applyFill="1" applyBorder="1" applyAlignment="1">
      <alignment horizontal="right" vertical="top"/>
    </xf>
    <xf numFmtId="165" fontId="3" fillId="4" borderId="2" xfId="4" applyNumberFormat="1" applyFont="1" applyFill="1" applyBorder="1" applyAlignment="1">
      <alignment horizontal="centerContinuous"/>
    </xf>
    <xf numFmtId="165" fontId="3" fillId="4" borderId="3" xfId="4" applyNumberFormat="1" applyFont="1" applyFill="1" applyBorder="1" applyAlignment="1">
      <alignment horizontal="centerContinuous"/>
    </xf>
    <xf numFmtId="0" fontId="5" fillId="4" borderId="0" xfId="3" applyFont="1" applyFill="1" applyAlignment="1">
      <alignment horizontal="centerContinuous"/>
    </xf>
    <xf numFmtId="165" fontId="3" fillId="4" borderId="0" xfId="4" applyNumberFormat="1" applyFont="1" applyFill="1" applyBorder="1" applyAlignment="1">
      <alignment horizontal="centerContinuous"/>
    </xf>
    <xf numFmtId="165" fontId="3" fillId="4" borderId="0" xfId="4" applyNumberFormat="1" applyFont="1" applyFill="1" applyBorder="1" applyAlignment="1">
      <alignment horizontal="center"/>
    </xf>
    <xf numFmtId="165" fontId="3" fillId="6" borderId="0" xfId="4" applyNumberFormat="1" applyFont="1" applyFill="1" applyBorder="1" applyAlignment="1">
      <alignment horizontal="center"/>
    </xf>
    <xf numFmtId="0" fontId="5" fillId="6" borderId="0" xfId="3" applyFont="1" applyFill="1"/>
    <xf numFmtId="0" fontId="24" fillId="0" borderId="0" xfId="0" applyFont="1" applyAlignment="1">
      <alignment horizontal="left" vertical="top"/>
    </xf>
    <xf numFmtId="3" fontId="27" fillId="0" borderId="0" xfId="0" applyNumberFormat="1" applyFont="1" applyAlignment="1">
      <alignment vertical="center"/>
    </xf>
    <xf numFmtId="0" fontId="26" fillId="0" borderId="0" xfId="0" applyFont="1"/>
    <xf numFmtId="3" fontId="3" fillId="4" borderId="1" xfId="3" applyNumberFormat="1" applyFont="1" applyFill="1" applyBorder="1" applyAlignment="1">
      <alignment horizontal="center"/>
    </xf>
    <xf numFmtId="3" fontId="3" fillId="10" borderId="0" xfId="3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165" fontId="3" fillId="4" borderId="1" xfId="4" applyNumberFormat="1" applyFont="1" applyFill="1" applyBorder="1"/>
    <xf numFmtId="0" fontId="5" fillId="4" borderId="0" xfId="3" quotePrefix="1" applyFont="1" applyFill="1" applyAlignment="1">
      <alignment horizontal="center"/>
    </xf>
    <xf numFmtId="0" fontId="5" fillId="6" borderId="0" xfId="3" quotePrefix="1" applyFont="1" applyFill="1" applyAlignment="1">
      <alignment horizontal="center"/>
    </xf>
    <xf numFmtId="43" fontId="3" fillId="10" borderId="0" xfId="1" applyFont="1" applyFill="1" applyAlignment="1">
      <alignment horizontal="center"/>
    </xf>
    <xf numFmtId="43" fontId="22" fillId="0" borderId="0" xfId="1" applyFont="1" applyAlignment="1">
      <alignment horizontal="center" wrapText="1"/>
    </xf>
    <xf numFmtId="43" fontId="3" fillId="0" borderId="0" xfId="1" applyFont="1" applyAlignment="1">
      <alignment horizontal="center" wrapText="1"/>
    </xf>
    <xf numFmtId="43" fontId="5" fillId="0" borderId="0" xfId="1" applyFont="1"/>
    <xf numFmtId="0" fontId="24" fillId="7" borderId="0" xfId="0" quotePrefix="1" applyFont="1" applyFill="1" applyAlignment="1">
      <alignment horizontal="center"/>
    </xf>
    <xf numFmtId="0" fontId="0" fillId="7" borderId="0" xfId="0" applyFill="1"/>
    <xf numFmtId="0" fontId="23" fillId="0" borderId="0" xfId="0" quotePrefix="1" applyFont="1" applyAlignment="1">
      <alignment horizontal="center" vertical="center"/>
    </xf>
    <xf numFmtId="0" fontId="0" fillId="0" borderId="0" xfId="0"/>
  </cellXfs>
  <cellStyles count="9">
    <cellStyle name="Comma" xfId="1" builtinId="3"/>
    <cellStyle name="Comma 2" xfId="4" xr:uid="{00000000-0005-0000-0000-000001000000}"/>
    <cellStyle name="Comma 2 3" xfId="8" xr:uid="{0BC33FE0-CD2E-41C6-A082-C023B78E75C4}"/>
    <cellStyle name="Comma 3" xfId="5" xr:uid="{00000000-0005-0000-0000-000002000000}"/>
    <cellStyle name="Comma 4" xfId="2" xr:uid="{00000000-0005-0000-0000-000003000000}"/>
    <cellStyle name="Normal" xfId="0" builtinId="0"/>
    <cellStyle name="Normal 2" xfId="3" xr:uid="{00000000-0005-0000-0000-000005000000}"/>
    <cellStyle name="Normal 2 2" xfId="7" xr:uid="{9425AC2A-D9D5-4286-B22F-078C7429E88B}"/>
    <cellStyle name="Normal 3" xfId="6" xr:uid="{B884A339-F1FC-485B-B4F3-23BAD7381BF9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(* #,##0.00_);_(* \(#,##0.0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666666"/>
        <name val="Arial"/>
        <family val="2"/>
        <scheme val="none"/>
      </font>
      <alignment horizontal="left" vertical="top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333333"/>
        <name val="Arial"/>
        <family val="2"/>
        <scheme val="none"/>
      </font>
      <numFmt numFmtId="168" formatCode="#,##0.00;\(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2CCC6D-0EDE-4DB7-909E-30F263A582AE}" name="Items" displayName="Items" ref="B6:F326" totalsRowShown="0" headerRowDxfId="48" dataDxfId="47" dataCellStyle="Comma">
  <autoFilter ref="B6:F326" xr:uid="{5C2CCC6D-0EDE-4DB7-909E-30F263A582AE}"/>
  <tableColumns count="5">
    <tableColumn id="1" xr3:uid="{8732948E-930E-4F87-84C5-C2A5A7C33C6C}" name="Column1"/>
    <tableColumn id="2" xr3:uid="{63C813D7-8F2D-4C49-9A83-4B9D6442CD17}" name="Column2" dataDxfId="46" dataCellStyle="Comma"/>
    <tableColumn id="3" xr3:uid="{23EA79CC-43FA-4077-A3A8-4F84FFA87A32}" name="Column3" dataDxfId="45" dataCellStyle="Comma"/>
    <tableColumn id="4" xr3:uid="{616058A2-7F32-43A4-9FD1-E04A81807D04}" name="Column4" dataDxfId="44" dataCellStyle="Comma"/>
    <tableColumn id="5" xr3:uid="{DDD44C04-A848-46DE-A03A-8DDE82F485FB}" name="Column5" dataDxfId="43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97A4153-E660-41EB-AD2F-5D923DC402A1}" name="Community" displayName="Community" ref="B7:H207" totalsRowShown="0" headerRowDxfId="42" tableBorderDxfId="41">
  <autoFilter ref="B7:H207" xr:uid="{C97A4153-E660-41EB-AD2F-5D923DC402A1}"/>
  <tableColumns count="7">
    <tableColumn id="1" xr3:uid="{04212527-4B03-4035-8CEA-5B837B98AEA5}" name="Column1" dataDxfId="40"/>
    <tableColumn id="2" xr3:uid="{F6D1206F-2E69-4759-AC08-9E5341FC7549}" name="Column2" dataDxfId="39"/>
    <tableColumn id="3" xr3:uid="{E206B744-0B88-4C2E-BF53-563CCBB248BB}" name="Column3" dataDxfId="38"/>
    <tableColumn id="4" xr3:uid="{0D2FA5AC-2EBC-4A38-86C3-76ACCEA8C703}" name="Column4" dataDxfId="37" dataCellStyle="Comma"/>
    <tableColumn id="5" xr3:uid="{41B117B1-4D95-4620-9907-38F798B8DB3D}" name="Column5" dataDxfId="36" dataCellStyle="Comma"/>
    <tableColumn id="6" xr3:uid="{2124560B-CCD4-4D38-984D-EF45A7C7FA9C}" name="Column6"/>
    <tableColumn id="7" xr3:uid="{CA48195F-7B36-4A4A-8ABD-BF8FC1A730CA}" name="Column7" dataDxfId="3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5C4B0EE-FFD3-4543-9D5D-28B803685F12}" name="Debt" displayName="Debt" ref="J7:N184" totalsRowShown="0" headerRowDxfId="34" tableBorderDxfId="33">
  <autoFilter ref="J7:N184" xr:uid="{15C4B0EE-FFD3-4543-9D5D-28B803685F12}"/>
  <tableColumns count="5">
    <tableColumn id="1" xr3:uid="{4798747C-8BE8-4440-8767-DF43C6F43D00}" name="Column1" dataDxfId="32"/>
    <tableColumn id="2" xr3:uid="{41EDC96A-F76F-4E5B-9E5F-460F6D432140}" name="Column2" dataDxfId="31"/>
    <tableColumn id="3" xr3:uid="{0C3CDD17-332B-403A-8F59-A40FE396B64A}" name="Column3" dataDxfId="30"/>
    <tableColumn id="4" xr3:uid="{9E3FF29B-FC28-408F-9DCA-A195D0B13946}" name="Column4" dataDxfId="29"/>
    <tableColumn id="5" xr3:uid="{4FD2C97A-2CAC-4138-8CA8-5831FD32ECBE}" name="Column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172F8C4-86DD-4450-8200-4D7F96C31021}" name="Food" displayName="Food" ref="P7:R318" totalsRowShown="0" tableBorderDxfId="28">
  <autoFilter ref="P7:R318" xr:uid="{9172F8C4-86DD-4450-8200-4D7F96C31021}"/>
  <tableColumns count="3">
    <tableColumn id="1" xr3:uid="{E93DE34C-2D6F-41C1-A352-ED2AF0482E23}" name="Column1"/>
    <tableColumn id="2" xr3:uid="{9B20B842-A6CA-4240-A87C-3ABD238325DE}" name="Column2"/>
    <tableColumn id="3" xr3:uid="{1803E20E-A8B9-4757-9D97-69D3FB9803F2}" name="Column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57232F9-39FD-43E3-ABD9-E0CA6AD392BF}" name="Program" displayName="Program" ref="T6:AL167" totalsRowShown="0" headerRowDxfId="27" headerRowCellStyle="Comma">
  <autoFilter ref="T6:AL167" xr:uid="{757232F9-39FD-43E3-ABD9-E0CA6AD392BF}"/>
  <tableColumns count="19">
    <tableColumn id="1" xr3:uid="{B1E95D2A-3A02-4FE7-B434-BB1C74A09268}" name="Column1" dataDxfId="26"/>
    <tableColumn id="2" xr3:uid="{B69EECC8-A5E0-4361-86E8-3E75AE9E4D7F}" name="Column2" dataDxfId="25"/>
    <tableColumn id="3" xr3:uid="{8FD77702-D973-4CBD-882B-51F203034AB3}" name="Column3"/>
    <tableColumn id="4" xr3:uid="{AC1E6227-C9EB-4794-8B61-C52A9022DD09}" name="Column4"/>
    <tableColumn id="5" xr3:uid="{F3EE3890-B8AF-4DBD-92C4-A6CF557E18AC}" name="Column5"/>
    <tableColumn id="6" xr3:uid="{37FC5C51-2F28-4A20-AC3D-3B3012A9BA38}" name="Column6"/>
    <tableColumn id="7" xr3:uid="{DA9744D8-0913-493D-AF6D-124B2BF6F986}" name="Column7"/>
    <tableColumn id="8" xr3:uid="{11EBC1C8-92E8-4CDB-89C7-46BE550F690A}" name="Column8"/>
    <tableColumn id="9" xr3:uid="{907F1457-D8A2-463F-A1D9-38B16022D812}" name="Column9"/>
    <tableColumn id="10" xr3:uid="{017C48C3-BAD6-45A3-950E-DE1AD4DF40B5}" name="Column10"/>
    <tableColumn id="11" xr3:uid="{71DC9BE2-D445-4456-8915-746BC57ABF5A}" name="Column11"/>
    <tableColumn id="12" xr3:uid="{6043D61F-DC56-4474-8DA7-3BBA1BE45831}" name="Column12"/>
    <tableColumn id="13" xr3:uid="{28C716EE-2FD4-4E10-9E67-D34426AD0686}" name="Column13"/>
    <tableColumn id="14" xr3:uid="{8D307166-7A9F-4C44-AC82-EBAD69DFDF1C}" name="Column14"/>
    <tableColumn id="15" xr3:uid="{97686F7A-DA6A-406C-8F0E-F6E08A817A6A}" name="Column15"/>
    <tableColumn id="16" xr3:uid="{CFFFCA4C-A9E9-4904-9696-F9954CF3F41A}" name="Column16"/>
    <tableColumn id="17" xr3:uid="{026285C8-7853-4D58-BE0E-AD347FC371DE}" name="Column17"/>
    <tableColumn id="18" xr3:uid="{B1ACFB9F-7B79-4704-B367-D174E67999B1}" name="Column18"/>
    <tableColumn id="19" xr3:uid="{EF721BA4-3AFE-43C8-8259-5DD66EB01EE8}" name="Column1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A5EA9E-B614-4918-B359-5DB412C3758B}" name="Federal" displayName="Federal" ref="B6:E324" totalsRowShown="0" dataDxfId="24" tableBorderDxfId="23">
  <autoFilter ref="B6:E324" xr:uid="{80A5EA9E-B614-4918-B359-5DB412C3758B}"/>
  <tableColumns count="4">
    <tableColumn id="1" xr3:uid="{C2D09F86-DA97-4A62-A7CD-BAAB1D6B82BA}" name="Column1" dataDxfId="22"/>
    <tableColumn id="2" xr3:uid="{02D64BC5-87CF-452B-9FBB-720441345BCE}" name="Column2" dataDxfId="21"/>
    <tableColumn id="3" xr3:uid="{88179BB0-D921-40C1-8271-510DFD3314AA}" name="Column3" dataDxfId="20"/>
    <tableColumn id="4" xr3:uid="{41F8CDA0-721C-47DE-8322-D3F65600F04A}" name="Column4" dataDxfId="1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7500B5-DAA4-4319-B4E3-7D8D96EABB11}" name="FoodRev" displayName="FoodRev" ref="G6:P313" totalsRowShown="0">
  <autoFilter ref="G6:P313" xr:uid="{567500B5-DAA4-4319-B4E3-7D8D96EABB11}"/>
  <tableColumns count="10">
    <tableColumn id="1" xr3:uid="{ED0C4C8A-A9F7-4DD4-AB5D-E20305ACAF2C}" name="Column1" dataDxfId="18"/>
    <tableColumn id="2" xr3:uid="{3DFAC0AA-53B9-4443-89C6-D2FE32B4FA3B}" name="Column2" dataDxfId="17"/>
    <tableColumn id="3" xr3:uid="{A1505070-2577-4708-BC37-7CE8152ADCDC}" name="Column3" dataDxfId="16"/>
    <tableColumn id="4" xr3:uid="{0E377BB8-51B2-48D0-9520-D0C30D73B5F7}" name="Column4"/>
    <tableColumn id="5" xr3:uid="{99AA2F83-74C0-44F0-95BC-CD2F7A6FDF4E}" name="Column5" dataDxfId="15"/>
    <tableColumn id="6" xr3:uid="{8EF6CE4D-3575-4CAA-910F-BD9926837CE2}" name="Column6"/>
    <tableColumn id="7" xr3:uid="{E0A98DC2-68E1-4A14-B1E4-E32D8C4BB864}" name="Column7"/>
    <tableColumn id="8" xr3:uid="{F0E8775F-8203-4ED9-BE8A-C3C6EA9CF6A6}" name="Column8" dataDxfId="14"/>
    <tableColumn id="9" xr3:uid="{D183A432-C381-47D4-BA36-71E6CF60474C}" name="Column9"/>
    <tableColumn id="10" xr3:uid="{6A02FA45-BC86-4D7A-A814-9546F6C4B1F0}" name="Column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3A1177-C3DE-436F-B1FB-2304EAEA58D0}" name="Enrollment" displayName="Enrollment" ref="A5:E327" totalsRowShown="0" headerRowDxfId="13" dataDxfId="12" tableBorderDxfId="11">
  <autoFilter ref="A5:E327" xr:uid="{CC3A1177-C3DE-436F-B1FB-2304EAEA58D0}"/>
  <tableColumns count="5">
    <tableColumn id="1" xr3:uid="{94122C69-7394-4903-9F75-176918E92B53}" name="Column1" dataDxfId="10"/>
    <tableColumn id="2" xr3:uid="{829CBB3B-D4D4-43D2-8578-48785DAF4E1C}" name="Column2" dataDxfId="9"/>
    <tableColumn id="3" xr3:uid="{5BFE8E67-0311-4296-8A58-B1C143863A63}" name="Column3" dataDxfId="8">
      <calculatedColumnFormula>+D6+E6</calculatedColumnFormula>
    </tableColumn>
    <tableColumn id="4" xr3:uid="{05EC726D-F90B-42F2-9FEC-DC0A7F42ADAA}" name="Column4" dataDxfId="7"/>
    <tableColumn id="5" xr3:uid="{1FCF83A4-E1B6-419D-BA56-38CEB8946A13}" name="Column5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N116"/>
  <sheetViews>
    <sheetView tabSelected="1" zoomScaleNormal="100" workbookViewId="0">
      <selection activeCell="A5" sqref="A5"/>
    </sheetView>
  </sheetViews>
  <sheetFormatPr defaultColWidth="8.85546875" defaultRowHeight="12" x14ac:dyDescent="0.2"/>
  <cols>
    <col min="1" max="1" width="14" style="4" customWidth="1"/>
    <col min="2" max="2" width="41" style="3" customWidth="1"/>
    <col min="3" max="3" width="2.85546875" style="3" bestFit="1" customWidth="1"/>
    <col min="4" max="4" width="30.85546875" style="118" customWidth="1"/>
    <col min="5" max="5" width="3.28515625" style="3" customWidth="1"/>
    <col min="6" max="6" width="23.7109375" style="109" bestFit="1" customWidth="1"/>
    <col min="7" max="7" width="0.85546875" style="3" customWidth="1"/>
    <col min="8" max="8" width="31" style="3" bestFit="1" customWidth="1"/>
    <col min="9" max="9" width="29.7109375" style="3" bestFit="1" customWidth="1"/>
    <col min="10" max="10" width="2.85546875" style="3" bestFit="1" customWidth="1"/>
    <col min="11" max="11" width="27.5703125" style="3" customWidth="1"/>
    <col min="12" max="12" width="20.42578125" style="3" customWidth="1"/>
    <col min="13" max="13" width="8.85546875" style="3"/>
    <col min="14" max="14" width="10" style="3" bestFit="1" customWidth="1"/>
    <col min="15" max="16384" width="8.85546875" style="3"/>
  </cols>
  <sheetData>
    <row r="1" spans="1:14" ht="17.25" x14ac:dyDescent="0.3">
      <c r="A1" s="6" t="s">
        <v>1032</v>
      </c>
      <c r="B1" s="7"/>
      <c r="C1" s="7"/>
      <c r="D1" s="110"/>
      <c r="E1" s="7"/>
      <c r="F1" s="102"/>
      <c r="G1" s="7"/>
      <c r="H1" s="7"/>
      <c r="I1" s="7"/>
      <c r="J1" s="7"/>
      <c r="K1" s="7"/>
      <c r="L1" s="7"/>
    </row>
    <row r="2" spans="1:14" ht="17.25" x14ac:dyDescent="0.3">
      <c r="A2" s="6" t="s">
        <v>1291</v>
      </c>
      <c r="B2" s="7"/>
      <c r="C2" s="7"/>
      <c r="D2" s="111"/>
      <c r="E2" s="7"/>
      <c r="F2" s="102"/>
      <c r="G2" s="7"/>
      <c r="H2" s="7"/>
      <c r="I2" s="7"/>
      <c r="J2" s="7"/>
      <c r="K2" s="7"/>
      <c r="L2" s="7"/>
    </row>
    <row r="3" spans="1:14" ht="9.6" customHeight="1" x14ac:dyDescent="0.3">
      <c r="A3" s="8"/>
      <c r="B3" s="9"/>
      <c r="C3" s="9"/>
      <c r="D3" s="112"/>
      <c r="E3" s="9"/>
      <c r="F3" s="103"/>
      <c r="G3" s="9"/>
      <c r="H3" s="10"/>
      <c r="I3" s="9"/>
      <c r="J3" s="9"/>
      <c r="K3" s="9"/>
      <c r="L3" s="9"/>
    </row>
    <row r="4" spans="1:14" ht="17.25" x14ac:dyDescent="0.3">
      <c r="A4" s="10" t="str">
        <f>IF(ISNA((VLOOKUP(A5,CCDDD!A2:B330,2,FALSE)&amp; " SCHOOL DISTRICT")),"Enter your County-District number below.",VLOOKUP(A5,CCDDD!A2:B330,2,FALSE)&amp; " SCHOOL DISTRICT")</f>
        <v>RITZVILLE SCHOOL DISTRICT</v>
      </c>
      <c r="B4" s="9"/>
      <c r="C4" s="9"/>
      <c r="D4" s="113" t="s">
        <v>1033</v>
      </c>
      <c r="E4" s="11"/>
      <c r="F4" s="104"/>
      <c r="G4" s="9"/>
      <c r="H4" s="12"/>
      <c r="I4" s="12"/>
      <c r="J4" s="9"/>
      <c r="K4" s="9"/>
      <c r="L4" s="9"/>
    </row>
    <row r="5" spans="1:14" ht="17.25" x14ac:dyDescent="0.3">
      <c r="A5" s="13" t="s">
        <v>410</v>
      </c>
      <c r="B5" s="9"/>
      <c r="C5" s="9"/>
      <c r="D5" s="113" t="s">
        <v>1034</v>
      </c>
      <c r="E5" s="11"/>
      <c r="F5" s="104"/>
      <c r="G5" s="9"/>
      <c r="H5" s="12"/>
      <c r="I5" s="9"/>
      <c r="J5" s="9"/>
      <c r="K5" s="9"/>
      <c r="L5" s="9"/>
    </row>
    <row r="6" spans="1:14" ht="17.25" x14ac:dyDescent="0.3">
      <c r="A6" s="14"/>
      <c r="B6" s="10"/>
      <c r="C6" s="9"/>
      <c r="D6" s="112"/>
      <c r="E6" s="9"/>
      <c r="F6" s="103"/>
      <c r="G6" s="9"/>
      <c r="H6" s="12"/>
      <c r="I6" s="9"/>
      <c r="J6" s="9"/>
      <c r="K6" s="9"/>
      <c r="L6" s="9"/>
    </row>
    <row r="7" spans="1:14" ht="17.25" x14ac:dyDescent="0.3">
      <c r="A7" s="14"/>
      <c r="B7" s="9"/>
      <c r="C7" s="9"/>
      <c r="D7" s="112"/>
      <c r="E7" s="9"/>
      <c r="F7" s="103"/>
      <c r="G7" s="9"/>
      <c r="H7" s="9"/>
      <c r="I7" s="15" t="s">
        <v>1035</v>
      </c>
      <c r="J7" s="15"/>
      <c r="K7" s="15"/>
      <c r="L7" s="9"/>
    </row>
    <row r="8" spans="1:14" ht="4.9000000000000004" customHeight="1" x14ac:dyDescent="0.3">
      <c r="A8" s="8"/>
      <c r="B8" s="9"/>
      <c r="C8" s="9"/>
      <c r="D8" s="112"/>
      <c r="E8" s="9"/>
      <c r="F8" s="103"/>
      <c r="G8" s="9"/>
      <c r="H8" s="10"/>
      <c r="I8" s="9"/>
      <c r="J8" s="9"/>
      <c r="K8" s="9"/>
      <c r="L8" s="9"/>
    </row>
    <row r="9" spans="1:14" ht="17.25" x14ac:dyDescent="0.3">
      <c r="A9" s="16" t="s">
        <v>1036</v>
      </c>
      <c r="B9" s="17"/>
      <c r="C9" s="9"/>
      <c r="D9" s="114" t="s">
        <v>1289</v>
      </c>
      <c r="E9" s="19" t="s">
        <v>1037</v>
      </c>
      <c r="F9" s="105" t="s">
        <v>1263</v>
      </c>
      <c r="G9" s="19"/>
      <c r="H9" s="17" t="s">
        <v>1038</v>
      </c>
      <c r="I9" s="9"/>
      <c r="J9" s="9"/>
      <c r="K9" s="18" t="s">
        <v>1289</v>
      </c>
      <c r="L9" s="18" t="s">
        <v>1263</v>
      </c>
    </row>
    <row r="10" spans="1:14" ht="17.25" x14ac:dyDescent="0.3">
      <c r="A10" s="8" t="s">
        <v>1039</v>
      </c>
      <c r="B10" s="9"/>
      <c r="C10" s="9" t="s">
        <v>1040</v>
      </c>
      <c r="D10" s="115">
        <v>0</v>
      </c>
      <c r="E10" s="9"/>
      <c r="F10" s="103">
        <f>VLOOKUP($A$5,Detail!$A$5:$BP$328,8,FALSE)</f>
        <v>6899270.2699999996</v>
      </c>
      <c r="G10" s="9"/>
      <c r="H10" s="21" t="s">
        <v>1041</v>
      </c>
      <c r="I10" s="22" t="s">
        <v>1042</v>
      </c>
      <c r="J10" s="23" t="s">
        <v>1040</v>
      </c>
      <c r="K10" s="24">
        <v>0</v>
      </c>
      <c r="L10" s="182">
        <f>VLOOKUP($A$5,Detail!$A$5:$BP$328,55,FALSE)</f>
        <v>187614.90000000002</v>
      </c>
      <c r="N10" s="5"/>
    </row>
    <row r="11" spans="1:14" ht="17.25" x14ac:dyDescent="0.3">
      <c r="A11" s="8" t="s">
        <v>1043</v>
      </c>
      <c r="B11" s="9"/>
      <c r="C11" s="9" t="s">
        <v>1044</v>
      </c>
      <c r="D11" s="115">
        <v>0</v>
      </c>
      <c r="E11" s="9"/>
      <c r="F11" s="103">
        <f>VLOOKUP($A$5,Detail!$A$5:$BP$328,9,FALSE)</f>
        <v>0</v>
      </c>
      <c r="G11" s="9"/>
      <c r="H11" s="9" t="s">
        <v>1045</v>
      </c>
      <c r="I11" s="9" t="s">
        <v>1046</v>
      </c>
      <c r="J11" s="25" t="s">
        <v>1044</v>
      </c>
      <c r="K11" s="24">
        <v>0</v>
      </c>
      <c r="L11" s="182">
        <f>VLOOKUP($A$5,Detail!$A$5:$BP$328,56,FALSE)</f>
        <v>2075.9</v>
      </c>
      <c r="N11" s="5"/>
    </row>
    <row r="12" spans="1:14" ht="17.25" x14ac:dyDescent="0.3">
      <c r="A12" s="8" t="s">
        <v>1047</v>
      </c>
      <c r="B12" s="9"/>
      <c r="C12" s="9" t="s">
        <v>1044</v>
      </c>
      <c r="D12" s="115">
        <v>0</v>
      </c>
      <c r="E12" s="9"/>
      <c r="F12" s="103">
        <f>VLOOKUP($A$5,Detail!$A$5:$BP$328,10,FALSE)</f>
        <v>0</v>
      </c>
      <c r="G12" s="9"/>
      <c r="H12" s="9" t="s">
        <v>1048</v>
      </c>
      <c r="I12" s="9" t="s">
        <v>1049</v>
      </c>
      <c r="J12" s="25" t="s">
        <v>1044</v>
      </c>
      <c r="K12" s="24">
        <v>0</v>
      </c>
      <c r="L12" s="182">
        <f>VLOOKUP($A$5,Detail!$A$5:$BP$328,57,FALSE)</f>
        <v>66696.039999999994</v>
      </c>
      <c r="N12" s="5"/>
    </row>
    <row r="13" spans="1:14" ht="17.25" x14ac:dyDescent="0.3">
      <c r="A13" s="8" t="s">
        <v>1050</v>
      </c>
      <c r="B13" s="9"/>
      <c r="C13" s="9" t="s">
        <v>1044</v>
      </c>
      <c r="D13" s="115">
        <v>0</v>
      </c>
      <c r="E13" s="9"/>
      <c r="F13" s="103">
        <f>VLOOKUP($A$5,Detail!$A$5:$BP$328,11,FALSE)</f>
        <v>98159.64</v>
      </c>
      <c r="G13" s="9"/>
      <c r="H13" s="9" t="s">
        <v>1051</v>
      </c>
      <c r="I13" s="9" t="s">
        <v>1052</v>
      </c>
      <c r="J13" s="25" t="s">
        <v>1044</v>
      </c>
      <c r="K13" s="24">
        <v>0</v>
      </c>
      <c r="L13" s="182">
        <f>VLOOKUP($A$5,Detail!$A$5:$BP$328,58,FALSE)</f>
        <v>0</v>
      </c>
      <c r="N13" s="5"/>
    </row>
    <row r="14" spans="1:14" ht="17.25" x14ac:dyDescent="0.3">
      <c r="A14" s="8" t="s">
        <v>1053</v>
      </c>
      <c r="B14" s="9"/>
      <c r="C14" s="9" t="s">
        <v>1044</v>
      </c>
      <c r="D14" s="115">
        <v>0</v>
      </c>
      <c r="E14" s="9"/>
      <c r="F14" s="103">
        <f>VLOOKUP($A$5,Detail!$A$5:$BP$328,12,FALSE)</f>
        <v>0</v>
      </c>
      <c r="G14" s="9"/>
      <c r="H14" s="9" t="s">
        <v>1054</v>
      </c>
      <c r="I14" s="9" t="s">
        <v>1055</v>
      </c>
      <c r="J14" s="25" t="s">
        <v>1044</v>
      </c>
      <c r="K14" s="24">
        <v>0</v>
      </c>
      <c r="L14" s="182">
        <f>VLOOKUP($A$5,Detail!$A$5:$BP$328,59,FALSE)</f>
        <v>114066.47</v>
      </c>
      <c r="N14" s="5"/>
    </row>
    <row r="15" spans="1:14" ht="17.25" x14ac:dyDescent="0.3">
      <c r="A15" s="8" t="s">
        <v>1056</v>
      </c>
      <c r="B15" s="9"/>
      <c r="C15" s="9" t="s">
        <v>1044</v>
      </c>
      <c r="D15" s="115">
        <v>0</v>
      </c>
      <c r="E15" s="9"/>
      <c r="F15" s="103">
        <f>VLOOKUP($A$5,Detail!$A$5:$BP$328,55,FALSE)</f>
        <v>187614.90000000002</v>
      </c>
      <c r="G15" s="9"/>
      <c r="H15" s="9" t="s">
        <v>1057</v>
      </c>
      <c r="I15" s="9" t="s">
        <v>1058</v>
      </c>
      <c r="J15" s="25" t="s">
        <v>1044</v>
      </c>
      <c r="K15" s="24">
        <v>0</v>
      </c>
      <c r="L15" s="182">
        <f>VLOOKUP($A$5,Detail!$A$5:$BP$328,60,FALSE)</f>
        <v>0</v>
      </c>
      <c r="N15" s="5"/>
    </row>
    <row r="16" spans="1:14" ht="17.25" x14ac:dyDescent="0.3">
      <c r="A16" s="8" t="s">
        <v>1059</v>
      </c>
      <c r="B16" s="9"/>
      <c r="C16" s="9" t="s">
        <v>1044</v>
      </c>
      <c r="D16" s="115">
        <v>0</v>
      </c>
      <c r="E16" s="9"/>
      <c r="F16" s="103">
        <f>VLOOKUP($A$5,Detail!$A$5:$BP$328,13,FALSE)</f>
        <v>0</v>
      </c>
      <c r="G16" s="9"/>
      <c r="H16" s="9" t="s">
        <v>1060</v>
      </c>
      <c r="I16" s="9" t="s">
        <v>1061</v>
      </c>
      <c r="J16" s="25" t="s">
        <v>1044</v>
      </c>
      <c r="K16" s="24">
        <v>0</v>
      </c>
      <c r="L16" s="182">
        <f>VLOOKUP($A$5,Detail!$A$5:$BP$328,61,FALSE)</f>
        <v>0</v>
      </c>
      <c r="N16" s="5"/>
    </row>
    <row r="17" spans="1:14" ht="17.25" x14ac:dyDescent="0.3">
      <c r="A17" s="8" t="s">
        <v>1062</v>
      </c>
      <c r="B17" s="9"/>
      <c r="C17" s="9" t="s">
        <v>1044</v>
      </c>
      <c r="D17" s="115">
        <v>0</v>
      </c>
      <c r="E17" s="9"/>
      <c r="F17" s="103">
        <f>VLOOKUP($A$5,Detail!$A$5:$BP$328,14,FALSE)</f>
        <v>0</v>
      </c>
      <c r="G17" s="9"/>
      <c r="H17" s="9" t="s">
        <v>1063</v>
      </c>
      <c r="I17" s="9" t="s">
        <v>1064</v>
      </c>
      <c r="J17" s="25" t="s">
        <v>1044</v>
      </c>
      <c r="K17" s="24">
        <v>0</v>
      </c>
      <c r="L17" s="182">
        <f>VLOOKUP($A$5,Detail!$A$5:$BP$328,62,FALSE)</f>
        <v>8010.65</v>
      </c>
      <c r="N17" s="5"/>
    </row>
    <row r="18" spans="1:14" ht="17.25" x14ac:dyDescent="0.3">
      <c r="A18" s="8" t="s">
        <v>1065</v>
      </c>
      <c r="B18" s="9"/>
      <c r="C18" s="9" t="s">
        <v>1044</v>
      </c>
      <c r="D18" s="115">
        <v>0</v>
      </c>
      <c r="E18" s="9"/>
      <c r="F18" s="103">
        <f>VLOOKUP($A$5,Detail!$A$5:$BP$328,15,FALSE)</f>
        <v>0</v>
      </c>
      <c r="G18" s="9"/>
      <c r="H18" s="9" t="s">
        <v>1066</v>
      </c>
      <c r="I18" s="9" t="s">
        <v>1067</v>
      </c>
      <c r="J18" s="25" t="s">
        <v>1044</v>
      </c>
      <c r="K18" s="24">
        <v>0</v>
      </c>
      <c r="L18" s="182">
        <f>VLOOKUP($A$5,Detail!$A$5:$BP$328,63,FALSE)</f>
        <v>0</v>
      </c>
      <c r="N18" s="5"/>
    </row>
    <row r="19" spans="1:14" ht="17.25" x14ac:dyDescent="0.3">
      <c r="A19" s="8" t="s">
        <v>1068</v>
      </c>
      <c r="B19" s="9"/>
      <c r="C19" s="9" t="s">
        <v>1044</v>
      </c>
      <c r="D19" s="115">
        <v>0</v>
      </c>
      <c r="E19" s="9"/>
      <c r="F19" s="103">
        <f>VLOOKUP($A$5,Detail!$A$5:$BP$328,16,FALSE)</f>
        <v>0</v>
      </c>
      <c r="G19" s="9"/>
      <c r="H19" s="9" t="s">
        <v>1069</v>
      </c>
      <c r="I19" s="9" t="s">
        <v>1070</v>
      </c>
      <c r="J19" s="25" t="s">
        <v>1044</v>
      </c>
      <c r="K19" s="24">
        <v>0</v>
      </c>
      <c r="L19" s="182">
        <f>VLOOKUP($A$5,Detail!$A$5:$BP$328,64,FALSE)</f>
        <v>0</v>
      </c>
      <c r="N19" s="5"/>
    </row>
    <row r="20" spans="1:14" ht="17.25" x14ac:dyDescent="0.3">
      <c r="A20" s="8" t="s">
        <v>1152</v>
      </c>
      <c r="B20" s="9"/>
      <c r="C20" s="9" t="s">
        <v>1040</v>
      </c>
      <c r="D20" s="112">
        <f>IF(K20&lt;0,-K20,0)</f>
        <v>0</v>
      </c>
      <c r="E20" s="9"/>
      <c r="F20" s="103">
        <f>IF(L20&lt;0,-L20,0)</f>
        <v>0</v>
      </c>
      <c r="G20" s="9"/>
      <c r="H20" s="10" t="s">
        <v>1071</v>
      </c>
      <c r="I20" s="10" t="s">
        <v>1072</v>
      </c>
      <c r="J20" s="9"/>
      <c r="K20" s="20">
        <f>SUM(K11:K19)-K10</f>
        <v>0</v>
      </c>
      <c r="L20" s="182">
        <f>SUM(L11:L19)-L10</f>
        <v>3234.1599999999453</v>
      </c>
    </row>
    <row r="21" spans="1:14" ht="17.25" customHeight="1" x14ac:dyDescent="0.3">
      <c r="A21" s="8" t="s">
        <v>1073</v>
      </c>
      <c r="B21" s="9"/>
      <c r="C21" s="9" t="s">
        <v>1044</v>
      </c>
      <c r="D21" s="115">
        <v>0</v>
      </c>
      <c r="E21" s="9"/>
      <c r="F21" s="103">
        <f>VLOOKUP($A$5,Detail!$A$5:$BP$328,17,FALSE)</f>
        <v>0</v>
      </c>
      <c r="G21" s="9"/>
      <c r="H21" s="9" t="s">
        <v>1074</v>
      </c>
      <c r="I21" s="9"/>
      <c r="J21" s="9"/>
      <c r="K21" s="26" t="s">
        <v>1075</v>
      </c>
      <c r="L21" s="9"/>
    </row>
    <row r="22" spans="1:14" ht="17.25" customHeight="1" x14ac:dyDescent="0.3">
      <c r="A22" s="8" t="s">
        <v>1076</v>
      </c>
      <c r="B22" s="9"/>
      <c r="C22" s="9" t="s">
        <v>1044</v>
      </c>
      <c r="D22" s="115">
        <v>0</v>
      </c>
      <c r="E22" s="9"/>
      <c r="F22" s="103">
        <f>VLOOKUP($A$5,Detail!$A$5:$BP$328,18,FALSE)</f>
        <v>337287.13</v>
      </c>
      <c r="G22" s="9"/>
      <c r="H22" s="9" t="s">
        <v>1077</v>
      </c>
      <c r="I22" s="9"/>
      <c r="J22" s="9"/>
      <c r="K22" s="27" t="s">
        <v>1078</v>
      </c>
      <c r="L22" s="28"/>
    </row>
    <row r="23" spans="1:14" ht="17.25" x14ac:dyDescent="0.3">
      <c r="A23" s="8" t="s">
        <v>1079</v>
      </c>
      <c r="B23" s="9"/>
      <c r="C23" s="9" t="s">
        <v>1040</v>
      </c>
      <c r="D23" s="115">
        <v>0</v>
      </c>
      <c r="E23" s="9"/>
      <c r="F23" s="103">
        <f>VLOOKUP($A$5,Detail!$A$5:$BP$328,59,FALSE)</f>
        <v>114066.47</v>
      </c>
      <c r="G23" s="9"/>
      <c r="H23" s="9" t="s">
        <v>1080</v>
      </c>
      <c r="I23" s="9"/>
      <c r="J23" s="9"/>
      <c r="K23" s="29" t="s">
        <v>1081</v>
      </c>
      <c r="L23" s="28"/>
    </row>
    <row r="24" spans="1:14" ht="17.25" x14ac:dyDescent="0.3">
      <c r="A24" s="8" t="s">
        <v>1079</v>
      </c>
      <c r="B24" s="9"/>
      <c r="C24" s="9" t="s">
        <v>1040</v>
      </c>
      <c r="D24" s="115">
        <v>0</v>
      </c>
      <c r="E24" s="9"/>
      <c r="F24" s="103">
        <f>VLOOKUP($A$5,Detail!$A$5:$BP$328,60,FALSE)</f>
        <v>0</v>
      </c>
      <c r="G24" s="9"/>
      <c r="H24" s="9" t="s">
        <v>1082</v>
      </c>
      <c r="I24" s="9"/>
      <c r="J24" s="9"/>
      <c r="K24" s="29" t="s">
        <v>1083</v>
      </c>
      <c r="L24" s="28"/>
    </row>
    <row r="25" spans="1:14" ht="17.25" x14ac:dyDescent="0.3">
      <c r="A25" s="8" t="s">
        <v>1079</v>
      </c>
      <c r="B25" s="9"/>
      <c r="C25" s="9" t="s">
        <v>1040</v>
      </c>
      <c r="D25" s="115">
        <v>0</v>
      </c>
      <c r="E25" s="9"/>
      <c r="F25" s="103">
        <f>VLOOKUP($A$5,Detail!$A$5:$BP$328,61,FALSE)</f>
        <v>0</v>
      </c>
      <c r="G25" s="9"/>
      <c r="H25" s="9" t="s">
        <v>1084</v>
      </c>
      <c r="I25" s="9"/>
      <c r="J25" s="9"/>
      <c r="K25" s="29" t="s">
        <v>1085</v>
      </c>
      <c r="L25" s="28"/>
    </row>
    <row r="26" spans="1:14" ht="17.25" x14ac:dyDescent="0.3">
      <c r="A26" s="8" t="s">
        <v>1086</v>
      </c>
      <c r="B26" s="9"/>
      <c r="C26" s="9" t="s">
        <v>1040</v>
      </c>
      <c r="D26" s="115">
        <v>0</v>
      </c>
      <c r="E26" s="9"/>
      <c r="F26" s="103">
        <f>VLOOKUP($A$5,Detail!$A$5:$BP$328,62,FALSE)</f>
        <v>8010.65</v>
      </c>
      <c r="G26" s="9"/>
      <c r="H26" s="9" t="s">
        <v>1087</v>
      </c>
      <c r="I26" s="9"/>
      <c r="J26" s="9"/>
      <c r="K26" s="29" t="s">
        <v>1088</v>
      </c>
      <c r="L26" s="28"/>
    </row>
    <row r="27" spans="1:14" ht="17.25" x14ac:dyDescent="0.3">
      <c r="A27" s="8" t="s">
        <v>1247</v>
      </c>
      <c r="B27" s="9"/>
      <c r="C27" s="9" t="s">
        <v>1040</v>
      </c>
      <c r="D27" s="115">
        <v>0</v>
      </c>
      <c r="E27" s="9"/>
      <c r="F27" s="103">
        <f>VLOOKUP($A$5,Detail!$A$5:$BP$328,20,FALSE)</f>
        <v>0</v>
      </c>
      <c r="G27" s="9"/>
      <c r="H27" s="9" t="s">
        <v>1089</v>
      </c>
      <c r="I27" s="9"/>
      <c r="J27" s="9"/>
      <c r="K27" s="28"/>
      <c r="L27" s="28"/>
    </row>
    <row r="28" spans="1:14" ht="17.25" x14ac:dyDescent="0.3">
      <c r="A28" s="8" t="s">
        <v>1179</v>
      </c>
      <c r="B28" s="9"/>
      <c r="C28" s="9" t="s">
        <v>1040</v>
      </c>
      <c r="D28" s="115">
        <v>0</v>
      </c>
      <c r="E28" s="9"/>
      <c r="F28" s="103">
        <f>VLOOKUP($A$5,Detail!$A$5:$BP$328,21,FALSE)</f>
        <v>0</v>
      </c>
      <c r="G28" s="9"/>
      <c r="H28" s="9" t="s">
        <v>1090</v>
      </c>
      <c r="I28" s="9"/>
      <c r="J28" s="9"/>
      <c r="K28" s="9"/>
      <c r="L28" s="9"/>
    </row>
    <row r="29" spans="1:14" ht="17.25" x14ac:dyDescent="0.3">
      <c r="A29" s="8" t="s">
        <v>1180</v>
      </c>
      <c r="B29" s="9"/>
      <c r="C29" s="9" t="s">
        <v>1040</v>
      </c>
      <c r="D29" s="115">
        <v>0</v>
      </c>
      <c r="E29" s="9"/>
      <c r="F29" s="103">
        <f>VLOOKUP($A$5,Detail!$A$5:$BP$328,22,FALSE)</f>
        <v>0</v>
      </c>
      <c r="G29" s="9"/>
      <c r="H29" s="9" t="s">
        <v>1091</v>
      </c>
      <c r="I29" s="9"/>
      <c r="J29" s="9"/>
      <c r="K29" s="9"/>
      <c r="L29" s="9"/>
    </row>
    <row r="30" spans="1:14" ht="17.25" x14ac:dyDescent="0.3">
      <c r="A30" s="8" t="s">
        <v>1181</v>
      </c>
      <c r="B30" s="9"/>
      <c r="C30" s="9" t="s">
        <v>1040</v>
      </c>
      <c r="D30" s="115">
        <v>0</v>
      </c>
      <c r="E30" s="9"/>
      <c r="F30" s="103">
        <f>VLOOKUP($A$5,Detail!$A$5:$BP$328,23,FALSE)</f>
        <v>0</v>
      </c>
      <c r="G30" s="9"/>
      <c r="H30" s="9" t="s">
        <v>1092</v>
      </c>
      <c r="I30" s="9"/>
      <c r="J30" s="9"/>
      <c r="K30" s="9"/>
      <c r="L30" s="9"/>
    </row>
    <row r="31" spans="1:14" ht="17.25" x14ac:dyDescent="0.3">
      <c r="A31" s="8" t="s">
        <v>1182</v>
      </c>
      <c r="B31" s="9"/>
      <c r="C31" s="9" t="s">
        <v>1040</v>
      </c>
      <c r="D31" s="115">
        <v>0</v>
      </c>
      <c r="E31" s="9"/>
      <c r="F31" s="103">
        <f>VLOOKUP($A$5,Detail!$A$5:$BP$328,24,FALSE)</f>
        <v>0</v>
      </c>
      <c r="G31" s="9"/>
      <c r="H31" s="9" t="s">
        <v>1093</v>
      </c>
      <c r="I31" s="9"/>
      <c r="J31" s="9"/>
      <c r="K31" s="9"/>
      <c r="L31" s="9"/>
    </row>
    <row r="32" spans="1:14" ht="17.25" x14ac:dyDescent="0.3">
      <c r="A32" s="8" t="s">
        <v>1248</v>
      </c>
      <c r="B32" s="9"/>
      <c r="C32" s="9" t="s">
        <v>1040</v>
      </c>
      <c r="D32" s="115">
        <v>0</v>
      </c>
      <c r="E32" s="9"/>
      <c r="F32" s="103">
        <f>VLOOKUP($A$5,Detail!$A$5:$BP$328,25,FALSE)</f>
        <v>0</v>
      </c>
      <c r="G32" s="9"/>
      <c r="H32" s="9" t="s">
        <v>1094</v>
      </c>
      <c r="I32" s="9"/>
      <c r="J32" s="9"/>
      <c r="K32" s="9"/>
      <c r="L32" s="9"/>
    </row>
    <row r="33" spans="1:12" ht="17.25" x14ac:dyDescent="0.3">
      <c r="A33" s="8" t="s">
        <v>1233</v>
      </c>
      <c r="B33" s="9"/>
      <c r="C33" s="9" t="s">
        <v>1040</v>
      </c>
      <c r="D33" s="115">
        <v>0</v>
      </c>
      <c r="E33" s="9"/>
      <c r="F33" s="103">
        <f>VLOOKUP($A$5,Detail!$A$5:$BP$328,26,FALSE)</f>
        <v>0</v>
      </c>
      <c r="G33" s="9"/>
      <c r="H33" s="9" t="s">
        <v>1235</v>
      </c>
      <c r="I33" s="9"/>
      <c r="J33" s="9"/>
      <c r="K33" s="9"/>
      <c r="L33" s="9"/>
    </row>
    <row r="34" spans="1:12" ht="17.25" x14ac:dyDescent="0.3">
      <c r="A34" s="8" t="s">
        <v>1095</v>
      </c>
      <c r="B34" s="9"/>
      <c r="C34" s="9" t="s">
        <v>1040</v>
      </c>
      <c r="D34" s="115">
        <v>0</v>
      </c>
      <c r="E34" s="9"/>
      <c r="F34" s="103">
        <f>VLOOKUP($A$5,Detail!$A$5:$BP$328,27,FALSE)</f>
        <v>0</v>
      </c>
      <c r="G34" s="9"/>
      <c r="H34" s="9" t="s">
        <v>1096</v>
      </c>
      <c r="I34" s="9"/>
      <c r="J34" s="9"/>
      <c r="K34" s="9"/>
      <c r="L34" s="9"/>
    </row>
    <row r="35" spans="1:12" ht="17.25" x14ac:dyDescent="0.3">
      <c r="A35" s="8" t="s">
        <v>1097</v>
      </c>
      <c r="B35" s="9"/>
      <c r="C35" s="9" t="s">
        <v>1040</v>
      </c>
      <c r="D35" s="115">
        <v>0</v>
      </c>
      <c r="E35" s="9"/>
      <c r="F35" s="103">
        <f>VLOOKUP($A$5,Detail!$A$5:$BP$328,28,FALSE)</f>
        <v>0</v>
      </c>
      <c r="G35" s="9"/>
      <c r="H35" s="9" t="s">
        <v>1098</v>
      </c>
      <c r="I35" s="9"/>
      <c r="J35" s="9"/>
      <c r="K35" s="9"/>
      <c r="L35" s="9"/>
    </row>
    <row r="36" spans="1:12" ht="17.25" x14ac:dyDescent="0.3">
      <c r="A36" s="8" t="s">
        <v>1099</v>
      </c>
      <c r="B36" s="9"/>
      <c r="C36" s="9" t="s">
        <v>1040</v>
      </c>
      <c r="D36" s="115">
        <v>0</v>
      </c>
      <c r="E36" s="9"/>
      <c r="F36" s="103">
        <f>VLOOKUP($A$5,Detail!$A$5:$BP$328,29,FALSE)</f>
        <v>0</v>
      </c>
      <c r="G36" s="9"/>
      <c r="H36" s="9" t="s">
        <v>1100</v>
      </c>
      <c r="I36" s="9"/>
      <c r="J36" s="9"/>
      <c r="K36" s="9"/>
      <c r="L36" s="9"/>
    </row>
    <row r="37" spans="1:12" ht="17.25" x14ac:dyDescent="0.3">
      <c r="A37" s="8" t="s">
        <v>1101</v>
      </c>
      <c r="B37" s="9"/>
      <c r="C37" s="9" t="s">
        <v>1040</v>
      </c>
      <c r="D37" s="115">
        <v>0</v>
      </c>
      <c r="E37" s="9"/>
      <c r="F37" s="103">
        <f>VLOOKUP($A$5,Detail!$A$5:$BP$328,30,FALSE)</f>
        <v>0</v>
      </c>
      <c r="G37" s="9"/>
      <c r="H37" s="9" t="s">
        <v>1102</v>
      </c>
      <c r="I37" s="9"/>
      <c r="J37" s="9"/>
      <c r="K37" s="9"/>
      <c r="L37" s="9"/>
    </row>
    <row r="38" spans="1:12" ht="17.25" x14ac:dyDescent="0.3">
      <c r="A38" s="8" t="s">
        <v>1103</v>
      </c>
      <c r="B38" s="9"/>
      <c r="C38" s="9" t="s">
        <v>1040</v>
      </c>
      <c r="D38" s="115">
        <v>0</v>
      </c>
      <c r="E38" s="9"/>
      <c r="F38" s="103">
        <f>VLOOKUP($A$5,Detail!$A$5:$BP$328,31,FALSE)</f>
        <v>0</v>
      </c>
      <c r="G38" s="20"/>
      <c r="H38" s="9" t="s">
        <v>1104</v>
      </c>
      <c r="I38" s="9"/>
      <c r="J38" s="9"/>
      <c r="K38" s="9"/>
      <c r="L38" s="9"/>
    </row>
    <row r="39" spans="1:12" ht="17.25" x14ac:dyDescent="0.3">
      <c r="A39" s="8" t="s">
        <v>1105</v>
      </c>
      <c r="B39" s="9"/>
      <c r="C39" s="9" t="s">
        <v>1040</v>
      </c>
      <c r="D39" s="115">
        <v>0</v>
      </c>
      <c r="E39" s="9"/>
      <c r="F39" s="103">
        <f>VLOOKUP($A$5,Detail!$A$5:$BP$328,32,FALSE)</f>
        <v>0</v>
      </c>
      <c r="G39" s="9"/>
      <c r="H39" s="9" t="s">
        <v>1106</v>
      </c>
      <c r="I39" s="9"/>
      <c r="J39" s="9"/>
      <c r="K39" s="9"/>
      <c r="L39" s="9"/>
    </row>
    <row r="40" spans="1:12" ht="17.25" x14ac:dyDescent="0.3">
      <c r="A40" s="8" t="s">
        <v>1107</v>
      </c>
      <c r="B40" s="9"/>
      <c r="C40" s="9" t="s">
        <v>1040</v>
      </c>
      <c r="D40" s="115">
        <v>0</v>
      </c>
      <c r="E40" s="9"/>
      <c r="F40" s="103">
        <f>VLOOKUP($A$5,Detail!$A$5:$BP$328,33,FALSE)</f>
        <v>0</v>
      </c>
      <c r="G40" s="9"/>
      <c r="H40" s="9" t="s">
        <v>1108</v>
      </c>
      <c r="I40" s="9"/>
      <c r="J40" s="9"/>
      <c r="K40" s="9"/>
      <c r="L40" s="9"/>
    </row>
    <row r="41" spans="1:12" ht="17.25" x14ac:dyDescent="0.3">
      <c r="A41" s="8" t="s">
        <v>1109</v>
      </c>
      <c r="B41" s="9"/>
      <c r="C41" s="9" t="s">
        <v>1040</v>
      </c>
      <c r="D41" s="115">
        <v>0</v>
      </c>
      <c r="E41" s="9"/>
      <c r="F41" s="103">
        <f>VLOOKUP($A$5,Detail!$A$5:$BP$328,34,FALSE)</f>
        <v>0</v>
      </c>
      <c r="G41" s="9"/>
      <c r="H41" s="9" t="s">
        <v>1110</v>
      </c>
      <c r="I41" s="9"/>
      <c r="J41" s="9"/>
      <c r="K41" s="9"/>
      <c r="L41" s="9"/>
    </row>
    <row r="42" spans="1:12" ht="17.25" x14ac:dyDescent="0.3">
      <c r="A42" s="8" t="s">
        <v>1111</v>
      </c>
      <c r="B42" s="9"/>
      <c r="C42" s="9" t="s">
        <v>1040</v>
      </c>
      <c r="D42" s="115">
        <v>0</v>
      </c>
      <c r="E42" s="9"/>
      <c r="F42" s="103">
        <f>VLOOKUP($A$5,Detail!$A$5:$BP$328,35,FALSE)</f>
        <v>0</v>
      </c>
      <c r="G42" s="9"/>
      <c r="H42" s="9" t="s">
        <v>1112</v>
      </c>
      <c r="I42" s="9"/>
      <c r="J42" s="9"/>
      <c r="K42" s="9"/>
      <c r="L42" s="9"/>
    </row>
    <row r="43" spans="1:12" ht="17.25" x14ac:dyDescent="0.3">
      <c r="A43" s="8" t="s">
        <v>1113</v>
      </c>
      <c r="B43" s="9"/>
      <c r="C43" s="9" t="s">
        <v>1040</v>
      </c>
      <c r="D43" s="115">
        <v>0</v>
      </c>
      <c r="E43" s="9"/>
      <c r="F43" s="103">
        <f>VLOOKUP($A$5,Detail!$A$5:$BP$328,36,FALSE)</f>
        <v>0</v>
      </c>
      <c r="G43" s="9"/>
      <c r="H43" s="9" t="s">
        <v>1114</v>
      </c>
      <c r="I43" s="9"/>
      <c r="J43" s="9"/>
      <c r="K43" s="9"/>
      <c r="L43" s="9"/>
    </row>
    <row r="44" spans="1:12" ht="17.25" x14ac:dyDescent="0.3">
      <c r="A44" s="8" t="s">
        <v>1244</v>
      </c>
      <c r="B44" s="9"/>
      <c r="C44" s="9" t="s">
        <v>1040</v>
      </c>
      <c r="D44" s="115">
        <v>0</v>
      </c>
      <c r="E44" s="9"/>
      <c r="F44" s="103">
        <f>VLOOKUP($A$5,Detail!$A$5:$BP$328,37,FALSE)</f>
        <v>0</v>
      </c>
      <c r="G44" s="9"/>
      <c r="H44" s="9" t="s">
        <v>1115</v>
      </c>
      <c r="I44" s="9"/>
      <c r="J44" s="9"/>
      <c r="K44" s="9"/>
      <c r="L44" s="9"/>
    </row>
    <row r="45" spans="1:12" ht="17.25" x14ac:dyDescent="0.3">
      <c r="A45" s="8" t="s">
        <v>1116</v>
      </c>
      <c r="B45" s="9"/>
      <c r="C45" s="9" t="s">
        <v>1040</v>
      </c>
      <c r="D45" s="115">
        <v>0</v>
      </c>
      <c r="E45" s="9"/>
      <c r="F45" s="103">
        <f>VLOOKUP($A$5,Detail!$A$5:$BP$328,38,FALSE)</f>
        <v>0</v>
      </c>
      <c r="G45" s="9"/>
      <c r="H45" s="9" t="s">
        <v>1117</v>
      </c>
      <c r="I45" s="9"/>
      <c r="J45" s="9"/>
      <c r="K45" s="9"/>
      <c r="L45" s="9"/>
    </row>
    <row r="46" spans="1:12" ht="17.25" x14ac:dyDescent="0.3">
      <c r="A46" s="8" t="s">
        <v>1168</v>
      </c>
      <c r="B46" s="9"/>
      <c r="C46" s="9"/>
      <c r="D46" s="115">
        <v>0</v>
      </c>
      <c r="E46" s="9"/>
      <c r="F46" s="103">
        <f>VLOOKUP($A$5,Detail!$A$5:$BP$328,39,FALSE)</f>
        <v>0</v>
      </c>
      <c r="G46" s="9"/>
      <c r="H46" s="9" t="s">
        <v>1169</v>
      </c>
      <c r="I46" s="9"/>
      <c r="J46" s="9"/>
      <c r="K46" s="9"/>
      <c r="L46" s="9"/>
    </row>
    <row r="47" spans="1:12" ht="17.25" x14ac:dyDescent="0.3">
      <c r="A47" s="8" t="s">
        <v>1118</v>
      </c>
      <c r="B47" s="9"/>
      <c r="C47" s="9" t="s">
        <v>1040</v>
      </c>
      <c r="D47" s="115">
        <v>0</v>
      </c>
      <c r="E47" s="9"/>
      <c r="F47" s="103">
        <f>VLOOKUP($A$5,Detail!$A$5:$BP$328,40,FALSE)</f>
        <v>0</v>
      </c>
      <c r="G47" s="9"/>
      <c r="H47" s="9" t="s">
        <v>1119</v>
      </c>
      <c r="I47" s="9"/>
      <c r="J47" s="9"/>
      <c r="K47" s="9"/>
      <c r="L47" s="9"/>
    </row>
    <row r="48" spans="1:12" ht="17.25" x14ac:dyDescent="0.3">
      <c r="A48" s="8" t="s">
        <v>1120</v>
      </c>
      <c r="B48" s="9"/>
      <c r="C48" s="9" t="s">
        <v>1040</v>
      </c>
      <c r="D48" s="115">
        <v>0</v>
      </c>
      <c r="E48" s="9"/>
      <c r="F48" s="103">
        <f>VLOOKUP($A$5,Detail!$A$5:$BP$328,41,FALSE)</f>
        <v>0</v>
      </c>
      <c r="G48" s="9"/>
      <c r="H48" s="9" t="s">
        <v>1121</v>
      </c>
      <c r="I48" s="9"/>
      <c r="J48" s="9"/>
      <c r="K48" s="12"/>
      <c r="L48" s="9"/>
    </row>
    <row r="49" spans="1:12" ht="17.25" x14ac:dyDescent="0.3">
      <c r="A49" s="8" t="s">
        <v>1122</v>
      </c>
      <c r="B49" s="9"/>
      <c r="C49" s="9" t="s">
        <v>1040</v>
      </c>
      <c r="D49" s="115">
        <v>0</v>
      </c>
      <c r="E49" s="9"/>
      <c r="F49" s="103">
        <f>VLOOKUP($A$5,Detail!$A$5:$BP$328,42,FALSE)</f>
        <v>0</v>
      </c>
      <c r="G49" s="9"/>
      <c r="H49" s="9" t="s">
        <v>1123</v>
      </c>
      <c r="I49" s="9"/>
      <c r="J49" s="9"/>
      <c r="K49" s="12"/>
      <c r="L49" s="9"/>
    </row>
    <row r="50" spans="1:12" ht="17.25" x14ac:dyDescent="0.3">
      <c r="A50" s="8" t="s">
        <v>1124</v>
      </c>
      <c r="B50" s="9"/>
      <c r="C50" s="9" t="s">
        <v>1040</v>
      </c>
      <c r="D50" s="115">
        <v>0</v>
      </c>
      <c r="E50" s="9"/>
      <c r="F50" s="103">
        <f>VLOOKUP($A$5,Detail!$A$5:$BP$328,43,FALSE)</f>
        <v>0</v>
      </c>
      <c r="G50" s="9"/>
      <c r="H50" s="9" t="s">
        <v>1125</v>
      </c>
      <c r="I50" s="9"/>
      <c r="J50" s="9"/>
      <c r="K50" s="12"/>
      <c r="L50" s="9"/>
    </row>
    <row r="51" spans="1:12" ht="17.25" x14ac:dyDescent="0.3">
      <c r="A51" s="8" t="s">
        <v>1126</v>
      </c>
      <c r="B51" s="9"/>
      <c r="C51" s="9" t="s">
        <v>1040</v>
      </c>
      <c r="D51" s="115">
        <v>0</v>
      </c>
      <c r="E51" s="9"/>
      <c r="F51" s="103">
        <f>VLOOKUP($A$5,Detail!$A$5:$BP$328,44,FALSE)</f>
        <v>0</v>
      </c>
      <c r="G51" s="9"/>
      <c r="H51" s="9" t="s">
        <v>1127</v>
      </c>
      <c r="I51" s="9"/>
      <c r="J51" s="9"/>
      <c r="K51" s="12"/>
      <c r="L51" s="9"/>
    </row>
    <row r="52" spans="1:12" ht="17.25" x14ac:dyDescent="0.3">
      <c r="A52" s="8" t="s">
        <v>1128</v>
      </c>
      <c r="B52" s="9"/>
      <c r="C52" s="9" t="s">
        <v>1040</v>
      </c>
      <c r="D52" s="115">
        <v>0</v>
      </c>
      <c r="E52" s="9"/>
      <c r="F52" s="103">
        <f>VLOOKUP($A$5,Detail!$A$5:$BP$328,45,FALSE)</f>
        <v>0</v>
      </c>
      <c r="G52" s="9"/>
      <c r="H52" s="9" t="s">
        <v>1129</v>
      </c>
      <c r="I52" s="9"/>
      <c r="J52" s="9"/>
      <c r="K52" s="12"/>
      <c r="L52" s="9"/>
    </row>
    <row r="53" spans="1:12" ht="17.25" x14ac:dyDescent="0.3">
      <c r="A53" s="8" t="s">
        <v>1130</v>
      </c>
      <c r="B53" s="9"/>
      <c r="C53" s="9" t="s">
        <v>1040</v>
      </c>
      <c r="D53" s="115">
        <v>0</v>
      </c>
      <c r="E53" s="9"/>
      <c r="F53" s="103">
        <f>VLOOKUP($A$5,Detail!$A$5:$BP$328,46,FALSE)</f>
        <v>0</v>
      </c>
      <c r="G53" s="9"/>
      <c r="H53" s="9" t="s">
        <v>1131</v>
      </c>
      <c r="I53" s="9"/>
      <c r="J53" s="9"/>
      <c r="K53" s="12"/>
      <c r="L53" s="9"/>
    </row>
    <row r="54" spans="1:12" ht="17.25" x14ac:dyDescent="0.3">
      <c r="A54" s="8" t="s">
        <v>1132</v>
      </c>
      <c r="B54" s="9"/>
      <c r="C54" s="9" t="s">
        <v>1040</v>
      </c>
      <c r="D54" s="115">
        <v>0</v>
      </c>
      <c r="E54" s="9"/>
      <c r="F54" s="103">
        <f>VLOOKUP($A$5,Detail!$A$5:$BP$328,47,FALSE)</f>
        <v>0</v>
      </c>
      <c r="G54" s="9"/>
      <c r="H54" s="9" t="s">
        <v>1133</v>
      </c>
      <c r="I54" s="9"/>
      <c r="J54" s="9"/>
      <c r="K54" s="9"/>
      <c r="L54" s="9"/>
    </row>
    <row r="55" spans="1:12" ht="17.25" x14ac:dyDescent="0.3">
      <c r="A55" s="8" t="s">
        <v>1134</v>
      </c>
      <c r="B55" s="9"/>
      <c r="C55" s="9" t="s">
        <v>1040</v>
      </c>
      <c r="D55" s="115">
        <v>0</v>
      </c>
      <c r="E55" s="9"/>
      <c r="F55" s="103">
        <f>VLOOKUP($A$5,Detail!$A$5:$BP$328,48,FALSE)</f>
        <v>0</v>
      </c>
      <c r="G55" s="9"/>
      <c r="H55" s="9" t="s">
        <v>1135</v>
      </c>
      <c r="I55" s="9"/>
      <c r="J55" s="9"/>
      <c r="K55" s="9"/>
      <c r="L55" s="9"/>
    </row>
    <row r="56" spans="1:12" ht="17.25" x14ac:dyDescent="0.3">
      <c r="A56" s="8" t="s">
        <v>1136</v>
      </c>
      <c r="B56" s="9"/>
      <c r="C56" s="9" t="s">
        <v>1040</v>
      </c>
      <c r="D56" s="115">
        <v>0</v>
      </c>
      <c r="E56" s="9"/>
      <c r="F56" s="103">
        <f>VLOOKUP($A$5,Detail!$A$5:$BP$328,49,FALSE)</f>
        <v>0</v>
      </c>
      <c r="G56" s="9"/>
      <c r="H56" s="9" t="s">
        <v>1137</v>
      </c>
      <c r="I56" s="9"/>
      <c r="J56" s="9"/>
      <c r="K56" s="9"/>
      <c r="L56" s="9"/>
    </row>
    <row r="57" spans="1:12" ht="17.25" x14ac:dyDescent="0.3">
      <c r="A57" s="8" t="s">
        <v>1138</v>
      </c>
      <c r="B57" s="9"/>
      <c r="C57" s="9" t="s">
        <v>1040</v>
      </c>
      <c r="D57" s="115">
        <v>0</v>
      </c>
      <c r="E57" s="9"/>
      <c r="F57" s="103">
        <f>VLOOKUP($A$5,Detail!$A$5:$BP$328,50,FALSE)</f>
        <v>0</v>
      </c>
      <c r="G57" s="9"/>
      <c r="H57" s="9" t="s">
        <v>1139</v>
      </c>
      <c r="I57" s="9"/>
      <c r="J57" s="9"/>
      <c r="K57" s="9"/>
      <c r="L57" s="9"/>
    </row>
    <row r="58" spans="1:12" ht="17.25" x14ac:dyDescent="0.3">
      <c r="A58" s="8" t="s">
        <v>1140</v>
      </c>
      <c r="B58" s="9"/>
      <c r="C58" s="9" t="s">
        <v>1040</v>
      </c>
      <c r="D58" s="115">
        <v>0</v>
      </c>
      <c r="E58" s="9"/>
      <c r="F58" s="103">
        <f>VLOOKUP($A$5,Detail!$A$5:$BP$328,51,FALSE)</f>
        <v>0</v>
      </c>
      <c r="G58" s="9"/>
      <c r="H58" s="9" t="s">
        <v>1141</v>
      </c>
      <c r="I58" s="9"/>
      <c r="J58" s="9"/>
      <c r="K58" s="9"/>
      <c r="L58" s="9"/>
    </row>
    <row r="59" spans="1:12" ht="17.25" x14ac:dyDescent="0.3">
      <c r="A59" s="8" t="s">
        <v>1142</v>
      </c>
      <c r="B59" s="9"/>
      <c r="C59" s="9" t="s">
        <v>1040</v>
      </c>
      <c r="D59" s="115">
        <v>0</v>
      </c>
      <c r="E59" s="9"/>
      <c r="F59" s="103">
        <f>VLOOKUP($A$5,Detail!$A$5:$BP$328,52,FALSE)</f>
        <v>0</v>
      </c>
      <c r="G59" s="9"/>
      <c r="H59" s="9" t="s">
        <v>1143</v>
      </c>
      <c r="I59" s="9"/>
      <c r="J59" s="9"/>
      <c r="K59" s="9"/>
      <c r="L59" s="9"/>
    </row>
    <row r="60" spans="1:12" ht="17.25" x14ac:dyDescent="0.3">
      <c r="A60" s="8" t="s">
        <v>1144</v>
      </c>
      <c r="B60" s="9"/>
      <c r="C60" s="9" t="s">
        <v>1040</v>
      </c>
      <c r="D60" s="115">
        <v>0</v>
      </c>
      <c r="E60" s="9"/>
      <c r="F60" s="103">
        <f>VLOOKUP($A$5,Detail!$A$5:$BP$328,53,FALSE)</f>
        <v>0</v>
      </c>
      <c r="G60" s="9"/>
      <c r="H60" s="9" t="s">
        <v>1145</v>
      </c>
      <c r="I60" s="103"/>
      <c r="J60" s="9"/>
      <c r="K60" s="9"/>
      <c r="L60" s="9"/>
    </row>
    <row r="61" spans="1:12" ht="17.25" x14ac:dyDescent="0.3">
      <c r="A61" s="8" t="s">
        <v>1146</v>
      </c>
      <c r="B61" s="9"/>
      <c r="C61" s="30"/>
      <c r="D61" s="116">
        <f>D10-SUM(D11:D19)+D20-D21-D22+SUM(D23:D60)</f>
        <v>0</v>
      </c>
      <c r="E61" s="10"/>
      <c r="F61" s="106">
        <f>F10-SUM(F11:F19)+F20-F21-F22+SUM(F23:F60)</f>
        <v>6398285.7199999997</v>
      </c>
      <c r="G61" s="9"/>
      <c r="H61" s="9" t="s">
        <v>1147</v>
      </c>
      <c r="I61" s="173"/>
      <c r="J61" s="9"/>
      <c r="K61" s="9"/>
      <c r="L61" s="9"/>
    </row>
    <row r="62" spans="1:12" ht="17.25" x14ac:dyDescent="0.3">
      <c r="A62" s="8"/>
      <c r="B62" s="9"/>
      <c r="C62" s="9"/>
      <c r="D62" s="112"/>
      <c r="E62" s="9"/>
      <c r="F62" s="106"/>
      <c r="G62" s="9"/>
      <c r="H62" s="10"/>
      <c r="I62" s="9"/>
      <c r="J62" s="9"/>
      <c r="K62" s="9"/>
      <c r="L62" s="9"/>
    </row>
    <row r="63" spans="1:12" ht="17.25" x14ac:dyDescent="0.3">
      <c r="A63" s="31" t="s">
        <v>1148</v>
      </c>
      <c r="B63" s="9"/>
      <c r="C63" s="9"/>
      <c r="D63" s="112"/>
      <c r="E63" s="9"/>
      <c r="F63" s="107">
        <f>D61/F61</f>
        <v>0</v>
      </c>
      <c r="G63" s="9"/>
      <c r="H63" s="32"/>
      <c r="I63" s="9"/>
      <c r="J63" s="9"/>
      <c r="K63" s="9"/>
      <c r="L63" s="9"/>
    </row>
    <row r="64" spans="1:12" ht="17.25" x14ac:dyDescent="0.3">
      <c r="A64" s="8"/>
      <c r="B64" s="9"/>
      <c r="C64" s="9"/>
      <c r="D64" s="112"/>
      <c r="E64" s="9"/>
      <c r="F64" s="103"/>
      <c r="G64" s="9"/>
      <c r="H64" s="10"/>
      <c r="I64" s="20"/>
      <c r="J64" s="9"/>
      <c r="K64" s="9"/>
      <c r="L64" s="9"/>
    </row>
    <row r="65" spans="1:12" ht="17.25" x14ac:dyDescent="0.3">
      <c r="A65" s="8" t="s">
        <v>1149</v>
      </c>
      <c r="B65" s="9"/>
      <c r="C65" s="9"/>
      <c r="D65" s="115"/>
      <c r="E65" s="9"/>
      <c r="F65" s="103">
        <f>VLOOKUP($A$5,Enrollment[],3,0)</f>
        <v>398.97999999999996</v>
      </c>
      <c r="G65" s="9"/>
      <c r="H65" s="9"/>
      <c r="I65" s="9"/>
      <c r="J65" s="9"/>
      <c r="K65" s="9"/>
      <c r="L65" s="9"/>
    </row>
    <row r="66" spans="1:12" ht="17.25" x14ac:dyDescent="0.3">
      <c r="A66" s="8" t="s">
        <v>1150</v>
      </c>
      <c r="B66" s="9"/>
      <c r="C66" s="9"/>
      <c r="D66" s="117" t="e">
        <f>D61/D65</f>
        <v>#DIV/0!</v>
      </c>
      <c r="E66" s="9"/>
      <c r="F66" s="108">
        <f>F61/F65</f>
        <v>16036.607649506243</v>
      </c>
      <c r="G66" s="9"/>
      <c r="H66" s="10"/>
      <c r="I66" s="9"/>
      <c r="J66" s="9"/>
      <c r="K66" s="9"/>
      <c r="L66" s="9"/>
    </row>
    <row r="67" spans="1:12" ht="17.25" x14ac:dyDescent="0.3">
      <c r="A67" s="31" t="s">
        <v>1151</v>
      </c>
      <c r="B67" s="9"/>
      <c r="C67" s="9"/>
      <c r="D67" s="112"/>
      <c r="E67" s="9"/>
      <c r="F67" s="107" t="e">
        <f>D66/F66</f>
        <v>#DIV/0!</v>
      </c>
      <c r="G67" s="9"/>
      <c r="H67" s="33" t="e">
        <f>IF(AND($F$63&lt;0.9,$F$67&lt;0.9),"District Did Not Maintain Effort",IF(AND($F$63&lt;0.9,$F$67&gt;0.9),"District Did Maintain Effort",IF(AND($F$63&gt;0.9,$F$67&lt;0.9),"District Did Maintain Effort",IF(AND(F63&gt;0.9,F67&gt;0.9),"District Did Maintain Effort"))))</f>
        <v>#DIV/0!</v>
      </c>
      <c r="I67" s="9"/>
      <c r="J67" s="9"/>
      <c r="K67" s="9"/>
      <c r="L67" s="9"/>
    </row>
    <row r="68" spans="1:12" ht="17.25" x14ac:dyDescent="0.3">
      <c r="A68" s="34"/>
      <c r="B68" s="9"/>
      <c r="C68" s="9"/>
      <c r="D68" s="112"/>
      <c r="E68" s="9"/>
      <c r="F68" s="103"/>
      <c r="G68" s="9"/>
      <c r="H68" s="33" t="e">
        <f>IF(AND($F$63&lt;0.9,$F$67&lt;0.9),"Both tests are less than .90",IF(AND($F$63&lt;0.9,$F$67&gt;0.9),"One, or both, tests are greater than .90",IF(AND($F$63&gt;0.9,$F$67&lt;0.9),"One, or both, tests are greater than .90",IF(AND(F63&gt;0.9,F67&gt;0.9),"One, or both, tests are greater than .90"))))</f>
        <v>#DIV/0!</v>
      </c>
      <c r="I68" s="9"/>
      <c r="J68" s="9"/>
      <c r="K68" s="9"/>
      <c r="L68" s="9"/>
    </row>
    <row r="69" spans="1:12" ht="17.25" x14ac:dyDescent="0.3">
      <c r="A69" s="8"/>
      <c r="B69" s="9"/>
      <c r="C69" s="9"/>
      <c r="D69" s="112"/>
      <c r="E69" s="9"/>
      <c r="F69" s="103"/>
      <c r="G69" s="9"/>
      <c r="H69" s="9"/>
      <c r="I69" s="9"/>
      <c r="J69" s="9"/>
      <c r="K69" s="9"/>
      <c r="L69" s="9"/>
    </row>
    <row r="70" spans="1:12" ht="17.25" x14ac:dyDescent="0.3">
      <c r="A70" s="8"/>
      <c r="B70" s="9"/>
      <c r="C70" s="9"/>
      <c r="D70" s="112"/>
      <c r="E70" s="9"/>
      <c r="F70" s="103"/>
      <c r="G70" s="9"/>
      <c r="H70" s="10"/>
      <c r="I70" s="9"/>
      <c r="J70" s="9"/>
      <c r="K70" s="9"/>
      <c r="L70" s="9"/>
    </row>
    <row r="71" spans="1:12" ht="17.25" x14ac:dyDescent="0.3">
      <c r="A71" s="8"/>
      <c r="B71" s="9"/>
      <c r="C71" s="9"/>
      <c r="D71" s="112"/>
      <c r="E71" s="9"/>
      <c r="F71" s="103"/>
      <c r="G71" s="9"/>
      <c r="H71" s="10"/>
      <c r="I71" s="9"/>
      <c r="J71" s="9"/>
      <c r="K71" s="9"/>
      <c r="L71" s="9"/>
    </row>
    <row r="72" spans="1:12" ht="17.25" x14ac:dyDescent="0.3">
      <c r="A72" s="8"/>
      <c r="B72" s="9"/>
      <c r="C72" s="9"/>
      <c r="D72" s="112"/>
      <c r="E72" s="9"/>
      <c r="F72" s="103"/>
      <c r="G72" s="9"/>
      <c r="H72" s="9"/>
      <c r="I72" s="9"/>
      <c r="J72" s="9"/>
      <c r="K72" s="9"/>
      <c r="L72" s="9"/>
    </row>
    <row r="73" spans="1:12" ht="17.25" x14ac:dyDescent="0.3">
      <c r="A73" s="8"/>
      <c r="B73" s="9"/>
      <c r="C73" s="9"/>
      <c r="D73" s="112"/>
      <c r="E73" s="9"/>
      <c r="F73" s="103"/>
      <c r="G73" s="9"/>
      <c r="H73" s="9"/>
      <c r="I73" s="9"/>
      <c r="J73" s="9"/>
      <c r="K73" s="9"/>
      <c r="L73" s="9"/>
    </row>
    <row r="74" spans="1:12" ht="17.25" x14ac:dyDescent="0.3">
      <c r="A74" s="8"/>
      <c r="B74" s="9"/>
      <c r="C74" s="9"/>
      <c r="D74" s="112"/>
      <c r="E74" s="9"/>
      <c r="F74" s="103"/>
      <c r="G74" s="9"/>
      <c r="H74" s="9"/>
      <c r="I74" s="9"/>
      <c r="J74" s="9"/>
      <c r="K74" s="9"/>
      <c r="L74" s="9"/>
    </row>
    <row r="75" spans="1:12" ht="17.25" x14ac:dyDescent="0.3">
      <c r="A75" s="8"/>
      <c r="B75" s="9"/>
      <c r="C75" s="9"/>
      <c r="D75" s="112"/>
      <c r="E75" s="9"/>
      <c r="F75" s="103"/>
      <c r="G75" s="9"/>
      <c r="H75" s="9"/>
      <c r="I75" s="9"/>
      <c r="J75" s="9"/>
      <c r="K75" s="9"/>
      <c r="L75" s="9"/>
    </row>
    <row r="76" spans="1:12" ht="17.25" x14ac:dyDescent="0.3">
      <c r="A76" s="8"/>
      <c r="B76" s="9"/>
      <c r="C76" s="9"/>
      <c r="D76" s="112"/>
      <c r="E76" s="9"/>
      <c r="F76" s="103"/>
      <c r="G76" s="9"/>
      <c r="H76" s="9"/>
      <c r="I76" s="9"/>
      <c r="J76" s="9"/>
      <c r="K76" s="9"/>
      <c r="L76" s="9"/>
    </row>
    <row r="77" spans="1:12" ht="17.25" x14ac:dyDescent="0.3">
      <c r="A77" s="8"/>
      <c r="B77" s="9"/>
      <c r="C77" s="9"/>
      <c r="D77" s="112"/>
      <c r="E77" s="9"/>
      <c r="F77" s="103"/>
      <c r="G77" s="9"/>
      <c r="H77" s="9"/>
      <c r="I77" s="9"/>
      <c r="J77" s="9"/>
      <c r="K77" s="9"/>
      <c r="L77" s="9"/>
    </row>
    <row r="78" spans="1:12" ht="17.25" x14ac:dyDescent="0.3">
      <c r="A78" s="8"/>
      <c r="B78" s="9"/>
      <c r="C78" s="9"/>
      <c r="D78" s="112"/>
      <c r="E78" s="9"/>
      <c r="F78" s="103"/>
      <c r="G78" s="9"/>
      <c r="H78" s="9"/>
      <c r="I78" s="9"/>
      <c r="J78" s="9"/>
      <c r="K78" s="9"/>
      <c r="L78" s="9"/>
    </row>
    <row r="79" spans="1:12" ht="17.25" x14ac:dyDescent="0.3">
      <c r="A79" s="8"/>
      <c r="B79" s="9"/>
      <c r="C79" s="9"/>
      <c r="D79" s="112"/>
      <c r="E79" s="9"/>
      <c r="F79" s="103"/>
      <c r="G79" s="9"/>
      <c r="H79" s="9"/>
      <c r="I79" s="9"/>
      <c r="J79" s="9"/>
      <c r="K79" s="9"/>
      <c r="L79" s="9"/>
    </row>
    <row r="80" spans="1:12" ht="17.25" x14ac:dyDescent="0.3">
      <c r="A80" s="8"/>
      <c r="B80" s="9"/>
      <c r="C80" s="9"/>
      <c r="D80" s="112"/>
      <c r="E80" s="9"/>
      <c r="F80" s="103"/>
      <c r="G80" s="9"/>
      <c r="H80" s="9"/>
      <c r="I80" s="9"/>
      <c r="J80" s="9"/>
      <c r="K80" s="9"/>
      <c r="L80" s="9"/>
    </row>
    <row r="81" spans="1:12" ht="17.25" x14ac:dyDescent="0.3">
      <c r="A81" s="8"/>
      <c r="B81" s="9"/>
      <c r="C81" s="9"/>
      <c r="D81" s="112"/>
      <c r="E81" s="9"/>
      <c r="F81" s="103"/>
      <c r="G81" s="9"/>
      <c r="H81" s="9"/>
      <c r="I81" s="9"/>
      <c r="J81" s="9"/>
      <c r="K81" s="9"/>
      <c r="L81" s="9"/>
    </row>
    <row r="82" spans="1:12" ht="17.25" x14ac:dyDescent="0.3">
      <c r="A82" s="8"/>
      <c r="B82" s="9"/>
      <c r="C82" s="9"/>
      <c r="D82" s="112"/>
      <c r="E82" s="9"/>
      <c r="F82" s="103"/>
      <c r="G82" s="9"/>
      <c r="H82" s="9"/>
      <c r="I82" s="9"/>
      <c r="J82" s="9"/>
      <c r="K82" s="9"/>
      <c r="L82" s="9"/>
    </row>
    <row r="83" spans="1:12" ht="17.25" x14ac:dyDescent="0.3">
      <c r="A83" s="8"/>
      <c r="B83" s="9"/>
      <c r="C83" s="9"/>
      <c r="D83" s="112"/>
      <c r="E83" s="9"/>
      <c r="F83" s="103"/>
      <c r="G83" s="9"/>
      <c r="H83" s="9"/>
      <c r="I83" s="9"/>
      <c r="J83" s="9"/>
      <c r="K83" s="9"/>
      <c r="L83" s="9"/>
    </row>
    <row r="84" spans="1:12" ht="17.25" x14ac:dyDescent="0.3">
      <c r="A84" s="8"/>
      <c r="B84" s="9"/>
      <c r="C84" s="9"/>
      <c r="D84" s="112"/>
      <c r="E84" s="9"/>
      <c r="F84" s="103"/>
      <c r="G84" s="9"/>
      <c r="H84" s="9"/>
      <c r="I84" s="9"/>
      <c r="J84" s="9"/>
      <c r="K84" s="9"/>
      <c r="L84" s="9"/>
    </row>
    <row r="85" spans="1:12" ht="17.25" x14ac:dyDescent="0.3">
      <c r="A85" s="8"/>
      <c r="B85" s="9"/>
      <c r="C85" s="9"/>
      <c r="D85" s="112"/>
      <c r="E85" s="9"/>
      <c r="F85" s="103"/>
      <c r="G85" s="9"/>
      <c r="H85" s="9"/>
      <c r="I85" s="9"/>
      <c r="J85" s="9"/>
      <c r="K85" s="9"/>
      <c r="L85" s="9"/>
    </row>
    <row r="86" spans="1:12" ht="17.25" x14ac:dyDescent="0.3">
      <c r="A86" s="8"/>
      <c r="B86" s="9"/>
      <c r="C86" s="9"/>
      <c r="D86" s="112"/>
      <c r="E86" s="9"/>
      <c r="F86" s="103"/>
      <c r="G86" s="9"/>
      <c r="H86" s="9"/>
      <c r="I86" s="9"/>
      <c r="J86" s="9"/>
      <c r="K86" s="9"/>
      <c r="L86" s="9"/>
    </row>
    <row r="87" spans="1:12" ht="17.25" x14ac:dyDescent="0.3">
      <c r="A87" s="8"/>
      <c r="B87" s="9"/>
      <c r="C87" s="9"/>
      <c r="D87" s="112"/>
      <c r="E87" s="9"/>
      <c r="F87" s="103"/>
      <c r="G87" s="9"/>
      <c r="H87" s="9"/>
      <c r="I87" s="9"/>
      <c r="J87" s="9"/>
      <c r="K87" s="9"/>
      <c r="L87" s="9"/>
    </row>
    <row r="88" spans="1:12" ht="17.25" x14ac:dyDescent="0.3">
      <c r="A88" s="8"/>
      <c r="B88" s="9"/>
      <c r="C88" s="9"/>
      <c r="D88" s="112"/>
      <c r="E88" s="9"/>
      <c r="F88" s="103"/>
      <c r="G88" s="9"/>
      <c r="H88" s="9"/>
      <c r="I88" s="9"/>
      <c r="J88" s="9"/>
      <c r="K88" s="9"/>
      <c r="L88" s="9"/>
    </row>
    <row r="89" spans="1:12" ht="17.25" x14ac:dyDescent="0.3">
      <c r="A89" s="8"/>
      <c r="B89" s="9"/>
      <c r="C89" s="9"/>
      <c r="D89" s="112"/>
      <c r="E89" s="9"/>
      <c r="F89" s="103"/>
      <c r="G89" s="9"/>
      <c r="H89" s="9"/>
      <c r="I89" s="9"/>
      <c r="J89" s="9"/>
      <c r="K89" s="9"/>
      <c r="L89" s="9"/>
    </row>
    <row r="90" spans="1:12" ht="17.25" x14ac:dyDescent="0.3">
      <c r="A90" s="8"/>
      <c r="B90" s="9"/>
      <c r="C90" s="9"/>
      <c r="D90" s="112"/>
      <c r="E90" s="9"/>
      <c r="F90" s="103"/>
      <c r="G90" s="9"/>
      <c r="H90" s="9"/>
      <c r="I90" s="9"/>
      <c r="J90" s="9"/>
      <c r="K90" s="9"/>
      <c r="L90" s="9"/>
    </row>
    <row r="91" spans="1:12" ht="17.25" x14ac:dyDescent="0.3">
      <c r="A91" s="8"/>
      <c r="B91" s="9"/>
      <c r="C91" s="9"/>
      <c r="D91" s="112"/>
      <c r="E91" s="9"/>
      <c r="F91" s="103"/>
      <c r="G91" s="9"/>
      <c r="H91" s="9"/>
      <c r="I91" s="9"/>
      <c r="J91" s="9"/>
      <c r="K91" s="9"/>
      <c r="L91" s="9"/>
    </row>
    <row r="92" spans="1:12" ht="17.25" x14ac:dyDescent="0.3">
      <c r="A92" s="8"/>
      <c r="B92" s="9"/>
      <c r="C92" s="9"/>
      <c r="D92" s="112"/>
      <c r="E92" s="9"/>
      <c r="F92" s="103"/>
      <c r="G92" s="9"/>
      <c r="H92" s="9"/>
      <c r="I92" s="9"/>
      <c r="J92" s="9"/>
      <c r="K92" s="9"/>
      <c r="L92" s="9"/>
    </row>
    <row r="93" spans="1:12" ht="17.25" x14ac:dyDescent="0.3">
      <c r="A93" s="8"/>
      <c r="B93" s="9"/>
      <c r="C93" s="9"/>
      <c r="D93" s="112"/>
      <c r="E93" s="9"/>
      <c r="F93" s="103"/>
      <c r="G93" s="9"/>
      <c r="H93" s="9"/>
      <c r="I93" s="9"/>
      <c r="J93" s="9"/>
      <c r="K93" s="9"/>
      <c r="L93" s="9"/>
    </row>
    <row r="94" spans="1:12" ht="17.25" x14ac:dyDescent="0.3">
      <c r="A94" s="8"/>
      <c r="B94" s="9"/>
      <c r="C94" s="9"/>
      <c r="D94" s="112"/>
      <c r="E94" s="9"/>
      <c r="F94" s="103"/>
      <c r="G94" s="9"/>
      <c r="H94" s="9"/>
      <c r="I94" s="9"/>
      <c r="J94" s="9"/>
      <c r="K94" s="9"/>
      <c r="L94" s="9"/>
    </row>
    <row r="95" spans="1:12" ht="17.25" x14ac:dyDescent="0.3">
      <c r="A95" s="8"/>
      <c r="B95" s="9"/>
      <c r="C95" s="9"/>
      <c r="D95" s="112"/>
      <c r="E95" s="9"/>
      <c r="F95" s="103"/>
      <c r="G95" s="9"/>
      <c r="H95" s="9"/>
      <c r="I95" s="9"/>
      <c r="J95" s="9"/>
      <c r="K95" s="9"/>
      <c r="L95" s="9"/>
    </row>
    <row r="96" spans="1:12" ht="17.25" x14ac:dyDescent="0.3">
      <c r="A96" s="8"/>
      <c r="B96" s="9"/>
      <c r="C96" s="9"/>
      <c r="D96" s="112"/>
      <c r="E96" s="9"/>
      <c r="F96" s="103"/>
      <c r="G96" s="9"/>
      <c r="H96" s="9"/>
      <c r="I96" s="9"/>
      <c r="J96" s="9"/>
      <c r="K96" s="9"/>
      <c r="L96" s="9"/>
    </row>
    <row r="97" spans="1:12" ht="17.25" x14ac:dyDescent="0.3">
      <c r="A97" s="8"/>
      <c r="B97" s="9"/>
      <c r="C97" s="9"/>
      <c r="D97" s="112"/>
      <c r="E97" s="9"/>
      <c r="F97" s="103"/>
      <c r="G97" s="9"/>
      <c r="H97" s="9"/>
      <c r="I97" s="9"/>
      <c r="J97" s="9"/>
      <c r="K97" s="9"/>
      <c r="L97" s="9"/>
    </row>
    <row r="98" spans="1:12" ht="17.25" x14ac:dyDescent="0.3">
      <c r="A98" s="8"/>
      <c r="B98" s="9"/>
      <c r="C98" s="9"/>
      <c r="D98" s="112"/>
      <c r="E98" s="9"/>
      <c r="F98" s="103"/>
      <c r="G98" s="9"/>
      <c r="H98" s="9"/>
      <c r="I98" s="9"/>
      <c r="J98" s="9"/>
      <c r="K98" s="9"/>
      <c r="L98" s="9"/>
    </row>
    <row r="99" spans="1:12" ht="17.25" x14ac:dyDescent="0.3">
      <c r="A99" s="8"/>
      <c r="B99" s="9"/>
      <c r="C99" s="9"/>
      <c r="D99" s="112"/>
      <c r="E99" s="9"/>
      <c r="F99" s="103"/>
      <c r="G99" s="9"/>
      <c r="H99" s="9"/>
      <c r="I99" s="9"/>
      <c r="J99" s="9"/>
      <c r="K99" s="9"/>
      <c r="L99" s="9"/>
    </row>
    <row r="100" spans="1:12" ht="17.25" x14ac:dyDescent="0.3">
      <c r="A100" s="8"/>
      <c r="B100" s="9"/>
      <c r="C100" s="9"/>
      <c r="D100" s="112"/>
      <c r="E100" s="9"/>
      <c r="F100" s="103"/>
      <c r="G100" s="9"/>
      <c r="H100" s="9"/>
      <c r="I100" s="9"/>
      <c r="J100" s="9"/>
      <c r="K100" s="9"/>
      <c r="L100" s="9"/>
    </row>
    <row r="101" spans="1:12" ht="17.25" x14ac:dyDescent="0.3">
      <c r="A101" s="8"/>
      <c r="B101" s="9"/>
      <c r="C101" s="9"/>
      <c r="D101" s="112"/>
      <c r="E101" s="9"/>
      <c r="F101" s="103"/>
      <c r="G101" s="9"/>
      <c r="H101" s="9"/>
      <c r="I101" s="9"/>
      <c r="J101" s="9"/>
      <c r="K101" s="9"/>
      <c r="L101" s="9"/>
    </row>
    <row r="102" spans="1:12" ht="17.25" x14ac:dyDescent="0.3">
      <c r="A102" s="8"/>
      <c r="B102" s="9"/>
      <c r="C102" s="9"/>
      <c r="D102" s="112"/>
      <c r="E102" s="9"/>
      <c r="F102" s="103"/>
      <c r="G102" s="9"/>
      <c r="H102" s="9"/>
      <c r="I102" s="9"/>
      <c r="J102" s="9"/>
      <c r="K102" s="9"/>
      <c r="L102" s="9"/>
    </row>
    <row r="103" spans="1:12" ht="17.25" x14ac:dyDescent="0.3">
      <c r="A103" s="8"/>
      <c r="B103" s="9"/>
      <c r="C103" s="9"/>
      <c r="D103" s="112"/>
      <c r="E103" s="9"/>
      <c r="F103" s="103"/>
      <c r="G103" s="9"/>
      <c r="H103" s="9"/>
      <c r="I103" s="9"/>
      <c r="J103" s="9"/>
      <c r="K103" s="9"/>
      <c r="L103" s="9"/>
    </row>
    <row r="104" spans="1:12" ht="17.25" x14ac:dyDescent="0.3">
      <c r="A104" s="8"/>
      <c r="B104" s="9"/>
      <c r="C104" s="9"/>
      <c r="D104" s="112"/>
      <c r="E104" s="9"/>
      <c r="F104" s="103"/>
      <c r="G104" s="9"/>
      <c r="H104" s="9"/>
      <c r="I104" s="9"/>
      <c r="J104" s="9"/>
      <c r="K104" s="9"/>
      <c r="L104" s="9"/>
    </row>
    <row r="105" spans="1:12" ht="17.25" x14ac:dyDescent="0.3">
      <c r="A105" s="8"/>
      <c r="B105" s="9"/>
      <c r="C105" s="9"/>
      <c r="D105" s="112"/>
      <c r="E105" s="9"/>
      <c r="F105" s="103"/>
      <c r="G105" s="9"/>
      <c r="H105" s="9"/>
      <c r="I105" s="9"/>
      <c r="J105" s="9"/>
      <c r="K105" s="9"/>
      <c r="L105" s="9"/>
    </row>
    <row r="106" spans="1:12" ht="17.25" x14ac:dyDescent="0.3">
      <c r="A106" s="8"/>
      <c r="B106" s="9"/>
      <c r="C106" s="9"/>
      <c r="D106" s="112"/>
      <c r="E106" s="9"/>
      <c r="F106" s="103"/>
      <c r="G106" s="9"/>
      <c r="H106" s="9"/>
      <c r="I106" s="9"/>
      <c r="J106" s="9"/>
      <c r="K106" s="9"/>
      <c r="L106" s="9"/>
    </row>
    <row r="107" spans="1:12" ht="17.25" x14ac:dyDescent="0.3">
      <c r="A107" s="8"/>
      <c r="B107" s="9"/>
      <c r="C107" s="9"/>
      <c r="D107" s="112"/>
      <c r="E107" s="9"/>
      <c r="F107" s="103"/>
      <c r="G107" s="9"/>
      <c r="H107" s="9"/>
      <c r="I107" s="9"/>
      <c r="J107" s="9"/>
      <c r="K107" s="9"/>
      <c r="L107" s="9"/>
    </row>
    <row r="108" spans="1:12" ht="17.25" x14ac:dyDescent="0.3">
      <c r="A108" s="8"/>
      <c r="B108" s="9"/>
      <c r="C108" s="9"/>
      <c r="D108" s="112"/>
      <c r="E108" s="9"/>
      <c r="F108" s="103"/>
      <c r="G108" s="9"/>
      <c r="H108" s="9"/>
      <c r="I108" s="9"/>
      <c r="J108" s="9"/>
      <c r="K108" s="9"/>
      <c r="L108" s="9"/>
    </row>
    <row r="109" spans="1:12" ht="17.25" x14ac:dyDescent="0.3">
      <c r="A109" s="8"/>
      <c r="B109" s="9"/>
      <c r="C109" s="9"/>
      <c r="D109" s="112"/>
      <c r="E109" s="9"/>
      <c r="F109" s="103"/>
      <c r="G109" s="9"/>
      <c r="H109" s="9"/>
      <c r="I109" s="9"/>
      <c r="J109" s="9"/>
      <c r="K109" s="9"/>
      <c r="L109" s="9"/>
    </row>
    <row r="110" spans="1:12" ht="17.25" x14ac:dyDescent="0.3">
      <c r="A110" s="8"/>
      <c r="B110" s="9"/>
      <c r="C110" s="9"/>
      <c r="D110" s="112"/>
      <c r="E110" s="9"/>
      <c r="F110" s="103"/>
      <c r="G110" s="9"/>
      <c r="H110" s="9"/>
      <c r="I110" s="9"/>
      <c r="J110" s="9"/>
      <c r="K110" s="9"/>
      <c r="L110" s="9"/>
    </row>
    <row r="111" spans="1:12" ht="17.25" x14ac:dyDescent="0.3">
      <c r="A111" s="8"/>
      <c r="B111" s="9"/>
      <c r="C111" s="9"/>
      <c r="D111" s="112"/>
      <c r="E111" s="9"/>
      <c r="F111" s="103"/>
      <c r="G111" s="9"/>
      <c r="H111" s="9"/>
      <c r="I111" s="9"/>
      <c r="J111" s="9"/>
      <c r="K111" s="9"/>
      <c r="L111" s="9"/>
    </row>
    <row r="112" spans="1:12" ht="17.25" x14ac:dyDescent="0.3">
      <c r="A112" s="8"/>
      <c r="B112" s="9"/>
      <c r="C112" s="9"/>
      <c r="D112" s="112"/>
      <c r="E112" s="9"/>
      <c r="F112" s="103"/>
      <c r="G112" s="9"/>
      <c r="H112" s="9"/>
      <c r="I112" s="9"/>
      <c r="J112" s="9"/>
      <c r="K112" s="9"/>
      <c r="L112" s="9"/>
    </row>
    <row r="113" spans="1:12" ht="17.25" x14ac:dyDescent="0.3">
      <c r="A113" s="8"/>
      <c r="B113" s="9"/>
      <c r="C113" s="9"/>
      <c r="D113" s="112"/>
      <c r="E113" s="9"/>
      <c r="F113" s="103"/>
      <c r="G113" s="9"/>
      <c r="H113" s="9"/>
      <c r="I113" s="9"/>
      <c r="J113" s="9"/>
      <c r="K113" s="9"/>
      <c r="L113" s="9"/>
    </row>
    <row r="114" spans="1:12" ht="17.25" x14ac:dyDescent="0.3">
      <c r="A114" s="8"/>
      <c r="B114" s="9"/>
      <c r="C114" s="9"/>
      <c r="D114" s="112"/>
      <c r="E114" s="9"/>
      <c r="F114" s="103"/>
      <c r="G114" s="9"/>
      <c r="H114" s="9"/>
      <c r="I114" s="9"/>
      <c r="J114" s="9"/>
      <c r="K114" s="9"/>
      <c r="L114" s="9"/>
    </row>
    <row r="115" spans="1:12" ht="17.25" x14ac:dyDescent="0.3">
      <c r="A115" s="8"/>
      <c r="B115" s="9"/>
      <c r="C115" s="9"/>
      <c r="D115" s="112"/>
      <c r="E115" s="9"/>
      <c r="F115" s="103"/>
      <c r="G115" s="9"/>
      <c r="H115" s="9"/>
      <c r="I115" s="9"/>
      <c r="J115" s="9"/>
      <c r="K115" s="9"/>
      <c r="L115" s="9"/>
    </row>
    <row r="116" spans="1:12" ht="17.25" x14ac:dyDescent="0.3">
      <c r="A116" s="8"/>
      <c r="B116" s="9"/>
      <c r="C116" s="9"/>
      <c r="D116" s="112"/>
      <c r="E116" s="9"/>
      <c r="F116" s="103"/>
      <c r="G116" s="9"/>
      <c r="H116" s="9"/>
      <c r="I116" s="9"/>
      <c r="J116" s="9"/>
      <c r="K116" s="9"/>
      <c r="L116" s="9"/>
    </row>
  </sheetData>
  <printOptions gridLines="1"/>
  <pageMargins left="0.7" right="0.7" top="0.75" bottom="0.75" header="0.3" footer="0.3"/>
  <pageSetup scale="5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B9BF98-815C-4F45-97E2-7B906B275DA6}">
          <x14:formula1>
            <xm:f>CCDDD!$A$3:$A$324</xm:f>
          </x14:formula1>
          <xm:sqref>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B324"/>
  <sheetViews>
    <sheetView workbookViewId="0">
      <selection activeCell="B176" sqref="B176"/>
    </sheetView>
  </sheetViews>
  <sheetFormatPr defaultRowHeight="15" x14ac:dyDescent="0.25"/>
  <cols>
    <col min="2" max="2" width="36.140625" bestFit="1" customWidth="1"/>
  </cols>
  <sheetData>
    <row r="1" spans="1:2" x14ac:dyDescent="0.25">
      <c r="A1" s="35" t="s">
        <v>612</v>
      </c>
      <c r="B1" s="35" t="s">
        <v>1153</v>
      </c>
    </row>
    <row r="2" spans="1:2" x14ac:dyDescent="0.25">
      <c r="A2" s="2" t="s">
        <v>612</v>
      </c>
      <c r="B2" s="38" t="s">
        <v>1153</v>
      </c>
    </row>
    <row r="3" spans="1:2" x14ac:dyDescent="0.25">
      <c r="A3" s="73" t="s">
        <v>1245</v>
      </c>
      <c r="B3" s="74" t="s">
        <v>1234</v>
      </c>
    </row>
    <row r="4" spans="1:2" x14ac:dyDescent="0.25">
      <c r="A4" s="40" t="s">
        <v>574</v>
      </c>
      <c r="B4" s="40" t="s">
        <v>709</v>
      </c>
    </row>
    <row r="5" spans="1:2" x14ac:dyDescent="0.25">
      <c r="A5" s="40" t="s">
        <v>604</v>
      </c>
      <c r="B5" s="40" t="s">
        <v>710</v>
      </c>
    </row>
    <row r="6" spans="1:2" x14ac:dyDescent="0.25">
      <c r="A6" s="40" t="s">
        <v>134</v>
      </c>
      <c r="B6" s="40" t="s">
        <v>711</v>
      </c>
    </row>
    <row r="7" spans="1:2" x14ac:dyDescent="0.25">
      <c r="A7" s="40" t="s">
        <v>478</v>
      </c>
      <c r="B7" s="40" t="s">
        <v>712</v>
      </c>
    </row>
    <row r="8" spans="1:2" x14ac:dyDescent="0.25">
      <c r="A8" s="40" t="s">
        <v>410</v>
      </c>
      <c r="B8" s="40" t="s">
        <v>713</v>
      </c>
    </row>
    <row r="9" spans="1:2" x14ac:dyDescent="0.25">
      <c r="A9" s="40" t="s">
        <v>196</v>
      </c>
      <c r="B9" s="40" t="s">
        <v>714</v>
      </c>
    </row>
    <row r="10" spans="1:2" x14ac:dyDescent="0.25">
      <c r="A10" s="40" t="s">
        <v>346</v>
      </c>
      <c r="B10" s="40" t="s">
        <v>715</v>
      </c>
    </row>
    <row r="11" spans="1:2" x14ac:dyDescent="0.25">
      <c r="A11" s="40" t="s">
        <v>36</v>
      </c>
      <c r="B11" s="40" t="s">
        <v>716</v>
      </c>
    </row>
    <row r="12" spans="1:2" x14ac:dyDescent="0.25">
      <c r="A12" s="40" t="s">
        <v>510</v>
      </c>
      <c r="B12" s="40" t="s">
        <v>717</v>
      </c>
    </row>
    <row r="13" spans="1:2" x14ac:dyDescent="0.25">
      <c r="A13" s="40" t="s">
        <v>254</v>
      </c>
      <c r="B13" s="40" t="s">
        <v>1004</v>
      </c>
    </row>
    <row r="14" spans="1:2" x14ac:dyDescent="0.25">
      <c r="A14" s="40" t="s">
        <v>308</v>
      </c>
      <c r="B14" s="40" t="s">
        <v>718</v>
      </c>
    </row>
    <row r="15" spans="1:2" x14ac:dyDescent="0.25">
      <c r="A15" s="40" t="s">
        <v>194</v>
      </c>
      <c r="B15" s="40" t="s">
        <v>719</v>
      </c>
    </row>
    <row r="16" spans="1:2" x14ac:dyDescent="0.25">
      <c r="A16" s="40" t="s">
        <v>52</v>
      </c>
      <c r="B16" s="40" t="s">
        <v>720</v>
      </c>
    </row>
    <row r="17" spans="1:2" x14ac:dyDescent="0.25">
      <c r="A17" s="40" t="s">
        <v>344</v>
      </c>
      <c r="B17" s="40" t="s">
        <v>721</v>
      </c>
    </row>
    <row r="18" spans="1:2" x14ac:dyDescent="0.25">
      <c r="A18" s="40" t="s">
        <v>610</v>
      </c>
      <c r="B18" s="40" t="s">
        <v>722</v>
      </c>
    </row>
    <row r="19" spans="1:2" x14ac:dyDescent="0.25">
      <c r="A19" s="40" t="s">
        <v>412</v>
      </c>
      <c r="B19" s="40" t="s">
        <v>723</v>
      </c>
    </row>
    <row r="20" spans="1:2" x14ac:dyDescent="0.25">
      <c r="A20" s="40" t="s">
        <v>252</v>
      </c>
      <c r="B20" s="40" t="s">
        <v>724</v>
      </c>
    </row>
    <row r="21" spans="1:2" x14ac:dyDescent="0.25">
      <c r="A21" s="40" t="s">
        <v>244</v>
      </c>
      <c r="B21" s="40" t="s">
        <v>725</v>
      </c>
    </row>
    <row r="22" spans="1:2" x14ac:dyDescent="0.25">
      <c r="A22" s="40" t="s">
        <v>268</v>
      </c>
      <c r="B22" s="40" t="s">
        <v>726</v>
      </c>
    </row>
    <row r="23" spans="1:2" x14ac:dyDescent="0.25">
      <c r="A23" s="40" t="s">
        <v>86</v>
      </c>
      <c r="B23" s="40" t="s">
        <v>727</v>
      </c>
    </row>
    <row r="24" spans="1:2" x14ac:dyDescent="0.25">
      <c r="A24" s="40" t="s">
        <v>1200</v>
      </c>
      <c r="B24" s="40" t="s">
        <v>1226</v>
      </c>
    </row>
    <row r="25" spans="1:2" x14ac:dyDescent="0.25">
      <c r="A25" s="40" t="s">
        <v>146</v>
      </c>
      <c r="B25" s="40" t="s">
        <v>728</v>
      </c>
    </row>
    <row r="26" spans="1:2" x14ac:dyDescent="0.25">
      <c r="A26" s="40" t="s">
        <v>422</v>
      </c>
      <c r="B26" s="40" t="s">
        <v>729</v>
      </c>
    </row>
    <row r="27" spans="1:2" x14ac:dyDescent="0.25">
      <c r="A27" s="40" t="s">
        <v>188</v>
      </c>
      <c r="B27" s="40" t="s">
        <v>730</v>
      </c>
    </row>
    <row r="28" spans="1:2" x14ac:dyDescent="0.25">
      <c r="A28" s="40" t="s">
        <v>388</v>
      </c>
      <c r="B28" s="40" t="s">
        <v>731</v>
      </c>
    </row>
    <row r="29" spans="1:2" x14ac:dyDescent="0.25">
      <c r="A29" s="40" t="s">
        <v>184</v>
      </c>
      <c r="B29" s="40" t="s">
        <v>732</v>
      </c>
    </row>
    <row r="30" spans="1:2" x14ac:dyDescent="0.25">
      <c r="A30" s="40" t="s">
        <v>556</v>
      </c>
      <c r="B30" s="40" t="s">
        <v>733</v>
      </c>
    </row>
    <row r="31" spans="1:2" x14ac:dyDescent="0.25">
      <c r="A31" s="40" t="s">
        <v>16</v>
      </c>
      <c r="B31" s="40" t="s">
        <v>734</v>
      </c>
    </row>
    <row r="32" spans="1:2" x14ac:dyDescent="0.25">
      <c r="A32" s="40" t="s">
        <v>228</v>
      </c>
      <c r="B32" s="40" t="s">
        <v>735</v>
      </c>
    </row>
    <row r="33" spans="1:2" x14ac:dyDescent="0.25">
      <c r="A33" s="40" t="s">
        <v>240</v>
      </c>
      <c r="B33" s="40" t="s">
        <v>1005</v>
      </c>
    </row>
    <row r="34" spans="1:2" x14ac:dyDescent="0.25">
      <c r="A34" s="40" t="s">
        <v>498</v>
      </c>
      <c r="B34" s="40" t="s">
        <v>736</v>
      </c>
    </row>
    <row r="35" spans="1:2" x14ac:dyDescent="0.25">
      <c r="A35" s="40" t="s">
        <v>174</v>
      </c>
      <c r="B35" s="40" t="s">
        <v>737</v>
      </c>
    </row>
    <row r="36" spans="1:2" x14ac:dyDescent="0.25">
      <c r="A36" s="40" t="s">
        <v>14</v>
      </c>
      <c r="B36" s="40" t="s">
        <v>1006</v>
      </c>
    </row>
    <row r="37" spans="1:2" x14ac:dyDescent="0.25">
      <c r="A37" s="40" t="s">
        <v>88</v>
      </c>
      <c r="B37" s="40" t="s">
        <v>738</v>
      </c>
    </row>
    <row r="38" spans="1:2" x14ac:dyDescent="0.25">
      <c r="A38" s="40" t="s">
        <v>54</v>
      </c>
      <c r="B38" s="40" t="s">
        <v>739</v>
      </c>
    </row>
    <row r="39" spans="1:2" x14ac:dyDescent="0.25">
      <c r="A39" s="40" t="s">
        <v>192</v>
      </c>
      <c r="B39" s="40" t="s">
        <v>740</v>
      </c>
    </row>
    <row r="40" spans="1:2" x14ac:dyDescent="0.25">
      <c r="A40" s="197" t="s">
        <v>1253</v>
      </c>
      <c r="B40" s="197" t="s">
        <v>1264</v>
      </c>
    </row>
    <row r="41" spans="1:2" x14ac:dyDescent="0.25">
      <c r="A41" s="40" t="s">
        <v>402</v>
      </c>
      <c r="B41" s="40" t="s">
        <v>741</v>
      </c>
    </row>
    <row r="42" spans="1:2" x14ac:dyDescent="0.25">
      <c r="A42" s="40" t="s">
        <v>598</v>
      </c>
      <c r="B42" s="40" t="s">
        <v>742</v>
      </c>
    </row>
    <row r="43" spans="1:2" x14ac:dyDescent="0.25">
      <c r="A43" s="40" t="s">
        <v>100</v>
      </c>
      <c r="B43" s="40" t="s">
        <v>743</v>
      </c>
    </row>
    <row r="44" spans="1:2" x14ac:dyDescent="0.25">
      <c r="A44" s="40" t="s">
        <v>348</v>
      </c>
      <c r="B44" s="40" t="s">
        <v>744</v>
      </c>
    </row>
    <row r="45" spans="1:2" x14ac:dyDescent="0.25">
      <c r="A45" s="40" t="s">
        <v>272</v>
      </c>
      <c r="B45" s="40" t="s">
        <v>745</v>
      </c>
    </row>
    <row r="46" spans="1:2" x14ac:dyDescent="0.25">
      <c r="A46" s="40" t="s">
        <v>300</v>
      </c>
      <c r="B46" s="40" t="s">
        <v>746</v>
      </c>
    </row>
    <row r="47" spans="1:2" x14ac:dyDescent="0.25">
      <c r="A47" s="40" t="s">
        <v>204</v>
      </c>
      <c r="B47" s="40" t="s">
        <v>747</v>
      </c>
    </row>
    <row r="48" spans="1:2" x14ac:dyDescent="0.25">
      <c r="A48" s="40" t="s">
        <v>122</v>
      </c>
      <c r="B48" s="40" t="s">
        <v>748</v>
      </c>
    </row>
    <row r="49" spans="1:2" x14ac:dyDescent="0.25">
      <c r="A49" s="40" t="s">
        <v>482</v>
      </c>
      <c r="B49" s="40" t="s">
        <v>749</v>
      </c>
    </row>
    <row r="50" spans="1:2" x14ac:dyDescent="0.25">
      <c r="A50" s="40" t="s">
        <v>316</v>
      </c>
      <c r="B50" s="40" t="s">
        <v>750</v>
      </c>
    </row>
    <row r="51" spans="1:2" x14ac:dyDescent="0.25">
      <c r="A51" s="40" t="s">
        <v>594</v>
      </c>
      <c r="B51" s="40" t="s">
        <v>751</v>
      </c>
    </row>
    <row r="52" spans="1:2" x14ac:dyDescent="0.25">
      <c r="A52" s="40" t="s">
        <v>102</v>
      </c>
      <c r="B52" s="40" t="s">
        <v>752</v>
      </c>
    </row>
    <row r="53" spans="1:2" x14ac:dyDescent="0.25">
      <c r="A53" s="40" t="s">
        <v>524</v>
      </c>
      <c r="B53" s="40" t="s">
        <v>753</v>
      </c>
    </row>
    <row r="54" spans="1:2" x14ac:dyDescent="0.25">
      <c r="A54" s="40" t="s">
        <v>432</v>
      </c>
      <c r="B54" s="40" t="s">
        <v>754</v>
      </c>
    </row>
    <row r="55" spans="1:2" x14ac:dyDescent="0.25">
      <c r="A55" s="40" t="s">
        <v>588</v>
      </c>
      <c r="B55" s="40" t="s">
        <v>755</v>
      </c>
    </row>
    <row r="56" spans="1:2" x14ac:dyDescent="0.25">
      <c r="A56" s="40" t="s">
        <v>488</v>
      </c>
      <c r="B56" s="40" t="s">
        <v>756</v>
      </c>
    </row>
    <row r="57" spans="1:2" x14ac:dyDescent="0.25">
      <c r="A57" s="40" t="s">
        <v>562</v>
      </c>
      <c r="B57" s="40" t="s">
        <v>757</v>
      </c>
    </row>
    <row r="58" spans="1:2" x14ac:dyDescent="0.25">
      <c r="A58" s="40" t="s">
        <v>462</v>
      </c>
      <c r="B58" s="40" t="s">
        <v>758</v>
      </c>
    </row>
    <row r="59" spans="1:2" x14ac:dyDescent="0.25">
      <c r="A59" s="40" t="s">
        <v>408</v>
      </c>
      <c r="B59" s="40" t="s">
        <v>759</v>
      </c>
    </row>
    <row r="60" spans="1:2" x14ac:dyDescent="0.25">
      <c r="A60" s="40" t="s">
        <v>38</v>
      </c>
      <c r="B60" s="40" t="s">
        <v>760</v>
      </c>
    </row>
    <row r="61" spans="1:2" x14ac:dyDescent="0.25">
      <c r="A61" s="40" t="s">
        <v>216</v>
      </c>
      <c r="B61" s="40" t="s">
        <v>761</v>
      </c>
    </row>
    <row r="62" spans="1:2" x14ac:dyDescent="0.25">
      <c r="A62" s="40" t="s">
        <v>606</v>
      </c>
      <c r="B62" s="40" t="s">
        <v>762</v>
      </c>
    </row>
    <row r="63" spans="1:2" x14ac:dyDescent="0.25">
      <c r="A63" s="40" t="s">
        <v>576</v>
      </c>
      <c r="B63" s="40" t="s">
        <v>763</v>
      </c>
    </row>
    <row r="64" spans="1:2" x14ac:dyDescent="0.25">
      <c r="A64" s="40" t="s">
        <v>426</v>
      </c>
      <c r="B64" s="40" t="s">
        <v>764</v>
      </c>
    </row>
    <row r="65" spans="1:2" x14ac:dyDescent="0.25">
      <c r="A65" s="40" t="s">
        <v>206</v>
      </c>
      <c r="B65" s="40" t="s">
        <v>765</v>
      </c>
    </row>
    <row r="66" spans="1:2" x14ac:dyDescent="0.25">
      <c r="A66" s="40" t="s">
        <v>180</v>
      </c>
      <c r="B66" s="40" t="s">
        <v>766</v>
      </c>
    </row>
    <row r="67" spans="1:2" x14ac:dyDescent="0.25">
      <c r="A67" s="40" t="s">
        <v>294</v>
      </c>
      <c r="B67" s="40" t="s">
        <v>767</v>
      </c>
    </row>
    <row r="68" spans="1:2" x14ac:dyDescent="0.25">
      <c r="A68" s="40" t="s">
        <v>472</v>
      </c>
      <c r="B68" s="40" t="s">
        <v>1007</v>
      </c>
    </row>
    <row r="69" spans="1:2" x14ac:dyDescent="0.25">
      <c r="A69" s="40" t="s">
        <v>386</v>
      </c>
      <c r="B69" s="40" t="s">
        <v>768</v>
      </c>
    </row>
    <row r="70" spans="1:2" x14ac:dyDescent="0.25">
      <c r="A70" s="40" t="s">
        <v>234</v>
      </c>
      <c r="B70" s="40" t="s">
        <v>769</v>
      </c>
    </row>
    <row r="71" spans="1:2" x14ac:dyDescent="0.25">
      <c r="A71" s="40" t="s">
        <v>80</v>
      </c>
      <c r="B71" s="40" t="s">
        <v>770</v>
      </c>
    </row>
    <row r="72" spans="1:2" x14ac:dyDescent="0.25">
      <c r="A72" s="40" t="s">
        <v>200</v>
      </c>
      <c r="B72" s="40" t="s">
        <v>771</v>
      </c>
    </row>
    <row r="73" spans="1:2" x14ac:dyDescent="0.25">
      <c r="A73" s="40" t="s">
        <v>506</v>
      </c>
      <c r="B73" s="40" t="s">
        <v>772</v>
      </c>
    </row>
    <row r="74" spans="1:2" x14ac:dyDescent="0.25">
      <c r="A74" s="40" t="s">
        <v>336</v>
      </c>
      <c r="B74" s="40" t="s">
        <v>773</v>
      </c>
    </row>
    <row r="75" spans="1:2" x14ac:dyDescent="0.25">
      <c r="A75" s="40" t="s">
        <v>162</v>
      </c>
      <c r="B75" s="40" t="s">
        <v>774</v>
      </c>
    </row>
    <row r="76" spans="1:2" x14ac:dyDescent="0.25">
      <c r="A76" s="40" t="s">
        <v>238</v>
      </c>
      <c r="B76" s="40" t="s">
        <v>775</v>
      </c>
    </row>
    <row r="77" spans="1:2" x14ac:dyDescent="0.25">
      <c r="A77" s="40" t="s">
        <v>342</v>
      </c>
      <c r="B77" s="40" t="s">
        <v>776</v>
      </c>
    </row>
    <row r="78" spans="1:2" x14ac:dyDescent="0.25">
      <c r="A78" s="40" t="s">
        <v>414</v>
      </c>
      <c r="B78" s="40" t="s">
        <v>1008</v>
      </c>
    </row>
    <row r="79" spans="1:2" x14ac:dyDescent="0.25">
      <c r="A79" s="40" t="s">
        <v>260</v>
      </c>
      <c r="B79" s="40" t="s">
        <v>777</v>
      </c>
    </row>
    <row r="80" spans="1:2" x14ac:dyDescent="0.25">
      <c r="A80" s="40" t="s">
        <v>256</v>
      </c>
      <c r="B80" s="40" t="s">
        <v>778</v>
      </c>
    </row>
    <row r="81" spans="1:2" x14ac:dyDescent="0.25">
      <c r="A81" s="40" t="s">
        <v>490</v>
      </c>
      <c r="B81" s="40" t="s">
        <v>779</v>
      </c>
    </row>
    <row r="82" spans="1:2" x14ac:dyDescent="0.25">
      <c r="A82" s="40" t="s">
        <v>494</v>
      </c>
      <c r="B82" s="40" t="s">
        <v>1009</v>
      </c>
    </row>
    <row r="83" spans="1:2" x14ac:dyDescent="0.25">
      <c r="A83" s="40" t="s">
        <v>502</v>
      </c>
      <c r="B83" s="40" t="s">
        <v>780</v>
      </c>
    </row>
    <row r="84" spans="1:2" x14ac:dyDescent="0.25">
      <c r="A84" s="40" t="s">
        <v>552</v>
      </c>
      <c r="B84" s="40" t="s">
        <v>781</v>
      </c>
    </row>
    <row r="85" spans="1:2" x14ac:dyDescent="0.25">
      <c r="A85" s="40" t="s">
        <v>496</v>
      </c>
      <c r="B85" s="40" t="s">
        <v>782</v>
      </c>
    </row>
    <row r="86" spans="1:2" x14ac:dyDescent="0.25">
      <c r="A86" s="40" t="s">
        <v>362</v>
      </c>
      <c r="B86" s="40" t="s">
        <v>783</v>
      </c>
    </row>
    <row r="87" spans="1:2" x14ac:dyDescent="0.25">
      <c r="A87" s="40" t="s">
        <v>458</v>
      </c>
      <c r="B87" s="40" t="s">
        <v>784</v>
      </c>
    </row>
    <row r="88" spans="1:2" x14ac:dyDescent="0.25">
      <c r="A88" s="40" t="s">
        <v>106</v>
      </c>
      <c r="B88" s="40" t="s">
        <v>785</v>
      </c>
    </row>
    <row r="89" spans="1:2" x14ac:dyDescent="0.25">
      <c r="A89" s="40" t="s">
        <v>292</v>
      </c>
      <c r="B89" s="40" t="s">
        <v>786</v>
      </c>
    </row>
    <row r="90" spans="1:2" x14ac:dyDescent="0.25">
      <c r="A90" s="40" t="s">
        <v>262</v>
      </c>
      <c r="B90" s="40" t="s">
        <v>787</v>
      </c>
    </row>
    <row r="91" spans="1:2" x14ac:dyDescent="0.25">
      <c r="A91" s="40" t="s">
        <v>596</v>
      </c>
      <c r="B91" s="40" t="s">
        <v>788</v>
      </c>
    </row>
    <row r="92" spans="1:2" x14ac:dyDescent="0.25">
      <c r="A92" s="40" t="s">
        <v>566</v>
      </c>
      <c r="B92" s="40" t="s">
        <v>789</v>
      </c>
    </row>
    <row r="93" spans="1:2" x14ac:dyDescent="0.25">
      <c r="A93" s="40" t="s">
        <v>366</v>
      </c>
      <c r="B93" s="40" t="s">
        <v>790</v>
      </c>
    </row>
    <row r="94" spans="1:2" x14ac:dyDescent="0.25">
      <c r="A94" s="40" t="s">
        <v>288</v>
      </c>
      <c r="B94" s="40" t="s">
        <v>791</v>
      </c>
    </row>
    <row r="95" spans="1:2" x14ac:dyDescent="0.25">
      <c r="A95" s="40" t="s">
        <v>278</v>
      </c>
      <c r="B95" s="40" t="s">
        <v>792</v>
      </c>
    </row>
    <row r="96" spans="1:2" x14ac:dyDescent="0.25">
      <c r="A96" s="40" t="s">
        <v>4</v>
      </c>
      <c r="B96" s="40" t="s">
        <v>793</v>
      </c>
    </row>
    <row r="97" spans="1:2" x14ac:dyDescent="0.25">
      <c r="A97" s="40" t="s">
        <v>20</v>
      </c>
      <c r="B97" s="40" t="s">
        <v>794</v>
      </c>
    </row>
    <row r="98" spans="1:2" x14ac:dyDescent="0.25">
      <c r="A98" s="40" t="s">
        <v>142</v>
      </c>
      <c r="B98" s="40" t="s">
        <v>795</v>
      </c>
    </row>
    <row r="99" spans="1:2" x14ac:dyDescent="0.25">
      <c r="A99" s="40" t="s">
        <v>132</v>
      </c>
      <c r="B99" s="40" t="s">
        <v>796</v>
      </c>
    </row>
    <row r="100" spans="1:2" x14ac:dyDescent="0.25">
      <c r="A100" s="40" t="s">
        <v>32</v>
      </c>
      <c r="B100" s="40" t="s">
        <v>797</v>
      </c>
    </row>
    <row r="101" spans="1:2" x14ac:dyDescent="0.25">
      <c r="A101" s="40" t="s">
        <v>242</v>
      </c>
      <c r="B101" s="40" t="s">
        <v>798</v>
      </c>
    </row>
    <row r="102" spans="1:2" x14ac:dyDescent="0.25">
      <c r="A102" s="40" t="s">
        <v>44</v>
      </c>
      <c r="B102" s="40" t="s">
        <v>799</v>
      </c>
    </row>
    <row r="103" spans="1:2" x14ac:dyDescent="0.25">
      <c r="A103" s="40" t="s">
        <v>568</v>
      </c>
      <c r="B103" s="40" t="s">
        <v>800</v>
      </c>
    </row>
    <row r="104" spans="1:2" x14ac:dyDescent="0.25">
      <c r="A104" s="40" t="s">
        <v>28</v>
      </c>
      <c r="B104" s="40" t="s">
        <v>801</v>
      </c>
    </row>
    <row r="105" spans="1:2" x14ac:dyDescent="0.25">
      <c r="A105" s="40" t="s">
        <v>182</v>
      </c>
      <c r="B105" s="40" t="s">
        <v>802</v>
      </c>
    </row>
    <row r="106" spans="1:2" x14ac:dyDescent="0.25">
      <c r="A106" s="40" t="s">
        <v>168</v>
      </c>
      <c r="B106" s="40" t="s">
        <v>803</v>
      </c>
    </row>
    <row r="107" spans="1:2" x14ac:dyDescent="0.25">
      <c r="A107" s="40" t="s">
        <v>42</v>
      </c>
      <c r="B107" s="40" t="s">
        <v>804</v>
      </c>
    </row>
    <row r="108" spans="1:2" x14ac:dyDescent="0.25">
      <c r="A108" s="40" t="s">
        <v>82</v>
      </c>
      <c r="B108" s="40" t="s">
        <v>805</v>
      </c>
    </row>
    <row r="109" spans="1:2" x14ac:dyDescent="0.25">
      <c r="A109" s="40" t="s">
        <v>90</v>
      </c>
      <c r="B109" s="40" t="s">
        <v>806</v>
      </c>
    </row>
    <row r="110" spans="1:2" x14ac:dyDescent="0.25">
      <c r="A110" s="40" t="s">
        <v>26</v>
      </c>
      <c r="B110" s="40" t="s">
        <v>807</v>
      </c>
    </row>
    <row r="111" spans="1:2" x14ac:dyDescent="0.25">
      <c r="A111" s="40" t="s">
        <v>72</v>
      </c>
      <c r="B111" s="40" t="s">
        <v>808</v>
      </c>
    </row>
    <row r="112" spans="1:2" x14ac:dyDescent="0.25">
      <c r="A112" s="40" t="s">
        <v>8</v>
      </c>
      <c r="B112" s="40" t="s">
        <v>809</v>
      </c>
    </row>
    <row r="113" spans="1:2" x14ac:dyDescent="0.25">
      <c r="A113" s="40" t="s">
        <v>12</v>
      </c>
      <c r="B113" s="40" t="s">
        <v>810</v>
      </c>
    </row>
    <row r="114" spans="1:2" x14ac:dyDescent="0.25">
      <c r="A114" s="40" t="s">
        <v>22</v>
      </c>
      <c r="B114" s="40" t="s">
        <v>811</v>
      </c>
    </row>
    <row r="115" spans="1:2" x14ac:dyDescent="0.25">
      <c r="A115" s="43" t="s">
        <v>480</v>
      </c>
      <c r="B115" s="43" t="s">
        <v>1010</v>
      </c>
    </row>
    <row r="116" spans="1:2" x14ac:dyDescent="0.25">
      <c r="A116" s="40" t="s">
        <v>392</v>
      </c>
      <c r="B116" s="40" t="s">
        <v>812</v>
      </c>
    </row>
    <row r="117" spans="1:2" x14ac:dyDescent="0.25">
      <c r="A117" s="44" t="s">
        <v>998</v>
      </c>
      <c r="B117" s="43" t="s">
        <v>1011</v>
      </c>
    </row>
    <row r="118" spans="1:2" x14ac:dyDescent="0.25">
      <c r="A118" s="43" t="s">
        <v>444</v>
      </c>
      <c r="B118" s="43" t="s">
        <v>813</v>
      </c>
    </row>
    <row r="119" spans="1:2" x14ac:dyDescent="0.25">
      <c r="A119" s="44" t="s">
        <v>999</v>
      </c>
      <c r="B119" s="43" t="s">
        <v>1012</v>
      </c>
    </row>
    <row r="120" spans="1:2" x14ac:dyDescent="0.25">
      <c r="A120" s="45" t="s">
        <v>1156</v>
      </c>
      <c r="B120" s="40" t="s">
        <v>1230</v>
      </c>
    </row>
    <row r="121" spans="1:2" x14ac:dyDescent="0.25">
      <c r="A121" s="45" t="s">
        <v>1158</v>
      </c>
      <c r="B121" s="40" t="s">
        <v>1231</v>
      </c>
    </row>
    <row r="122" spans="1:2" x14ac:dyDescent="0.25">
      <c r="A122" s="45" t="s">
        <v>1196</v>
      </c>
      <c r="B122" s="40" t="s">
        <v>1229</v>
      </c>
    </row>
    <row r="123" spans="1:2" x14ac:dyDescent="0.25">
      <c r="A123" s="198" t="s">
        <v>1255</v>
      </c>
      <c r="B123" s="197" t="s">
        <v>1265</v>
      </c>
    </row>
    <row r="124" spans="1:2" x14ac:dyDescent="0.25">
      <c r="A124" s="40" t="s">
        <v>118</v>
      </c>
      <c r="B124" s="40" t="s">
        <v>814</v>
      </c>
    </row>
    <row r="125" spans="1:2" x14ac:dyDescent="0.25">
      <c r="A125" s="40" t="s">
        <v>144</v>
      </c>
      <c r="B125" s="40" t="s">
        <v>1013</v>
      </c>
    </row>
    <row r="126" spans="1:2" x14ac:dyDescent="0.25">
      <c r="A126" s="40" t="s">
        <v>104</v>
      </c>
      <c r="B126" s="40" t="s">
        <v>815</v>
      </c>
    </row>
    <row r="127" spans="1:2" x14ac:dyDescent="0.25">
      <c r="A127" s="40" t="s">
        <v>60</v>
      </c>
      <c r="B127" s="40" t="s">
        <v>816</v>
      </c>
    </row>
    <row r="128" spans="1:2" x14ac:dyDescent="0.25">
      <c r="A128" s="40" t="s">
        <v>68</v>
      </c>
      <c r="B128" s="40" t="s">
        <v>817</v>
      </c>
    </row>
    <row r="129" spans="1:2" x14ac:dyDescent="0.25">
      <c r="A129" s="45" t="s">
        <v>1159</v>
      </c>
      <c r="B129" s="40" t="s">
        <v>1170</v>
      </c>
    </row>
    <row r="130" spans="1:2" x14ac:dyDescent="0.25">
      <c r="A130" s="46" t="s">
        <v>544</v>
      </c>
      <c r="B130" s="1" t="s">
        <v>1014</v>
      </c>
    </row>
    <row r="131" spans="1:2" x14ac:dyDescent="0.25">
      <c r="A131" s="40" t="s">
        <v>580</v>
      </c>
      <c r="B131" s="40" t="s">
        <v>818</v>
      </c>
    </row>
    <row r="132" spans="1:2" x14ac:dyDescent="0.25">
      <c r="A132" s="40" t="s">
        <v>516</v>
      </c>
      <c r="B132" s="40" t="s">
        <v>819</v>
      </c>
    </row>
    <row r="133" spans="1:2" x14ac:dyDescent="0.25">
      <c r="A133" s="40" t="s">
        <v>508</v>
      </c>
      <c r="B133" s="40" t="s">
        <v>820</v>
      </c>
    </row>
    <row r="134" spans="1:2" x14ac:dyDescent="0.25">
      <c r="A134" s="40" t="s">
        <v>166</v>
      </c>
      <c r="B134" s="40" t="s">
        <v>821</v>
      </c>
    </row>
    <row r="135" spans="1:2" x14ac:dyDescent="0.25">
      <c r="A135" s="40" t="s">
        <v>350</v>
      </c>
      <c r="B135" s="40" t="s">
        <v>822</v>
      </c>
    </row>
    <row r="136" spans="1:2" x14ac:dyDescent="0.25">
      <c r="A136" s="40" t="s">
        <v>314</v>
      </c>
      <c r="B136" s="40" t="s">
        <v>823</v>
      </c>
    </row>
    <row r="137" spans="1:2" x14ac:dyDescent="0.25">
      <c r="A137" s="40" t="s">
        <v>538</v>
      </c>
      <c r="B137" s="40" t="s">
        <v>824</v>
      </c>
    </row>
    <row r="138" spans="1:2" x14ac:dyDescent="0.25">
      <c r="A138" s="40" t="s">
        <v>528</v>
      </c>
      <c r="B138" s="40" t="s">
        <v>825</v>
      </c>
    </row>
    <row r="139" spans="1:2" x14ac:dyDescent="0.25">
      <c r="A139" s="40" t="s">
        <v>534</v>
      </c>
      <c r="B139" s="40" t="s">
        <v>826</v>
      </c>
    </row>
    <row r="140" spans="1:2" x14ac:dyDescent="0.25">
      <c r="A140" s="40" t="s">
        <v>460</v>
      </c>
      <c r="B140" s="40" t="s">
        <v>827</v>
      </c>
    </row>
    <row r="141" spans="1:2" x14ac:dyDescent="0.25">
      <c r="A141" s="40" t="s">
        <v>546</v>
      </c>
      <c r="B141" s="40" t="s">
        <v>828</v>
      </c>
    </row>
    <row r="142" spans="1:2" x14ac:dyDescent="0.25">
      <c r="A142" s="40" t="s">
        <v>548</v>
      </c>
      <c r="B142" s="40" t="s">
        <v>829</v>
      </c>
    </row>
    <row r="143" spans="1:2" x14ac:dyDescent="0.25">
      <c r="A143" s="40" t="s">
        <v>592</v>
      </c>
      <c r="B143" s="40" t="s">
        <v>830</v>
      </c>
    </row>
    <row r="144" spans="1:2" x14ac:dyDescent="0.25">
      <c r="A144" s="40" t="s">
        <v>304</v>
      </c>
      <c r="B144" s="40" t="s">
        <v>831</v>
      </c>
    </row>
    <row r="145" spans="1:2" x14ac:dyDescent="0.25">
      <c r="A145" s="40" t="s">
        <v>274</v>
      </c>
      <c r="B145" s="40" t="s">
        <v>832</v>
      </c>
    </row>
    <row r="146" spans="1:2" x14ac:dyDescent="0.25">
      <c r="A146" s="40" t="s">
        <v>456</v>
      </c>
      <c r="B146" s="40" t="s">
        <v>833</v>
      </c>
    </row>
    <row r="147" spans="1:2" x14ac:dyDescent="0.25">
      <c r="A147" s="40" t="s">
        <v>322</v>
      </c>
      <c r="B147" s="40" t="s">
        <v>834</v>
      </c>
    </row>
    <row r="148" spans="1:2" x14ac:dyDescent="0.25">
      <c r="A148" s="40" t="s">
        <v>570</v>
      </c>
      <c r="B148" s="40" t="s">
        <v>835</v>
      </c>
    </row>
    <row r="149" spans="1:2" x14ac:dyDescent="0.25">
      <c r="A149" s="40" t="s">
        <v>384</v>
      </c>
      <c r="B149" s="40" t="s">
        <v>836</v>
      </c>
    </row>
    <row r="150" spans="1:2" x14ac:dyDescent="0.25">
      <c r="A150" s="40" t="s">
        <v>420</v>
      </c>
      <c r="B150" s="40" t="s">
        <v>837</v>
      </c>
    </row>
    <row r="151" spans="1:2" x14ac:dyDescent="0.25">
      <c r="A151" s="40" t="s">
        <v>354</v>
      </c>
      <c r="B151" s="40" t="s">
        <v>838</v>
      </c>
    </row>
    <row r="152" spans="1:2" x14ac:dyDescent="0.25">
      <c r="A152" s="40" t="s">
        <v>340</v>
      </c>
      <c r="B152" s="40" t="s">
        <v>839</v>
      </c>
    </row>
    <row r="153" spans="1:2" x14ac:dyDescent="0.25">
      <c r="A153" s="40" t="s">
        <v>526</v>
      </c>
      <c r="B153" s="40" t="s">
        <v>840</v>
      </c>
    </row>
    <row r="154" spans="1:2" x14ac:dyDescent="0.25">
      <c r="A154" s="40" t="s">
        <v>330</v>
      </c>
      <c r="B154" s="40" t="s">
        <v>841</v>
      </c>
    </row>
    <row r="155" spans="1:2" x14ac:dyDescent="0.25">
      <c r="A155" s="40" t="s">
        <v>324</v>
      </c>
      <c r="B155" s="40" t="s">
        <v>842</v>
      </c>
    </row>
    <row r="156" spans="1:2" x14ac:dyDescent="0.25">
      <c r="A156" s="40" t="s">
        <v>436</v>
      </c>
      <c r="B156" s="40" t="s">
        <v>843</v>
      </c>
    </row>
    <row r="157" spans="1:2" x14ac:dyDescent="0.25">
      <c r="A157" s="40" t="s">
        <v>178</v>
      </c>
      <c r="B157" s="40" t="s">
        <v>844</v>
      </c>
    </row>
    <row r="158" spans="1:2" x14ac:dyDescent="0.25">
      <c r="A158" s="40" t="s">
        <v>400</v>
      </c>
      <c r="B158" s="40" t="s">
        <v>845</v>
      </c>
    </row>
    <row r="159" spans="1:2" x14ac:dyDescent="0.25">
      <c r="A159" s="40" t="s">
        <v>158</v>
      </c>
      <c r="B159" s="40" t="s">
        <v>846</v>
      </c>
    </row>
    <row r="160" spans="1:2" x14ac:dyDescent="0.25">
      <c r="A160" s="40" t="s">
        <v>550</v>
      </c>
      <c r="B160" s="40" t="s">
        <v>847</v>
      </c>
    </row>
    <row r="161" spans="1:2" x14ac:dyDescent="0.25">
      <c r="A161" s="40" t="s">
        <v>376</v>
      </c>
      <c r="B161" s="40" t="s">
        <v>1015</v>
      </c>
    </row>
    <row r="162" spans="1:2" x14ac:dyDescent="0.25">
      <c r="A162" s="40" t="s">
        <v>542</v>
      </c>
      <c r="B162" s="40" t="s">
        <v>848</v>
      </c>
    </row>
    <row r="163" spans="1:2" x14ac:dyDescent="0.25">
      <c r="A163" s="40" t="s">
        <v>530</v>
      </c>
      <c r="B163" s="40" t="s">
        <v>849</v>
      </c>
    </row>
    <row r="164" spans="1:2" x14ac:dyDescent="0.25">
      <c r="A164" s="40" t="s">
        <v>446</v>
      </c>
      <c r="B164" s="40" t="s">
        <v>850</v>
      </c>
    </row>
    <row r="165" spans="1:2" x14ac:dyDescent="0.25">
      <c r="A165" s="40" t="s">
        <v>438</v>
      </c>
      <c r="B165" s="40" t="s">
        <v>851</v>
      </c>
    </row>
    <row r="166" spans="1:2" x14ac:dyDescent="0.25">
      <c r="A166" s="40" t="s">
        <v>518</v>
      </c>
      <c r="B166" s="40" t="s">
        <v>852</v>
      </c>
    </row>
    <row r="167" spans="1:2" x14ac:dyDescent="0.25">
      <c r="A167" s="40" t="s">
        <v>368</v>
      </c>
      <c r="B167" s="40" t="s">
        <v>853</v>
      </c>
    </row>
    <row r="168" spans="1:2" x14ac:dyDescent="0.25">
      <c r="A168" s="40" t="s">
        <v>464</v>
      </c>
      <c r="B168" s="40" t="s">
        <v>854</v>
      </c>
    </row>
    <row r="169" spans="1:2" x14ac:dyDescent="0.25">
      <c r="A169" s="40" t="s">
        <v>466</v>
      </c>
      <c r="B169" s="40" t="s">
        <v>855</v>
      </c>
    </row>
    <row r="170" spans="1:2" x14ac:dyDescent="0.25">
      <c r="A170" s="40" t="s">
        <v>130</v>
      </c>
      <c r="B170" s="40" t="s">
        <v>856</v>
      </c>
    </row>
    <row r="171" spans="1:2" x14ac:dyDescent="0.25">
      <c r="A171" s="40" t="s">
        <v>374</v>
      </c>
      <c r="B171" s="40" t="s">
        <v>1016</v>
      </c>
    </row>
    <row r="172" spans="1:2" x14ac:dyDescent="0.25">
      <c r="A172" s="40" t="s">
        <v>334</v>
      </c>
      <c r="B172" s="40" t="s">
        <v>857</v>
      </c>
    </row>
    <row r="173" spans="1:2" x14ac:dyDescent="0.25">
      <c r="A173" s="40" t="s">
        <v>214</v>
      </c>
      <c r="B173" s="40" t="s">
        <v>858</v>
      </c>
    </row>
    <row r="174" spans="1:2" x14ac:dyDescent="0.25">
      <c r="A174" s="40" t="s">
        <v>424</v>
      </c>
      <c r="B174" s="40" t="s">
        <v>859</v>
      </c>
    </row>
    <row r="175" spans="1:2" x14ac:dyDescent="0.25">
      <c r="A175" s="40" t="s">
        <v>512</v>
      </c>
      <c r="B175" s="40" t="s">
        <v>860</v>
      </c>
    </row>
    <row r="176" spans="1:2" x14ac:dyDescent="0.25">
      <c r="A176" s="40" t="s">
        <v>120</v>
      </c>
      <c r="B176" s="40" t="s">
        <v>861</v>
      </c>
    </row>
    <row r="177" spans="1:2" x14ac:dyDescent="0.25">
      <c r="A177" s="40" t="s">
        <v>284</v>
      </c>
      <c r="B177" s="40" t="s">
        <v>862</v>
      </c>
    </row>
    <row r="178" spans="1:2" x14ac:dyDescent="0.25">
      <c r="A178" s="40" t="s">
        <v>296</v>
      </c>
      <c r="B178" s="40" t="s">
        <v>863</v>
      </c>
    </row>
    <row r="179" spans="1:2" x14ac:dyDescent="0.25">
      <c r="A179" s="40" t="s">
        <v>428</v>
      </c>
      <c r="B179" s="40" t="s">
        <v>864</v>
      </c>
    </row>
    <row r="180" spans="1:2" x14ac:dyDescent="0.25">
      <c r="A180" s="40" t="s">
        <v>360</v>
      </c>
      <c r="B180" s="40" t="s">
        <v>865</v>
      </c>
    </row>
    <row r="181" spans="1:2" x14ac:dyDescent="0.25">
      <c r="A181" s="40" t="s">
        <v>282</v>
      </c>
      <c r="B181" s="40" t="s">
        <v>866</v>
      </c>
    </row>
    <row r="182" spans="1:2" x14ac:dyDescent="0.25">
      <c r="A182" s="40" t="s">
        <v>372</v>
      </c>
      <c r="B182" s="40" t="s">
        <v>867</v>
      </c>
    </row>
    <row r="183" spans="1:2" x14ac:dyDescent="0.25">
      <c r="A183" s="197" t="s">
        <v>1257</v>
      </c>
      <c r="B183" s="197" t="s">
        <v>1266</v>
      </c>
    </row>
    <row r="184" spans="1:2" x14ac:dyDescent="0.25">
      <c r="A184" s="40" t="s">
        <v>290</v>
      </c>
      <c r="B184" s="40" t="s">
        <v>868</v>
      </c>
    </row>
    <row r="185" spans="1:2" x14ac:dyDescent="0.25">
      <c r="A185" s="40" t="s">
        <v>364</v>
      </c>
      <c r="B185" s="40" t="s">
        <v>869</v>
      </c>
    </row>
    <row r="186" spans="1:2" x14ac:dyDescent="0.25">
      <c r="A186" s="40" t="s">
        <v>358</v>
      </c>
      <c r="B186" s="40" t="s">
        <v>870</v>
      </c>
    </row>
    <row r="187" spans="1:2" x14ac:dyDescent="0.25">
      <c r="A187" s="40" t="s">
        <v>394</v>
      </c>
      <c r="B187" s="40" t="s">
        <v>1017</v>
      </c>
    </row>
    <row r="188" spans="1:2" x14ac:dyDescent="0.25">
      <c r="A188" s="40" t="s">
        <v>418</v>
      </c>
      <c r="B188" s="40" t="s">
        <v>871</v>
      </c>
    </row>
    <row r="189" spans="1:2" x14ac:dyDescent="0.25">
      <c r="A189" s="40" t="s">
        <v>558</v>
      </c>
      <c r="B189" s="40" t="s">
        <v>872</v>
      </c>
    </row>
    <row r="190" spans="1:2" x14ac:dyDescent="0.25">
      <c r="A190" s="40" t="s">
        <v>286</v>
      </c>
      <c r="B190" s="40" t="s">
        <v>873</v>
      </c>
    </row>
    <row r="191" spans="1:2" x14ac:dyDescent="0.25">
      <c r="A191" s="40" t="s">
        <v>452</v>
      </c>
      <c r="B191" s="40" t="s">
        <v>874</v>
      </c>
    </row>
    <row r="192" spans="1:2" x14ac:dyDescent="0.25">
      <c r="A192" s="40" t="s">
        <v>440</v>
      </c>
      <c r="B192" s="40" t="s">
        <v>875</v>
      </c>
    </row>
    <row r="193" spans="1:2" x14ac:dyDescent="0.25">
      <c r="A193" s="40" t="s">
        <v>170</v>
      </c>
      <c r="B193" s="40" t="s">
        <v>876</v>
      </c>
    </row>
    <row r="194" spans="1:2" x14ac:dyDescent="0.25">
      <c r="A194" s="40" t="s">
        <v>18</v>
      </c>
      <c r="B194" s="40" t="s">
        <v>877</v>
      </c>
    </row>
    <row r="195" spans="1:2" x14ac:dyDescent="0.25">
      <c r="A195" s="40" t="s">
        <v>10</v>
      </c>
      <c r="B195" s="40" t="s">
        <v>878</v>
      </c>
    </row>
    <row r="196" spans="1:2" x14ac:dyDescent="0.25">
      <c r="A196" s="40" t="s">
        <v>484</v>
      </c>
      <c r="B196" s="40" t="s">
        <v>879</v>
      </c>
    </row>
    <row r="197" spans="1:2" x14ac:dyDescent="0.25">
      <c r="A197" s="40" t="s">
        <v>112</v>
      </c>
      <c r="B197" s="40" t="s">
        <v>880</v>
      </c>
    </row>
    <row r="198" spans="1:2" x14ac:dyDescent="0.25">
      <c r="A198" s="40" t="s">
        <v>74</v>
      </c>
      <c r="B198" s="40" t="s">
        <v>881</v>
      </c>
    </row>
    <row r="199" spans="1:2" x14ac:dyDescent="0.25">
      <c r="A199" s="40" t="s">
        <v>248</v>
      </c>
      <c r="B199" s="40" t="s">
        <v>882</v>
      </c>
    </row>
    <row r="200" spans="1:2" x14ac:dyDescent="0.25">
      <c r="A200" s="40" t="s">
        <v>198</v>
      </c>
      <c r="B200" s="40" t="s">
        <v>883</v>
      </c>
    </row>
    <row r="201" spans="1:2" x14ac:dyDescent="0.25">
      <c r="A201" s="40" t="s">
        <v>56</v>
      </c>
      <c r="B201" s="40" t="s">
        <v>884</v>
      </c>
    </row>
    <row r="202" spans="1:2" x14ac:dyDescent="0.25">
      <c r="A202" s="40" t="s">
        <v>76</v>
      </c>
      <c r="B202" s="40" t="s">
        <v>885</v>
      </c>
    </row>
    <row r="203" spans="1:2" x14ac:dyDescent="0.25">
      <c r="A203" s="40" t="s">
        <v>84</v>
      </c>
      <c r="B203" s="40" t="s">
        <v>886</v>
      </c>
    </row>
    <row r="204" spans="1:2" x14ac:dyDescent="0.25">
      <c r="A204" s="40" t="s">
        <v>34</v>
      </c>
      <c r="B204" s="40" t="s">
        <v>887</v>
      </c>
    </row>
    <row r="205" spans="1:2" x14ac:dyDescent="0.25">
      <c r="A205" s="40" t="s">
        <v>222</v>
      </c>
      <c r="B205" s="40" t="s">
        <v>888</v>
      </c>
    </row>
    <row r="206" spans="1:2" x14ac:dyDescent="0.25">
      <c r="A206" s="40" t="s">
        <v>156</v>
      </c>
      <c r="B206" s="40" t="s">
        <v>889</v>
      </c>
    </row>
    <row r="207" spans="1:2" x14ac:dyDescent="0.25">
      <c r="A207" s="40" t="s">
        <v>152</v>
      </c>
      <c r="B207" s="40" t="s">
        <v>890</v>
      </c>
    </row>
    <row r="208" spans="1:2" x14ac:dyDescent="0.25">
      <c r="A208" s="45" t="s">
        <v>1154</v>
      </c>
      <c r="B208" s="40" t="s">
        <v>1163</v>
      </c>
    </row>
    <row r="209" spans="1:2" x14ac:dyDescent="0.25">
      <c r="A209" s="45" t="s">
        <v>1193</v>
      </c>
      <c r="B209" s="40" t="s">
        <v>1225</v>
      </c>
    </row>
    <row r="210" spans="1:2" x14ac:dyDescent="0.25">
      <c r="A210" s="43" t="s">
        <v>514</v>
      </c>
      <c r="B210" s="43" t="s">
        <v>1018</v>
      </c>
    </row>
    <row r="211" spans="1:2" x14ac:dyDescent="0.25">
      <c r="A211" s="40" t="s">
        <v>608</v>
      </c>
      <c r="B211" s="40" t="s">
        <v>891</v>
      </c>
    </row>
    <row r="212" spans="1:2" x14ac:dyDescent="0.25">
      <c r="A212" s="40" t="s">
        <v>328</v>
      </c>
      <c r="B212" s="40" t="s">
        <v>1019</v>
      </c>
    </row>
    <row r="213" spans="1:2" x14ac:dyDescent="0.25">
      <c r="A213" s="40" t="s">
        <v>450</v>
      </c>
      <c r="B213" s="40" t="s">
        <v>1020</v>
      </c>
    </row>
    <row r="214" spans="1:2" x14ac:dyDescent="0.25">
      <c r="A214" s="40" t="s">
        <v>320</v>
      </c>
      <c r="B214" s="40" t="s">
        <v>892</v>
      </c>
    </row>
    <row r="215" spans="1:2" x14ac:dyDescent="0.25">
      <c r="A215" s="40" t="s">
        <v>380</v>
      </c>
      <c r="B215" s="40" t="s">
        <v>893</v>
      </c>
    </row>
    <row r="216" spans="1:2" x14ac:dyDescent="0.25">
      <c r="A216" s="40" t="s">
        <v>154</v>
      </c>
      <c r="B216" s="40" t="s">
        <v>1021</v>
      </c>
    </row>
    <row r="217" spans="1:2" x14ac:dyDescent="0.25">
      <c r="A217" s="40" t="s">
        <v>136</v>
      </c>
      <c r="B217" s="40" t="s">
        <v>894</v>
      </c>
    </row>
    <row r="218" spans="1:2" x14ac:dyDescent="0.25">
      <c r="A218" s="40" t="s">
        <v>190</v>
      </c>
      <c r="B218" s="40" t="s">
        <v>895</v>
      </c>
    </row>
    <row r="219" spans="1:2" x14ac:dyDescent="0.25">
      <c r="A219" s="40" t="s">
        <v>378</v>
      </c>
      <c r="B219" s="40" t="s">
        <v>896</v>
      </c>
    </row>
    <row r="220" spans="1:2" x14ac:dyDescent="0.25">
      <c r="A220" s="40" t="s">
        <v>396</v>
      </c>
      <c r="B220" s="40" t="s">
        <v>897</v>
      </c>
    </row>
    <row r="221" spans="1:2" x14ac:dyDescent="0.25">
      <c r="A221" s="40" t="s">
        <v>94</v>
      </c>
      <c r="B221" s="40" t="s">
        <v>898</v>
      </c>
    </row>
    <row r="222" spans="1:2" x14ac:dyDescent="0.25">
      <c r="A222" s="49" t="s">
        <v>536</v>
      </c>
      <c r="B222" s="49" t="s">
        <v>899</v>
      </c>
    </row>
    <row r="223" spans="1:2" x14ac:dyDescent="0.25">
      <c r="A223" s="49" t="s">
        <v>560</v>
      </c>
      <c r="B223" s="49" t="s">
        <v>900</v>
      </c>
    </row>
    <row r="224" spans="1:2" x14ac:dyDescent="0.25">
      <c r="A224" s="49" t="s">
        <v>600</v>
      </c>
      <c r="B224" s="49" t="s">
        <v>901</v>
      </c>
    </row>
    <row r="225" spans="1:2" x14ac:dyDescent="0.25">
      <c r="A225" s="49" t="s">
        <v>306</v>
      </c>
      <c r="B225" s="49" t="s">
        <v>902</v>
      </c>
    </row>
    <row r="226" spans="1:2" x14ac:dyDescent="0.25">
      <c r="A226" s="40" t="s">
        <v>30</v>
      </c>
      <c r="B226" s="40" t="s">
        <v>903</v>
      </c>
    </row>
    <row r="227" spans="1:2" x14ac:dyDescent="0.25">
      <c r="A227" s="40" t="s">
        <v>78</v>
      </c>
      <c r="B227" s="40" t="s">
        <v>904</v>
      </c>
    </row>
    <row r="228" spans="1:2" x14ac:dyDescent="0.25">
      <c r="A228" s="40" t="s">
        <v>46</v>
      </c>
      <c r="B228" s="40" t="s">
        <v>905</v>
      </c>
    </row>
    <row r="229" spans="1:2" x14ac:dyDescent="0.25">
      <c r="A229" s="40" t="s">
        <v>24</v>
      </c>
      <c r="B229" s="40" t="s">
        <v>906</v>
      </c>
    </row>
    <row r="230" spans="1:2" x14ac:dyDescent="0.25">
      <c r="A230" s="40" t="s">
        <v>114</v>
      </c>
      <c r="B230" s="40" t="s">
        <v>907</v>
      </c>
    </row>
    <row r="231" spans="1:2" x14ac:dyDescent="0.25">
      <c r="A231" s="40" t="s">
        <v>62</v>
      </c>
      <c r="B231" s="40" t="s">
        <v>908</v>
      </c>
    </row>
    <row r="232" spans="1:2" x14ac:dyDescent="0.25">
      <c r="A232" s="40" t="s">
        <v>582</v>
      </c>
      <c r="B232" s="40" t="s">
        <v>909</v>
      </c>
    </row>
    <row r="233" spans="1:2" x14ac:dyDescent="0.25">
      <c r="A233" s="40" t="s">
        <v>96</v>
      </c>
      <c r="B233" s="40" t="s">
        <v>910</v>
      </c>
    </row>
    <row r="234" spans="1:2" x14ac:dyDescent="0.25">
      <c r="A234" s="40" t="s">
        <v>64</v>
      </c>
      <c r="B234" s="40" t="s">
        <v>911</v>
      </c>
    </row>
    <row r="235" spans="1:2" x14ac:dyDescent="0.25">
      <c r="A235" s="40" t="s">
        <v>208</v>
      </c>
      <c r="B235" s="40" t="s">
        <v>912</v>
      </c>
    </row>
    <row r="236" spans="1:2" x14ac:dyDescent="0.25">
      <c r="A236" s="40" t="s">
        <v>220</v>
      </c>
      <c r="B236" s="40" t="s">
        <v>913</v>
      </c>
    </row>
    <row r="237" spans="1:2" x14ac:dyDescent="0.25">
      <c r="A237" s="40" t="s">
        <v>406</v>
      </c>
      <c r="B237" s="40" t="s">
        <v>914</v>
      </c>
    </row>
    <row r="238" spans="1:2" x14ac:dyDescent="0.25">
      <c r="A238" s="40" t="s">
        <v>218</v>
      </c>
      <c r="B238" s="40" t="s">
        <v>915</v>
      </c>
    </row>
    <row r="239" spans="1:2" x14ac:dyDescent="0.25">
      <c r="A239" s="40" t="s">
        <v>128</v>
      </c>
      <c r="B239" s="40" t="s">
        <v>916</v>
      </c>
    </row>
    <row r="240" spans="1:2" x14ac:dyDescent="0.25">
      <c r="A240" s="40" t="s">
        <v>6</v>
      </c>
      <c r="B240" s="40" t="s">
        <v>917</v>
      </c>
    </row>
    <row r="241" spans="1:2" x14ac:dyDescent="0.25">
      <c r="A241" s="40" t="s">
        <v>540</v>
      </c>
      <c r="B241" s="40" t="s">
        <v>918</v>
      </c>
    </row>
    <row r="242" spans="1:2" x14ac:dyDescent="0.25">
      <c r="A242" s="40" t="s">
        <v>572</v>
      </c>
      <c r="B242" s="40" t="s">
        <v>919</v>
      </c>
    </row>
    <row r="243" spans="1:2" x14ac:dyDescent="0.25">
      <c r="A243" s="40" t="s">
        <v>258</v>
      </c>
      <c r="B243" s="40" t="s">
        <v>920</v>
      </c>
    </row>
    <row r="244" spans="1:2" x14ac:dyDescent="0.25">
      <c r="A244" s="40" t="s">
        <v>226</v>
      </c>
      <c r="B244" s="40" t="s">
        <v>921</v>
      </c>
    </row>
    <row r="245" spans="1:2" x14ac:dyDescent="0.25">
      <c r="A245" s="40" t="s">
        <v>70</v>
      </c>
      <c r="B245" s="40" t="s">
        <v>922</v>
      </c>
    </row>
    <row r="246" spans="1:2" x14ac:dyDescent="0.25">
      <c r="A246" s="40" t="s">
        <v>50</v>
      </c>
      <c r="B246" s="40" t="s">
        <v>923</v>
      </c>
    </row>
    <row r="247" spans="1:2" x14ac:dyDescent="0.25">
      <c r="A247" s="40" t="s">
        <v>312</v>
      </c>
      <c r="B247" s="40" t="s">
        <v>924</v>
      </c>
    </row>
    <row r="248" spans="1:2" x14ac:dyDescent="0.25">
      <c r="A248" s="40" t="s">
        <v>126</v>
      </c>
      <c r="B248" s="40" t="s">
        <v>925</v>
      </c>
    </row>
    <row r="249" spans="1:2" x14ac:dyDescent="0.25">
      <c r="A249" s="40" t="s">
        <v>140</v>
      </c>
      <c r="B249" s="40" t="s">
        <v>1022</v>
      </c>
    </row>
    <row r="250" spans="1:2" x14ac:dyDescent="0.25">
      <c r="A250" s="40" t="s">
        <v>390</v>
      </c>
      <c r="B250" s="40" t="s">
        <v>926</v>
      </c>
    </row>
    <row r="251" spans="1:2" x14ac:dyDescent="0.25">
      <c r="A251" s="40" t="s">
        <v>150</v>
      </c>
      <c r="B251" s="40" t="s">
        <v>1023</v>
      </c>
    </row>
    <row r="252" spans="1:2" x14ac:dyDescent="0.25">
      <c r="A252" s="40" t="s">
        <v>202</v>
      </c>
      <c r="B252" s="40" t="s">
        <v>927</v>
      </c>
    </row>
    <row r="253" spans="1:2" x14ac:dyDescent="0.25">
      <c r="A253" s="40" t="s">
        <v>250</v>
      </c>
      <c r="B253" s="40" t="s">
        <v>928</v>
      </c>
    </row>
    <row r="254" spans="1:2" x14ac:dyDescent="0.25">
      <c r="A254" s="43" t="s">
        <v>442</v>
      </c>
      <c r="B254" s="43" t="s">
        <v>929</v>
      </c>
    </row>
    <row r="255" spans="1:2" x14ac:dyDescent="0.25">
      <c r="A255" s="45" t="s">
        <v>1160</v>
      </c>
      <c r="B255" s="40" t="s">
        <v>1172</v>
      </c>
    </row>
    <row r="256" spans="1:2" x14ac:dyDescent="0.25">
      <c r="A256" s="43" t="s">
        <v>448</v>
      </c>
      <c r="B256" s="43" t="s">
        <v>930</v>
      </c>
    </row>
    <row r="257" spans="1:2" x14ac:dyDescent="0.25">
      <c r="A257" s="40" t="s">
        <v>578</v>
      </c>
      <c r="B257" s="40" t="s">
        <v>931</v>
      </c>
    </row>
    <row r="258" spans="1:2" x14ac:dyDescent="0.25">
      <c r="A258" s="43" t="s">
        <v>326</v>
      </c>
      <c r="B258" s="40" t="s">
        <v>932</v>
      </c>
    </row>
    <row r="259" spans="1:2" x14ac:dyDescent="0.25">
      <c r="A259" s="40" t="s">
        <v>404</v>
      </c>
      <c r="B259" s="40" t="s">
        <v>933</v>
      </c>
    </row>
    <row r="260" spans="1:2" x14ac:dyDescent="0.25">
      <c r="A260" s="40" t="s">
        <v>338</v>
      </c>
      <c r="B260" s="40" t="s">
        <v>934</v>
      </c>
    </row>
    <row r="261" spans="1:2" x14ac:dyDescent="0.25">
      <c r="A261" s="40" t="s">
        <v>230</v>
      </c>
      <c r="B261" s="40" t="s">
        <v>935</v>
      </c>
    </row>
    <row r="262" spans="1:2" x14ac:dyDescent="0.25">
      <c r="A262" s="40" t="s">
        <v>474</v>
      </c>
      <c r="B262" s="40" t="s">
        <v>936</v>
      </c>
    </row>
    <row r="263" spans="1:2" x14ac:dyDescent="0.25">
      <c r="A263" s="40" t="s">
        <v>554</v>
      </c>
      <c r="B263" s="40" t="s">
        <v>937</v>
      </c>
    </row>
    <row r="264" spans="1:2" x14ac:dyDescent="0.25">
      <c r="A264" s="40" t="s">
        <v>590</v>
      </c>
      <c r="B264" s="40" t="s">
        <v>1006</v>
      </c>
    </row>
    <row r="265" spans="1:2" x14ac:dyDescent="0.25">
      <c r="A265" s="40" t="s">
        <v>500</v>
      </c>
      <c r="B265" s="40" t="s">
        <v>1024</v>
      </c>
    </row>
    <row r="266" spans="1:2" x14ac:dyDescent="0.25">
      <c r="A266" s="40" t="s">
        <v>382</v>
      </c>
      <c r="B266" s="40" t="s">
        <v>938</v>
      </c>
    </row>
    <row r="267" spans="1:2" x14ac:dyDescent="0.25">
      <c r="A267" s="40" t="s">
        <v>454</v>
      </c>
      <c r="B267" s="40" t="s">
        <v>939</v>
      </c>
    </row>
    <row r="268" spans="1:2" x14ac:dyDescent="0.25">
      <c r="A268" s="40" t="s">
        <v>298</v>
      </c>
      <c r="B268" s="40" t="s">
        <v>940</v>
      </c>
    </row>
    <row r="269" spans="1:2" x14ac:dyDescent="0.25">
      <c r="A269" s="40" t="s">
        <v>110</v>
      </c>
      <c r="B269" s="40" t="s">
        <v>1025</v>
      </c>
    </row>
    <row r="270" spans="1:2" x14ac:dyDescent="0.25">
      <c r="A270" s="40" t="s">
        <v>48</v>
      </c>
      <c r="B270" s="40" t="s">
        <v>941</v>
      </c>
    </row>
    <row r="271" spans="1:2" x14ac:dyDescent="0.25">
      <c r="A271" s="40" t="s">
        <v>92</v>
      </c>
      <c r="B271" s="40" t="s">
        <v>942</v>
      </c>
    </row>
    <row r="272" spans="1:2" x14ac:dyDescent="0.25">
      <c r="A272" s="40" t="s">
        <v>66</v>
      </c>
      <c r="B272" s="40" t="s">
        <v>943</v>
      </c>
    </row>
    <row r="273" spans="1:2" x14ac:dyDescent="0.25">
      <c r="A273" s="40" t="s">
        <v>318</v>
      </c>
      <c r="B273" s="40" t="s">
        <v>944</v>
      </c>
    </row>
    <row r="274" spans="1:2" x14ac:dyDescent="0.25">
      <c r="A274" s="40" t="s">
        <v>352</v>
      </c>
      <c r="B274" s="40" t="s">
        <v>945</v>
      </c>
    </row>
    <row r="275" spans="1:2" x14ac:dyDescent="0.25">
      <c r="A275" s="40" t="s">
        <v>210</v>
      </c>
      <c r="B275" s="40" t="s">
        <v>946</v>
      </c>
    </row>
    <row r="276" spans="1:2" x14ac:dyDescent="0.25">
      <c r="A276" s="40" t="s">
        <v>276</v>
      </c>
      <c r="B276" s="40" t="s">
        <v>947</v>
      </c>
    </row>
    <row r="277" spans="1:2" x14ac:dyDescent="0.25">
      <c r="A277" s="43" t="s">
        <v>1000</v>
      </c>
      <c r="B277" s="43" t="s">
        <v>1164</v>
      </c>
    </row>
    <row r="278" spans="1:2" x14ac:dyDescent="0.25">
      <c r="A278" s="40" t="s">
        <v>398</v>
      </c>
      <c r="B278" s="40" t="s">
        <v>948</v>
      </c>
    </row>
    <row r="279" spans="1:2" x14ac:dyDescent="0.25">
      <c r="A279" s="40" t="s">
        <v>602</v>
      </c>
      <c r="B279" s="40" t="s">
        <v>949</v>
      </c>
    </row>
    <row r="280" spans="1:2" x14ac:dyDescent="0.25">
      <c r="A280" s="40" t="s">
        <v>108</v>
      </c>
      <c r="B280" s="40" t="s">
        <v>950</v>
      </c>
    </row>
    <row r="281" spans="1:2" x14ac:dyDescent="0.25">
      <c r="A281" s="40" t="s">
        <v>264</v>
      </c>
      <c r="B281" s="40" t="s">
        <v>951</v>
      </c>
    </row>
    <row r="282" spans="1:2" x14ac:dyDescent="0.25">
      <c r="A282" s="40" t="s">
        <v>468</v>
      </c>
      <c r="B282" s="40" t="s">
        <v>952</v>
      </c>
    </row>
    <row r="283" spans="1:2" x14ac:dyDescent="0.25">
      <c r="A283" s="40" t="s">
        <v>332</v>
      </c>
      <c r="B283" s="40" t="s">
        <v>1027</v>
      </c>
    </row>
    <row r="284" spans="1:2" x14ac:dyDescent="0.25">
      <c r="A284" s="40" t="s">
        <v>430</v>
      </c>
      <c r="B284" s="40" t="s">
        <v>953</v>
      </c>
    </row>
    <row r="285" spans="1:2" x14ac:dyDescent="0.25">
      <c r="A285" s="40" t="s">
        <v>434</v>
      </c>
      <c r="B285" s="40" t="s">
        <v>954</v>
      </c>
    </row>
    <row r="286" spans="1:2" x14ac:dyDescent="0.25">
      <c r="A286" s="40" t="s">
        <v>58</v>
      </c>
      <c r="B286" s="40" t="s">
        <v>955</v>
      </c>
    </row>
    <row r="287" spans="1:2" x14ac:dyDescent="0.25">
      <c r="A287" s="40" t="s">
        <v>124</v>
      </c>
      <c r="B287" s="40" t="s">
        <v>956</v>
      </c>
    </row>
    <row r="288" spans="1:2" x14ac:dyDescent="0.25">
      <c r="A288" s="40" t="s">
        <v>212</v>
      </c>
      <c r="B288" s="40" t="s">
        <v>957</v>
      </c>
    </row>
    <row r="289" spans="1:2" x14ac:dyDescent="0.25">
      <c r="A289" s="40" t="s">
        <v>172</v>
      </c>
      <c r="B289" s="40" t="s">
        <v>958</v>
      </c>
    </row>
    <row r="290" spans="1:2" x14ac:dyDescent="0.25">
      <c r="A290" s="40" t="s">
        <v>232</v>
      </c>
      <c r="B290" s="40" t="s">
        <v>959</v>
      </c>
    </row>
    <row r="291" spans="1:2" x14ac:dyDescent="0.25">
      <c r="A291" s="40" t="s">
        <v>236</v>
      </c>
      <c r="B291" s="40" t="s">
        <v>960</v>
      </c>
    </row>
    <row r="292" spans="1:2" x14ac:dyDescent="0.25">
      <c r="A292" s="40" t="s">
        <v>224</v>
      </c>
      <c r="B292" s="40" t="s">
        <v>961</v>
      </c>
    </row>
    <row r="293" spans="1:2" x14ac:dyDescent="0.25">
      <c r="A293" s="40" t="s">
        <v>1187</v>
      </c>
      <c r="B293" s="40" t="s">
        <v>1228</v>
      </c>
    </row>
    <row r="294" spans="1:2" x14ac:dyDescent="0.25">
      <c r="A294" s="40" t="s">
        <v>416</v>
      </c>
      <c r="B294" s="40" t="s">
        <v>962</v>
      </c>
    </row>
    <row r="295" spans="1:2" x14ac:dyDescent="0.25">
      <c r="A295" s="40" t="s">
        <v>564</v>
      </c>
      <c r="B295" s="40" t="s">
        <v>1028</v>
      </c>
    </row>
    <row r="296" spans="1:2" x14ac:dyDescent="0.25">
      <c r="A296" s="40" t="s">
        <v>586</v>
      </c>
      <c r="B296" s="40" t="s">
        <v>963</v>
      </c>
    </row>
    <row r="297" spans="1:2" x14ac:dyDescent="0.25">
      <c r="A297" s="40" t="s">
        <v>470</v>
      </c>
      <c r="B297" s="40" t="s">
        <v>964</v>
      </c>
    </row>
    <row r="298" spans="1:2" x14ac:dyDescent="0.25">
      <c r="A298" s="40" t="s">
        <v>186</v>
      </c>
      <c r="B298" s="40" t="s">
        <v>965</v>
      </c>
    </row>
    <row r="299" spans="1:2" x14ac:dyDescent="0.25">
      <c r="A299" s="40" t="s">
        <v>370</v>
      </c>
      <c r="B299" s="40" t="s">
        <v>966</v>
      </c>
    </row>
    <row r="300" spans="1:2" x14ac:dyDescent="0.25">
      <c r="A300" s="40" t="s">
        <v>476</v>
      </c>
      <c r="B300" s="40" t="s">
        <v>967</v>
      </c>
    </row>
    <row r="301" spans="1:2" x14ac:dyDescent="0.25">
      <c r="A301" s="40" t="s">
        <v>522</v>
      </c>
      <c r="B301" s="40" t="s">
        <v>968</v>
      </c>
    </row>
    <row r="302" spans="1:2" x14ac:dyDescent="0.25">
      <c r="A302" s="40" t="s">
        <v>584</v>
      </c>
      <c r="B302" s="40" t="s">
        <v>969</v>
      </c>
    </row>
    <row r="303" spans="1:2" x14ac:dyDescent="0.25">
      <c r="A303" s="40" t="s">
        <v>504</v>
      </c>
      <c r="B303" s="40" t="s">
        <v>970</v>
      </c>
    </row>
    <row r="304" spans="1:2" x14ac:dyDescent="0.25">
      <c r="A304" s="40" t="s">
        <v>532</v>
      </c>
      <c r="B304" s="40" t="s">
        <v>971</v>
      </c>
    </row>
    <row r="305" spans="1:2" x14ac:dyDescent="0.25">
      <c r="A305" s="40" t="s">
        <v>486</v>
      </c>
      <c r="B305" s="40" t="s">
        <v>972</v>
      </c>
    </row>
    <row r="306" spans="1:2" x14ac:dyDescent="0.25">
      <c r="A306" s="40" t="s">
        <v>492</v>
      </c>
      <c r="B306" s="40" t="s">
        <v>1029</v>
      </c>
    </row>
    <row r="307" spans="1:2" x14ac:dyDescent="0.25">
      <c r="A307" s="40" t="s">
        <v>520</v>
      </c>
      <c r="B307" s="40" t="s">
        <v>973</v>
      </c>
    </row>
    <row r="308" spans="1:2" x14ac:dyDescent="0.25">
      <c r="A308" s="40" t="s">
        <v>1185</v>
      </c>
      <c r="B308" s="40" t="s">
        <v>1227</v>
      </c>
    </row>
    <row r="309" spans="1:2" x14ac:dyDescent="0.25">
      <c r="A309" s="40" t="s">
        <v>356</v>
      </c>
      <c r="B309" s="40" t="s">
        <v>974</v>
      </c>
    </row>
    <row r="310" spans="1:2" x14ac:dyDescent="0.25">
      <c r="A310" s="40" t="s">
        <v>266</v>
      </c>
      <c r="B310" s="40" t="s">
        <v>975</v>
      </c>
    </row>
    <row r="311" spans="1:2" x14ac:dyDescent="0.25">
      <c r="A311" s="40" t="s">
        <v>40</v>
      </c>
      <c r="B311" s="40" t="s">
        <v>976</v>
      </c>
    </row>
    <row r="312" spans="1:2" x14ac:dyDescent="0.25">
      <c r="A312" s="40" t="s">
        <v>176</v>
      </c>
      <c r="B312" s="40" t="s">
        <v>1030</v>
      </c>
    </row>
    <row r="313" spans="1:2" x14ac:dyDescent="0.25">
      <c r="A313" s="40" t="s">
        <v>160</v>
      </c>
      <c r="B313" s="40" t="s">
        <v>977</v>
      </c>
    </row>
    <row r="314" spans="1:2" x14ac:dyDescent="0.25">
      <c r="A314" s="40" t="s">
        <v>310</v>
      </c>
      <c r="B314" s="40" t="s">
        <v>978</v>
      </c>
    </row>
    <row r="315" spans="1:2" x14ac:dyDescent="0.25">
      <c r="A315" s="40" t="s">
        <v>148</v>
      </c>
      <c r="B315" s="40" t="s">
        <v>979</v>
      </c>
    </row>
    <row r="316" spans="1:2" x14ac:dyDescent="0.25">
      <c r="A316" s="40" t="s">
        <v>98</v>
      </c>
      <c r="B316" s="40" t="s">
        <v>980</v>
      </c>
    </row>
    <row r="317" spans="1:2" x14ac:dyDescent="0.25">
      <c r="A317" s="40" t="s">
        <v>138</v>
      </c>
      <c r="B317" s="40" t="s">
        <v>981</v>
      </c>
    </row>
    <row r="318" spans="1:2" x14ac:dyDescent="0.25">
      <c r="A318" s="40" t="s">
        <v>280</v>
      </c>
      <c r="B318" s="40" t="s">
        <v>982</v>
      </c>
    </row>
    <row r="319" spans="1:2" x14ac:dyDescent="0.25">
      <c r="A319" s="40" t="s">
        <v>246</v>
      </c>
      <c r="B319" s="40" t="s">
        <v>983</v>
      </c>
    </row>
    <row r="320" spans="1:2" x14ac:dyDescent="0.25">
      <c r="A320" s="40" t="s">
        <v>270</v>
      </c>
      <c r="B320" s="40" t="s">
        <v>984</v>
      </c>
    </row>
    <row r="321" spans="1:2" x14ac:dyDescent="0.25">
      <c r="A321" s="40" t="s">
        <v>164</v>
      </c>
      <c r="B321" s="40" t="s">
        <v>985</v>
      </c>
    </row>
    <row r="322" spans="1:2" x14ac:dyDescent="0.25">
      <c r="A322" s="40" t="s">
        <v>116</v>
      </c>
      <c r="B322" s="40" t="s">
        <v>1031</v>
      </c>
    </row>
    <row r="323" spans="1:2" x14ac:dyDescent="0.25">
      <c r="A323" s="40" t="s">
        <v>302</v>
      </c>
      <c r="B323" s="40" t="s">
        <v>986</v>
      </c>
    </row>
    <row r="324" spans="1:2" x14ac:dyDescent="0.25">
      <c r="A324" s="45" t="s">
        <v>1165</v>
      </c>
      <c r="B324" s="40" t="s">
        <v>1166</v>
      </c>
    </row>
  </sheetData>
  <sortState xmlns:xlrd2="http://schemas.microsoft.com/office/spreadsheetml/2017/richdata2" ref="A3:B319">
    <sortCondition ref="A3:A319"/>
  </sortState>
  <pageMargins left="0.7" right="0.7" top="0.75" bottom="0.75" header="0.3" footer="0.3"/>
  <pageSetup orientation="portrait" r:id="rId1"/>
  <ignoredErrors>
    <ignoredError sqref="A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76F6-D0D8-4AF5-9BC5-BE20C9254BB6}">
  <sheetPr>
    <tabColor theme="9" tint="0.39997558519241921"/>
  </sheetPr>
  <dimension ref="A1:X322"/>
  <sheetViews>
    <sheetView zoomScale="120" zoomScaleNormal="120" workbookViewId="0">
      <selection activeCell="B3" sqref="B3"/>
    </sheetView>
  </sheetViews>
  <sheetFormatPr defaultColWidth="9.140625" defaultRowHeight="14.25" x14ac:dyDescent="0.25"/>
  <cols>
    <col min="1" max="1" width="7" style="120" customWidth="1"/>
    <col min="2" max="2" width="35.5703125" style="120" customWidth="1"/>
    <col min="3" max="4" width="16.7109375" style="120" customWidth="1"/>
    <col min="5" max="9" width="16.7109375" style="86" customWidth="1"/>
    <col min="10" max="10" width="16.7109375" style="134" customWidth="1"/>
    <col min="11" max="11" width="16.7109375" style="127" customWidth="1"/>
    <col min="12" max="12" width="5.28515625" style="122" customWidth="1"/>
    <col min="13" max="18" width="8.85546875" style="122" customWidth="1"/>
    <col min="19" max="19" width="5.140625" style="122" bestFit="1" customWidth="1"/>
    <col min="20" max="20" width="10.140625" style="122" bestFit="1" customWidth="1"/>
    <col min="21" max="21" width="8.42578125" style="122" customWidth="1"/>
    <col min="22" max="22" width="8.85546875" style="122" customWidth="1"/>
    <col min="23" max="23" width="10.85546875" style="122" customWidth="1"/>
    <col min="24" max="24" width="8.85546875" style="122" customWidth="1"/>
    <col min="25" max="16384" width="9.140625" style="120"/>
  </cols>
  <sheetData>
    <row r="1" spans="1:24" x14ac:dyDescent="0.25">
      <c r="A1" s="119" t="s">
        <v>1236</v>
      </c>
      <c r="E1" s="121"/>
      <c r="F1" s="121"/>
      <c r="G1" s="121"/>
      <c r="H1" s="121"/>
      <c r="I1" s="121"/>
      <c r="J1" s="123"/>
      <c r="K1" s="124"/>
    </row>
    <row r="2" spans="1:24" s="124" customFormat="1" x14ac:dyDescent="0.25">
      <c r="A2" s="119"/>
      <c r="B2" s="125"/>
      <c r="C2" s="138" t="s">
        <v>1287</v>
      </c>
      <c r="D2" s="139" t="s">
        <v>1259</v>
      </c>
      <c r="E2" s="138" t="s">
        <v>1287</v>
      </c>
      <c r="F2" s="149" t="s">
        <v>1287</v>
      </c>
      <c r="G2" s="157" t="s">
        <v>1259</v>
      </c>
      <c r="H2" s="139" t="s">
        <v>1259</v>
      </c>
      <c r="I2" s="163"/>
      <c r="J2" s="164" t="s">
        <v>987</v>
      </c>
      <c r="K2" s="165" t="s">
        <v>1243</v>
      </c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</row>
    <row r="3" spans="1:24" s="124" customFormat="1" x14ac:dyDescent="0.25">
      <c r="A3" s="119"/>
      <c r="C3" s="140" t="s">
        <v>988</v>
      </c>
      <c r="D3" s="141" t="s">
        <v>988</v>
      </c>
      <c r="E3" s="150" t="s">
        <v>989</v>
      </c>
      <c r="F3" s="151" t="s">
        <v>990</v>
      </c>
      <c r="G3" s="158" t="s">
        <v>989</v>
      </c>
      <c r="H3" s="159" t="s">
        <v>990</v>
      </c>
      <c r="I3" s="166" t="s">
        <v>1237</v>
      </c>
      <c r="J3" s="136" t="s">
        <v>991</v>
      </c>
      <c r="K3" s="167" t="s">
        <v>992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 s="124" customFormat="1" x14ac:dyDescent="0.25">
      <c r="C4" s="140" t="s">
        <v>1</v>
      </c>
      <c r="D4" s="141" t="s">
        <v>1</v>
      </c>
      <c r="E4" s="150" t="s">
        <v>993</v>
      </c>
      <c r="F4" s="151" t="s">
        <v>991</v>
      </c>
      <c r="G4" s="158" t="s">
        <v>993</v>
      </c>
      <c r="H4" s="159" t="s">
        <v>991</v>
      </c>
      <c r="I4" s="166" t="s">
        <v>994</v>
      </c>
      <c r="J4" s="137" t="s">
        <v>994</v>
      </c>
      <c r="K4" s="167" t="s">
        <v>995</v>
      </c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</row>
    <row r="5" spans="1:24" s="124" customFormat="1" x14ac:dyDescent="0.25">
      <c r="A5" s="36"/>
      <c r="B5" s="36" t="s">
        <v>996</v>
      </c>
      <c r="C5" s="142">
        <f>SUM(C6:C322)</f>
        <v>19279989655.87001</v>
      </c>
      <c r="D5" s="143">
        <v>18041830485.540009</v>
      </c>
      <c r="E5" s="37">
        <f>SUM(E6:E322)</f>
        <v>1087856.8699999996</v>
      </c>
      <c r="F5" s="152">
        <f>C5/E5</f>
        <v>17722.910235305142</v>
      </c>
      <c r="G5" s="37">
        <v>1084869.1599999985</v>
      </c>
      <c r="H5" s="152">
        <v>16630.420654173664</v>
      </c>
      <c r="I5" s="168">
        <f>SUM(C5/D5)</f>
        <v>1.0686271368818341</v>
      </c>
      <c r="J5" s="135">
        <f>F5/H5</f>
        <v>1.0656922397724979</v>
      </c>
      <c r="K5" s="169" t="str">
        <f>COUNTIF(K6:K322,"DNME") &amp; " Districts"</f>
        <v>4 Districts</v>
      </c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</row>
    <row r="6" spans="1:24" x14ac:dyDescent="0.25">
      <c r="A6" s="126" t="s">
        <v>574</v>
      </c>
      <c r="B6" s="126" t="s">
        <v>709</v>
      </c>
      <c r="C6" s="144">
        <f>VLOOKUP(A6,Detail!$A$6:$F$326,6,0)</f>
        <v>2753912.82</v>
      </c>
      <c r="D6" s="145">
        <v>2699496.2800000003</v>
      </c>
      <c r="E6" s="153">
        <f>VLOOKUP(A6,Enroll!$A$7:$C$350,3,0)</f>
        <v>61.01</v>
      </c>
      <c r="F6" s="154">
        <f>C6/E6</f>
        <v>45138.712014423865</v>
      </c>
      <c r="G6" s="160">
        <v>66.600000000000009</v>
      </c>
      <c r="H6" s="161">
        <v>40532.977177177178</v>
      </c>
      <c r="I6" s="160">
        <f>SUM(C6/D6)</f>
        <v>1.0201580348167769</v>
      </c>
      <c r="J6" s="39">
        <f>F6/H6</f>
        <v>1.1136293250089715</v>
      </c>
      <c r="K6" s="170" t="str">
        <f>IF(AND(I6&lt;0.9,J6&lt;0.9),"DNME"," ")</f>
        <v xml:space="preserve"> </v>
      </c>
    </row>
    <row r="7" spans="1:24" x14ac:dyDescent="0.25">
      <c r="A7" s="126" t="s">
        <v>604</v>
      </c>
      <c r="B7" s="126" t="s">
        <v>710</v>
      </c>
      <c r="C7" s="144">
        <f>VLOOKUP(A7,Detail!$A$6:$F$326,6,0)</f>
        <v>526327.53</v>
      </c>
      <c r="D7" s="145">
        <v>445912.31</v>
      </c>
      <c r="E7" s="153">
        <f>VLOOKUP(A7,Enroll!$A$7:$C$350,3,0)</f>
        <v>13.3</v>
      </c>
      <c r="F7" s="154">
        <f t="shared" ref="F7:F70" si="0">C7/E7</f>
        <v>39573.498496240602</v>
      </c>
      <c r="G7" s="160">
        <v>11</v>
      </c>
      <c r="H7" s="161">
        <v>40537.482727272727</v>
      </c>
      <c r="I7" s="160">
        <f t="shared" ref="I7:I70" si="1">SUM(C7/D7)</f>
        <v>1.1803386410211461</v>
      </c>
      <c r="J7" s="39">
        <f t="shared" ref="J7:J70" si="2">F7/H7</f>
        <v>0.97621992866410578</v>
      </c>
      <c r="K7" s="170" t="str">
        <f t="shared" ref="K7:K25" si="3">IF(AND(I7&lt;0.9,J7&lt;0.9),"DNME"," ")</f>
        <v xml:space="preserve"> </v>
      </c>
    </row>
    <row r="8" spans="1:24" x14ac:dyDescent="0.25">
      <c r="A8" s="126" t="s">
        <v>134</v>
      </c>
      <c r="B8" s="126" t="s">
        <v>711</v>
      </c>
      <c r="C8" s="144">
        <f>VLOOKUP(A8,Detail!$A$6:$F$326,6,0)</f>
        <v>71986146.400000006</v>
      </c>
      <c r="D8" s="145">
        <v>65087400.68</v>
      </c>
      <c r="E8" s="153">
        <f>VLOOKUP(A8,Enroll!$A$7:$C$350,3,0)</f>
        <v>4584.16</v>
      </c>
      <c r="F8" s="154">
        <f>C8/E8</f>
        <v>15703.236012704619</v>
      </c>
      <c r="G8" s="160">
        <v>4570.1100000000006</v>
      </c>
      <c r="H8" s="161">
        <v>14241.97681893871</v>
      </c>
      <c r="I8" s="160">
        <f>SUM(C8/D8)</f>
        <v>1.1059920299155508</v>
      </c>
      <c r="J8" s="39">
        <f t="shared" si="2"/>
        <v>1.1026022730090921</v>
      </c>
      <c r="K8" s="170" t="str">
        <f t="shared" si="3"/>
        <v xml:space="preserve"> </v>
      </c>
    </row>
    <row r="9" spans="1:24" x14ac:dyDescent="0.25">
      <c r="A9" s="126" t="s">
        <v>478</v>
      </c>
      <c r="B9" s="126" t="s">
        <v>712</v>
      </c>
      <c r="C9" s="144">
        <f>VLOOKUP(A9,Detail!$A$6:$F$326,6,0)</f>
        <v>5301864.2800000012</v>
      </c>
      <c r="D9" s="145">
        <v>5318183.79</v>
      </c>
      <c r="E9" s="153">
        <f>VLOOKUP(A9,Enroll!$A$7:$C$350,3,0)</f>
        <v>173.35</v>
      </c>
      <c r="F9" s="154">
        <f t="shared" si="0"/>
        <v>30584.73769829825</v>
      </c>
      <c r="G9" s="160">
        <v>182.22</v>
      </c>
      <c r="H9" s="161">
        <v>29185.510865986173</v>
      </c>
      <c r="I9" s="160">
        <f t="shared" si="1"/>
        <v>0.99693137532578602</v>
      </c>
      <c r="J9" s="39">
        <f t="shared" si="2"/>
        <v>1.0479425163649538</v>
      </c>
      <c r="K9" s="170" t="str">
        <f t="shared" si="3"/>
        <v xml:space="preserve"> </v>
      </c>
    </row>
    <row r="10" spans="1:24" x14ac:dyDescent="0.25">
      <c r="A10" s="126" t="s">
        <v>410</v>
      </c>
      <c r="B10" s="126" t="s">
        <v>713</v>
      </c>
      <c r="C10" s="144">
        <f>VLOOKUP(A10,Detail!$A$6:$F$326,6,0)</f>
        <v>6398285.7199999997</v>
      </c>
      <c r="D10" s="145">
        <v>5901021.21</v>
      </c>
      <c r="E10" s="153">
        <f>VLOOKUP(A10,Enroll!$A$7:$C$350,3,0)</f>
        <v>398.97999999999996</v>
      </c>
      <c r="F10" s="154">
        <f t="shared" si="0"/>
        <v>16036.607649506243</v>
      </c>
      <c r="G10" s="160">
        <v>401.59999999999997</v>
      </c>
      <c r="H10" s="161">
        <v>14693.777913346616</v>
      </c>
      <c r="I10" s="160">
        <f t="shared" si="1"/>
        <v>1.0842675347713246</v>
      </c>
      <c r="J10" s="39">
        <f t="shared" si="2"/>
        <v>1.0913876434010827</v>
      </c>
      <c r="K10" s="170" t="str">
        <f t="shared" si="3"/>
        <v xml:space="preserve"> </v>
      </c>
    </row>
    <row r="11" spans="1:24" x14ac:dyDescent="0.25">
      <c r="A11" s="126" t="s">
        <v>196</v>
      </c>
      <c r="B11" s="126" t="s">
        <v>714</v>
      </c>
      <c r="C11" s="144">
        <f>VLOOKUP(A11,Detail!$A$6:$F$326,6,0)</f>
        <v>40261219.039999992</v>
      </c>
      <c r="D11" s="145">
        <v>38107671.529999994</v>
      </c>
      <c r="E11" s="153">
        <f>VLOOKUP(A11,Enroll!$A$7:$C$350,3,0)</f>
        <v>2437.71</v>
      </c>
      <c r="F11" s="154">
        <f t="shared" si="0"/>
        <v>16516.000278950323</v>
      </c>
      <c r="G11" s="160">
        <v>2506.27</v>
      </c>
      <c r="H11" s="161">
        <v>15204.934635933078</v>
      </c>
      <c r="I11" s="160">
        <f t="shared" si="1"/>
        <v>1.0565121778249986</v>
      </c>
      <c r="J11" s="39">
        <f t="shared" si="2"/>
        <v>1.0862263254929665</v>
      </c>
      <c r="K11" s="170" t="str">
        <f t="shared" si="3"/>
        <v xml:space="preserve"> </v>
      </c>
    </row>
    <row r="12" spans="1:24" x14ac:dyDescent="0.25">
      <c r="A12" s="126" t="s">
        <v>346</v>
      </c>
      <c r="B12" s="126" t="s">
        <v>715</v>
      </c>
      <c r="C12" s="144">
        <f>VLOOKUP(A12,Detail!$A$6:$F$326,6,0)</f>
        <v>10593771.460000001</v>
      </c>
      <c r="D12" s="145">
        <v>9978401.7400000021</v>
      </c>
      <c r="E12" s="153">
        <f>VLOOKUP(A12,Enroll!$A$7:$C$350,3,0)</f>
        <v>656.59</v>
      </c>
      <c r="F12" s="154">
        <f t="shared" si="0"/>
        <v>16134.530620326232</v>
      </c>
      <c r="G12" s="160">
        <v>619.74</v>
      </c>
      <c r="H12" s="161">
        <v>16100.948365443577</v>
      </c>
      <c r="I12" s="160">
        <f t="shared" si="1"/>
        <v>1.0616701688340722</v>
      </c>
      <c r="J12" s="39">
        <f t="shared" si="2"/>
        <v>1.0020857314811797</v>
      </c>
      <c r="K12" s="170" t="str">
        <f t="shared" si="3"/>
        <v xml:space="preserve"> </v>
      </c>
    </row>
    <row r="13" spans="1:24" x14ac:dyDescent="0.25">
      <c r="A13" s="126" t="s">
        <v>36</v>
      </c>
      <c r="B13" s="126" t="s">
        <v>716</v>
      </c>
      <c r="C13" s="144">
        <f>VLOOKUP(A13,Detail!$A$6:$F$326,6,0)</f>
        <v>288143568.54000008</v>
      </c>
      <c r="D13" s="145">
        <v>259493586.40000004</v>
      </c>
      <c r="E13" s="153">
        <f>VLOOKUP(A13,Enroll!$A$7:$C$350,3,0)</f>
        <v>19077.87</v>
      </c>
      <c r="F13" s="154">
        <f t="shared" si="0"/>
        <v>15103.550267404071</v>
      </c>
      <c r="G13" s="160">
        <v>19039.23</v>
      </c>
      <c r="H13" s="161">
        <v>13629.416021551295</v>
      </c>
      <c r="I13" s="160">
        <f t="shared" si="1"/>
        <v>1.1104072841932868</v>
      </c>
      <c r="J13" s="39">
        <f t="shared" si="2"/>
        <v>1.1081582837827992</v>
      </c>
      <c r="K13" s="170" t="str">
        <f t="shared" si="3"/>
        <v xml:space="preserve"> </v>
      </c>
    </row>
    <row r="14" spans="1:24" x14ac:dyDescent="0.25">
      <c r="A14" s="126" t="s">
        <v>510</v>
      </c>
      <c r="B14" s="126" t="s">
        <v>717</v>
      </c>
      <c r="C14" s="144">
        <f>VLOOKUP(A14,Detail!$A$6:$F$326,6,0)</f>
        <v>2765650.73</v>
      </c>
      <c r="D14" s="145">
        <v>2759055.86</v>
      </c>
      <c r="E14" s="153">
        <f>VLOOKUP(A14,Enroll!$A$7:$C$350,3,0)</f>
        <v>136</v>
      </c>
      <c r="F14" s="154">
        <f t="shared" si="0"/>
        <v>20335.667132352941</v>
      </c>
      <c r="G14" s="160">
        <v>143.80000000000001</v>
      </c>
      <c r="H14" s="161">
        <v>19186.758414464533</v>
      </c>
      <c r="I14" s="160">
        <f t="shared" si="1"/>
        <v>1.002390263312755</v>
      </c>
      <c r="J14" s="39">
        <f t="shared" si="2"/>
        <v>1.0598802931203983</v>
      </c>
      <c r="K14" s="170" t="str">
        <f t="shared" si="3"/>
        <v xml:space="preserve"> </v>
      </c>
    </row>
    <row r="15" spans="1:24" x14ac:dyDescent="0.25">
      <c r="A15" s="126" t="s">
        <v>254</v>
      </c>
      <c r="B15" s="126" t="s">
        <v>1004</v>
      </c>
      <c r="C15" s="144">
        <f>VLOOKUP(A15,Detail!$A$6:$F$326,6,0)</f>
        <v>22295697.77</v>
      </c>
      <c r="D15" s="145">
        <v>20949876.009999994</v>
      </c>
      <c r="E15" s="153">
        <f>VLOOKUP(A15,Enroll!$A$7:$C$350,3,0)</f>
        <v>1336.9199999999996</v>
      </c>
      <c r="F15" s="154">
        <f t="shared" si="0"/>
        <v>16676.912433055088</v>
      </c>
      <c r="G15" s="160">
        <v>1370.55</v>
      </c>
      <c r="H15" s="161">
        <v>15285.743686841046</v>
      </c>
      <c r="I15" s="160">
        <f t="shared" si="1"/>
        <v>1.0642400823450031</v>
      </c>
      <c r="J15" s="39">
        <f t="shared" si="2"/>
        <v>1.0910108644181735</v>
      </c>
      <c r="K15" s="170" t="str">
        <f t="shared" si="3"/>
        <v xml:space="preserve"> </v>
      </c>
    </row>
    <row r="16" spans="1:24" x14ac:dyDescent="0.25">
      <c r="A16" s="126" t="s">
        <v>308</v>
      </c>
      <c r="B16" s="126" t="s">
        <v>718</v>
      </c>
      <c r="C16" s="144">
        <f>VLOOKUP(A16,Detail!$A$6:$F$326,6,0)</f>
        <v>13840983.130000001</v>
      </c>
      <c r="D16" s="145">
        <v>12813308.390000002</v>
      </c>
      <c r="E16" s="153">
        <f>VLOOKUP(A16,Enroll!$A$7:$C$350,3,0)</f>
        <v>868.75999999999988</v>
      </c>
      <c r="F16" s="154">
        <f t="shared" si="0"/>
        <v>15931.883523642897</v>
      </c>
      <c r="G16" s="160">
        <v>867.05</v>
      </c>
      <c r="H16" s="161">
        <v>14778.050158583706</v>
      </c>
      <c r="I16" s="160">
        <f t="shared" si="1"/>
        <v>1.0802036998346216</v>
      </c>
      <c r="J16" s="39">
        <f t="shared" si="2"/>
        <v>1.0780775104074873</v>
      </c>
      <c r="K16" s="170" t="str">
        <f t="shared" si="3"/>
        <v xml:space="preserve"> </v>
      </c>
    </row>
    <row r="17" spans="1:11" x14ac:dyDescent="0.25">
      <c r="A17" s="126" t="s">
        <v>194</v>
      </c>
      <c r="B17" s="126" t="s">
        <v>719</v>
      </c>
      <c r="C17" s="144">
        <f>VLOOKUP(A17,Detail!$A$6:$F$326,6,0)</f>
        <v>42162347.209999986</v>
      </c>
      <c r="D17" s="145">
        <v>39896325.890000001</v>
      </c>
      <c r="E17" s="153">
        <f>VLOOKUP(A17,Enroll!$A$7:$C$350,3,0)</f>
        <v>2487.6599999999994</v>
      </c>
      <c r="F17" s="154">
        <f t="shared" si="0"/>
        <v>16948.597159579684</v>
      </c>
      <c r="G17" s="160">
        <v>2456.8200000000002</v>
      </c>
      <c r="H17" s="161">
        <v>16239.010546153157</v>
      </c>
      <c r="I17" s="160">
        <f t="shared" si="1"/>
        <v>1.0567977443899905</v>
      </c>
      <c r="J17" s="39">
        <f t="shared" si="2"/>
        <v>1.0436964192744256</v>
      </c>
      <c r="K17" s="170" t="str">
        <f t="shared" si="3"/>
        <v xml:space="preserve"> </v>
      </c>
    </row>
    <row r="18" spans="1:11" x14ac:dyDescent="0.25">
      <c r="A18" s="126" t="s">
        <v>52</v>
      </c>
      <c r="B18" s="126" t="s">
        <v>720</v>
      </c>
      <c r="C18" s="144">
        <f>VLOOKUP(A18,Detail!$A$6:$F$326,6,0)</f>
        <v>216542487.33999997</v>
      </c>
      <c r="D18" s="145">
        <v>216532193.41999999</v>
      </c>
      <c r="E18" s="153">
        <f>VLOOKUP(A18,Enroll!$A$7:$C$350,3,0)</f>
        <v>14070.43</v>
      </c>
      <c r="F18" s="154">
        <f t="shared" si="0"/>
        <v>15389.898342836714</v>
      </c>
      <c r="G18" s="160">
        <v>13985.939999999999</v>
      </c>
      <c r="H18" s="161">
        <v>15482.133730017433</v>
      </c>
      <c r="I18" s="160">
        <f t="shared" si="1"/>
        <v>1.0000475399054405</v>
      </c>
      <c r="J18" s="39">
        <f t="shared" si="2"/>
        <v>0.99404246282914555</v>
      </c>
      <c r="K18" s="170" t="str">
        <f t="shared" si="3"/>
        <v xml:space="preserve"> </v>
      </c>
    </row>
    <row r="19" spans="1:11" x14ac:dyDescent="0.25">
      <c r="A19" s="126" t="s">
        <v>344</v>
      </c>
      <c r="B19" s="126" t="s">
        <v>721</v>
      </c>
      <c r="C19" s="144">
        <f>VLOOKUP(A19,Detail!$A$6:$F$326,6,0)</f>
        <v>11679383.65</v>
      </c>
      <c r="D19" s="145">
        <v>10223054.710000003</v>
      </c>
      <c r="E19" s="153">
        <f>VLOOKUP(A19,Enroll!$A$7:$C$350,3,0)</f>
        <v>631.2299999999999</v>
      </c>
      <c r="F19" s="154">
        <f t="shared" si="0"/>
        <v>18502.580121350384</v>
      </c>
      <c r="G19" s="160">
        <v>654.97</v>
      </c>
      <c r="H19" s="161">
        <v>15608.432004519294</v>
      </c>
      <c r="I19" s="160">
        <f t="shared" si="1"/>
        <v>1.142455360096571</v>
      </c>
      <c r="J19" s="39">
        <f t="shared" si="2"/>
        <v>1.185422092109772</v>
      </c>
      <c r="K19" s="170" t="str">
        <f t="shared" si="3"/>
        <v xml:space="preserve"> </v>
      </c>
    </row>
    <row r="20" spans="1:11" x14ac:dyDescent="0.25">
      <c r="A20" s="126" t="s">
        <v>610</v>
      </c>
      <c r="B20" s="126" t="s">
        <v>722</v>
      </c>
      <c r="C20" s="144">
        <f>VLOOKUP(A20,Detail!$A$6:$F$326,6,0)</f>
        <v>364900.14</v>
      </c>
      <c r="D20" s="145">
        <v>410844.21</v>
      </c>
      <c r="E20" s="153">
        <f>VLOOKUP(A20,Enroll!$A$7:$C$350,3,0)</f>
        <v>11.739999999999998</v>
      </c>
      <c r="F20" s="154">
        <f t="shared" si="0"/>
        <v>31081.783645655883</v>
      </c>
      <c r="G20" s="160">
        <v>10.36</v>
      </c>
      <c r="H20" s="161">
        <v>39656.777027027034</v>
      </c>
      <c r="I20" s="160">
        <f t="shared" si="1"/>
        <v>0.88817155291053018</v>
      </c>
      <c r="J20" s="39">
        <f t="shared" si="2"/>
        <v>0.78376978604370473</v>
      </c>
      <c r="K20" s="170" t="str">
        <f t="shared" si="3"/>
        <v>DNME</v>
      </c>
    </row>
    <row r="21" spans="1:11" x14ac:dyDescent="0.25">
      <c r="A21" s="126" t="s">
        <v>412</v>
      </c>
      <c r="B21" s="126" t="s">
        <v>723</v>
      </c>
      <c r="C21" s="144">
        <f>VLOOKUP(A21,Detail!$A$6:$F$326,6,0)</f>
        <v>7790301.5999999996</v>
      </c>
      <c r="D21" s="145">
        <v>5983403.9800000004</v>
      </c>
      <c r="E21" s="153">
        <f>VLOOKUP(A21,Enroll!$A$7:$C$350,3,0)</f>
        <v>410.4</v>
      </c>
      <c r="F21" s="154">
        <f t="shared" si="0"/>
        <v>18982.216374269006</v>
      </c>
      <c r="G21" s="160">
        <v>386.31</v>
      </c>
      <c r="H21" s="161">
        <v>15488.607543164817</v>
      </c>
      <c r="I21" s="160">
        <f t="shared" si="1"/>
        <v>1.3019848945582977</v>
      </c>
      <c r="J21" s="39">
        <f t="shared" si="2"/>
        <v>1.2255599040370762</v>
      </c>
      <c r="K21" s="170" t="str">
        <f t="shared" si="3"/>
        <v xml:space="preserve"> </v>
      </c>
    </row>
    <row r="22" spans="1:11" x14ac:dyDescent="0.25">
      <c r="A22" s="126" t="s">
        <v>252</v>
      </c>
      <c r="B22" s="126" t="s">
        <v>724</v>
      </c>
      <c r="C22" s="144">
        <f>VLOOKUP(A22,Detail!$A$6:$F$326,6,0)</f>
        <v>21485865.289999999</v>
      </c>
      <c r="D22" s="145">
        <v>20481044.82</v>
      </c>
      <c r="E22" s="153">
        <f>VLOOKUP(A22,Enroll!$A$7:$C$350,3,0)</f>
        <v>1257.6499999999999</v>
      </c>
      <c r="F22" s="154">
        <f t="shared" si="0"/>
        <v>17084.137311652688</v>
      </c>
      <c r="G22" s="160">
        <v>1285.1399999999999</v>
      </c>
      <c r="H22" s="161">
        <v>15936.819972921239</v>
      </c>
      <c r="I22" s="160">
        <f t="shared" si="1"/>
        <v>1.0490609965864035</v>
      </c>
      <c r="J22" s="39">
        <f t="shared" si="2"/>
        <v>1.0719916106651699</v>
      </c>
      <c r="K22" s="170" t="str">
        <f t="shared" si="3"/>
        <v xml:space="preserve"> </v>
      </c>
    </row>
    <row r="23" spans="1:11" x14ac:dyDescent="0.25">
      <c r="A23" s="126" t="s">
        <v>244</v>
      </c>
      <c r="B23" s="126" t="s">
        <v>725</v>
      </c>
      <c r="C23" s="144">
        <f>VLOOKUP(A23,Detail!$A$6:$F$326,6,0)</f>
        <v>24632901.060000002</v>
      </c>
      <c r="D23" s="145">
        <v>23149496.459999997</v>
      </c>
      <c r="E23" s="153">
        <f>VLOOKUP(A23,Enroll!$A$7:$C$350,3,0)</f>
        <v>1628.6799999999998</v>
      </c>
      <c r="F23" s="154">
        <f t="shared" si="0"/>
        <v>15124.45726600683</v>
      </c>
      <c r="G23" s="160">
        <v>1621.48</v>
      </c>
      <c r="H23" s="161">
        <v>14276.769654883192</v>
      </c>
      <c r="I23" s="160">
        <f t="shared" si="1"/>
        <v>1.0640793462857034</v>
      </c>
      <c r="J23" s="39">
        <f t="shared" si="2"/>
        <v>1.0593753090940776</v>
      </c>
      <c r="K23" s="170" t="str">
        <f t="shared" si="3"/>
        <v xml:space="preserve"> </v>
      </c>
    </row>
    <row r="24" spans="1:11" x14ac:dyDescent="0.25">
      <c r="A24" s="126" t="s">
        <v>268</v>
      </c>
      <c r="B24" s="126" t="s">
        <v>726</v>
      </c>
      <c r="C24" s="144">
        <f>VLOOKUP(A24,Detail!$A$6:$F$326,6,0)</f>
        <v>20551260.330000002</v>
      </c>
      <c r="D24" s="145">
        <v>20632240.640000001</v>
      </c>
      <c r="E24" s="153">
        <f>VLOOKUP(A24,Enroll!$A$7:$C$350,3,0)</f>
        <v>1219.1900000000003</v>
      </c>
      <c r="F24" s="154">
        <f t="shared" si="0"/>
        <v>16856.486954453365</v>
      </c>
      <c r="G24" s="160">
        <v>1238.06</v>
      </c>
      <c r="H24" s="161">
        <v>16664.976366250427</v>
      </c>
      <c r="I24" s="160">
        <f t="shared" si="1"/>
        <v>0.99607505983412192</v>
      </c>
      <c r="J24" s="39">
        <f t="shared" si="2"/>
        <v>1.0114918007679137</v>
      </c>
      <c r="K24" s="170" t="str">
        <f t="shared" si="3"/>
        <v xml:space="preserve"> </v>
      </c>
    </row>
    <row r="25" spans="1:11" x14ac:dyDescent="0.25">
      <c r="A25" s="126" t="s">
        <v>86</v>
      </c>
      <c r="B25" s="126" t="s">
        <v>727</v>
      </c>
      <c r="C25" s="144">
        <f>VLOOKUP(A25,Detail!$A$6:$F$326,6,0)</f>
        <v>114799068.67</v>
      </c>
      <c r="D25" s="145">
        <v>111501215.72</v>
      </c>
      <c r="E25" s="153">
        <f>VLOOKUP(A25,Enroll!$A$7:$C$350,3,0)</f>
        <v>7084.7300000000005</v>
      </c>
      <c r="F25" s="154">
        <f t="shared" si="0"/>
        <v>16203.732346892541</v>
      </c>
      <c r="G25" s="160">
        <v>7217.0199999999995</v>
      </c>
      <c r="H25" s="161">
        <v>15449.758448778028</v>
      </c>
      <c r="I25" s="160">
        <f t="shared" si="1"/>
        <v>1.029576834016604</v>
      </c>
      <c r="J25" s="39">
        <f t="shared" si="2"/>
        <v>1.0488016625382353</v>
      </c>
      <c r="K25" s="170" t="str">
        <f t="shared" si="3"/>
        <v xml:space="preserve"> </v>
      </c>
    </row>
    <row r="26" spans="1:11" x14ac:dyDescent="0.25">
      <c r="A26" s="126" t="s">
        <v>1200</v>
      </c>
      <c r="B26" s="126" t="s">
        <v>1239</v>
      </c>
      <c r="C26" s="144">
        <f>VLOOKUP(A26,Detail!$A$6:$F$326,6,0)</f>
        <v>4264571.6799999988</v>
      </c>
      <c r="D26" s="145">
        <v>3625827.8600000003</v>
      </c>
      <c r="E26" s="153">
        <f>VLOOKUP(A26,Enroll!$A$7:$C$350,3,0)</f>
        <v>222.79999999999998</v>
      </c>
      <c r="F26" s="154">
        <f t="shared" si="0"/>
        <v>19140.806463195688</v>
      </c>
      <c r="G26" s="160">
        <v>217.75</v>
      </c>
      <c r="H26" s="161">
        <v>16651.333455797936</v>
      </c>
      <c r="I26" s="160">
        <f t="shared" si="1"/>
        <v>1.1761649600210193</v>
      </c>
      <c r="J26" s="39">
        <f t="shared" si="2"/>
        <v>1.1495059247961266</v>
      </c>
      <c r="K26" s="170"/>
    </row>
    <row r="27" spans="1:11" x14ac:dyDescent="0.25">
      <c r="A27" s="126" t="s">
        <v>146</v>
      </c>
      <c r="B27" s="126" t="s">
        <v>728</v>
      </c>
      <c r="C27" s="144">
        <f>VLOOKUP(A27,Detail!$A$6:$F$326,6,0)</f>
        <v>54453978.70000001</v>
      </c>
      <c r="D27" s="145">
        <v>54951565.850000016</v>
      </c>
      <c r="E27" s="153">
        <f>VLOOKUP(A27,Enroll!$A$7:$C$350,3,0)</f>
        <v>3456.9100000000003</v>
      </c>
      <c r="F27" s="154">
        <f t="shared" si="0"/>
        <v>15752.211859724437</v>
      </c>
      <c r="G27" s="160">
        <v>3505.48</v>
      </c>
      <c r="H27" s="161">
        <v>15675.903399819716</v>
      </c>
      <c r="I27" s="160">
        <f t="shared" si="1"/>
        <v>0.99094498687520105</v>
      </c>
      <c r="J27" s="39">
        <f t="shared" si="2"/>
        <v>1.0048678827598287</v>
      </c>
      <c r="K27" s="170" t="str">
        <f t="shared" ref="K27:K58" si="4">IF(AND(I27&lt;0.9,J27&lt;0.9),"DNME"," ")</f>
        <v xml:space="preserve"> </v>
      </c>
    </row>
    <row r="28" spans="1:11" x14ac:dyDescent="0.25">
      <c r="A28" s="126" t="s">
        <v>422</v>
      </c>
      <c r="B28" s="126" t="s">
        <v>729</v>
      </c>
      <c r="C28" s="144">
        <f>VLOOKUP(A28,Detail!$A$6:$F$326,6,0)</f>
        <v>7052330.79</v>
      </c>
      <c r="D28" s="145">
        <v>5834967.6100000003</v>
      </c>
      <c r="E28" s="153">
        <f>VLOOKUP(A28,Enroll!$A$7:$C$350,3,0)</f>
        <v>381.63</v>
      </c>
      <c r="F28" s="154">
        <f t="shared" si="0"/>
        <v>18479.497916830438</v>
      </c>
      <c r="G28" s="160">
        <v>357.24</v>
      </c>
      <c r="H28" s="161">
        <v>16333.466605083418</v>
      </c>
      <c r="I28" s="160">
        <f t="shared" si="1"/>
        <v>1.2086323800518919</v>
      </c>
      <c r="J28" s="39">
        <f t="shared" si="2"/>
        <v>1.1313886000831639</v>
      </c>
      <c r="K28" s="170" t="str">
        <f t="shared" si="4"/>
        <v xml:space="preserve"> </v>
      </c>
    </row>
    <row r="29" spans="1:11" x14ac:dyDescent="0.25">
      <c r="A29" s="126" t="s">
        <v>188</v>
      </c>
      <c r="B29" s="126" t="s">
        <v>730</v>
      </c>
      <c r="C29" s="144">
        <f>VLOOKUP(A29,Detail!$A$6:$F$326,6,0)</f>
        <v>43590456.61999999</v>
      </c>
      <c r="D29" s="145">
        <v>41987914.539999999</v>
      </c>
      <c r="E29" s="153">
        <f>VLOOKUP(A29,Enroll!$A$7:$C$350,3,0)</f>
        <v>2598.0499999999997</v>
      </c>
      <c r="F29" s="154">
        <f t="shared" si="0"/>
        <v>16778.143846346295</v>
      </c>
      <c r="G29" s="160">
        <v>2598.66</v>
      </c>
      <c r="H29" s="161">
        <v>16157.52523993135</v>
      </c>
      <c r="I29" s="160">
        <f t="shared" si="1"/>
        <v>1.0381667462544091</v>
      </c>
      <c r="J29" s="39">
        <f t="shared" si="2"/>
        <v>1.038410498959405</v>
      </c>
      <c r="K29" s="170" t="str">
        <f t="shared" si="4"/>
        <v xml:space="preserve"> </v>
      </c>
    </row>
    <row r="30" spans="1:11" x14ac:dyDescent="0.25">
      <c r="A30" s="126" t="s">
        <v>388</v>
      </c>
      <c r="B30" s="126" t="s">
        <v>731</v>
      </c>
      <c r="C30" s="144">
        <f>VLOOKUP(A30,Detail!$A$6:$F$326,6,0)</f>
        <v>9320767.5599999987</v>
      </c>
      <c r="D30" s="145">
        <v>8129786.5799999991</v>
      </c>
      <c r="E30" s="153">
        <f>VLOOKUP(A30,Enroll!$A$7:$C$350,3,0)</f>
        <v>491.3599999999999</v>
      </c>
      <c r="F30" s="154">
        <f t="shared" si="0"/>
        <v>18969.325056984697</v>
      </c>
      <c r="G30" s="160">
        <v>491.07</v>
      </c>
      <c r="H30" s="161">
        <v>16555.24992363614</v>
      </c>
      <c r="I30" s="160">
        <f t="shared" si="1"/>
        <v>1.1464959711156402</v>
      </c>
      <c r="J30" s="39">
        <f t="shared" si="2"/>
        <v>1.1458193107614734</v>
      </c>
      <c r="K30" s="170" t="str">
        <f t="shared" si="4"/>
        <v xml:space="preserve"> </v>
      </c>
    </row>
    <row r="31" spans="1:11" x14ac:dyDescent="0.25">
      <c r="A31" s="126" t="s">
        <v>184</v>
      </c>
      <c r="B31" s="126" t="s">
        <v>732</v>
      </c>
      <c r="C31" s="144">
        <f>VLOOKUP(A31,Detail!$A$6:$F$326,6,0)</f>
        <v>56678074.389999993</v>
      </c>
      <c r="D31" s="145">
        <v>46793026.890000008</v>
      </c>
      <c r="E31" s="153">
        <f>VLOOKUP(A31,Enroll!$A$7:$C$350,3,0)</f>
        <v>4006.9799999999996</v>
      </c>
      <c r="F31" s="154">
        <f t="shared" si="0"/>
        <v>14144.835858926173</v>
      </c>
      <c r="G31" s="160">
        <v>3611.3500000000004</v>
      </c>
      <c r="H31" s="161">
        <v>12957.21181552605</v>
      </c>
      <c r="I31" s="160">
        <f t="shared" si="1"/>
        <v>1.2112504395844605</v>
      </c>
      <c r="J31" s="39">
        <f t="shared" si="2"/>
        <v>1.0916573766261231</v>
      </c>
      <c r="K31" s="170" t="str">
        <f t="shared" si="4"/>
        <v xml:space="preserve"> </v>
      </c>
    </row>
    <row r="32" spans="1:11" x14ac:dyDescent="0.25">
      <c r="A32" s="126" t="s">
        <v>556</v>
      </c>
      <c r="B32" s="126" t="s">
        <v>733</v>
      </c>
      <c r="C32" s="144">
        <f>VLOOKUP(A32,Detail!$A$6:$F$326,6,0)</f>
        <v>2782487</v>
      </c>
      <c r="D32" s="145">
        <v>1920007.58</v>
      </c>
      <c r="E32" s="153">
        <f>VLOOKUP(A32,Enroll!$A$7:$C$350,3,0)</f>
        <v>109.78</v>
      </c>
      <c r="F32" s="154">
        <f t="shared" si="0"/>
        <v>25346.02842047732</v>
      </c>
      <c r="G32" s="160">
        <v>124.81</v>
      </c>
      <c r="H32" s="161">
        <v>15383.443474080603</v>
      </c>
      <c r="I32" s="160">
        <f t="shared" si="1"/>
        <v>1.449206257821128</v>
      </c>
      <c r="J32" s="39">
        <f t="shared" si="2"/>
        <v>1.6476173532397067</v>
      </c>
      <c r="K32" s="170" t="str">
        <f t="shared" si="4"/>
        <v xml:space="preserve"> </v>
      </c>
    </row>
    <row r="33" spans="1:11" x14ac:dyDescent="0.25">
      <c r="A33" s="126" t="s">
        <v>16</v>
      </c>
      <c r="B33" s="126" t="s">
        <v>734</v>
      </c>
      <c r="C33" s="144">
        <f>VLOOKUP(A33,Detail!$A$6:$F$326,6,0)</f>
        <v>392248612.84000003</v>
      </c>
      <c r="D33" s="145">
        <v>376679537.46000004</v>
      </c>
      <c r="E33" s="153">
        <f>VLOOKUP(A33,Enroll!$A$7:$C$350,3,0)</f>
        <v>21475.4</v>
      </c>
      <c r="F33" s="154">
        <f t="shared" si="0"/>
        <v>18265.020108589364</v>
      </c>
      <c r="G33" s="160">
        <v>21707.87</v>
      </c>
      <c r="H33" s="161">
        <v>17352.210855325742</v>
      </c>
      <c r="I33" s="160">
        <f t="shared" si="1"/>
        <v>1.041332416103578</v>
      </c>
      <c r="J33" s="39">
        <f t="shared" si="2"/>
        <v>1.0526047810779953</v>
      </c>
      <c r="K33" s="170" t="str">
        <f t="shared" si="4"/>
        <v xml:space="preserve"> </v>
      </c>
    </row>
    <row r="34" spans="1:11" x14ac:dyDescent="0.25">
      <c r="A34" s="126" t="s">
        <v>228</v>
      </c>
      <c r="B34" s="126" t="s">
        <v>735</v>
      </c>
      <c r="C34" s="144">
        <f>VLOOKUP(A34,Detail!$A$6:$F$326,6,0)</f>
        <v>32658043.870000012</v>
      </c>
      <c r="D34" s="145">
        <v>30115893.699999999</v>
      </c>
      <c r="E34" s="153">
        <f>VLOOKUP(A34,Enroll!$A$7:$C$350,3,0)</f>
        <v>2079.4</v>
      </c>
      <c r="F34" s="154">
        <f t="shared" si="0"/>
        <v>15705.513066269121</v>
      </c>
      <c r="G34" s="160">
        <v>2056.17</v>
      </c>
      <c r="H34" s="161">
        <v>14646.597168522057</v>
      </c>
      <c r="I34" s="160">
        <f t="shared" si="1"/>
        <v>1.0844122440902364</v>
      </c>
      <c r="J34" s="39">
        <f t="shared" si="2"/>
        <v>1.0722977416230746</v>
      </c>
      <c r="K34" s="170" t="str">
        <f t="shared" si="4"/>
        <v xml:space="preserve"> </v>
      </c>
    </row>
    <row r="35" spans="1:11" x14ac:dyDescent="0.25">
      <c r="A35" s="126" t="s">
        <v>240</v>
      </c>
      <c r="B35" s="126" t="s">
        <v>1005</v>
      </c>
      <c r="C35" s="144">
        <f>VLOOKUP(A35,Detail!$A$6:$F$326,6,0)</f>
        <v>29252190.789999995</v>
      </c>
      <c r="D35" s="145">
        <v>26962944.039999995</v>
      </c>
      <c r="E35" s="153">
        <f>VLOOKUP(A35,Enroll!$A$7:$C$350,3,0)</f>
        <v>1806.5100000000002</v>
      </c>
      <c r="F35" s="154">
        <f t="shared" si="0"/>
        <v>16192.65367476515</v>
      </c>
      <c r="G35" s="160">
        <v>1805.46</v>
      </c>
      <c r="H35" s="161">
        <v>14934.113212145377</v>
      </c>
      <c r="I35" s="160">
        <f t="shared" si="1"/>
        <v>1.0849034417978936</v>
      </c>
      <c r="J35" s="39">
        <f t="shared" si="2"/>
        <v>1.0842728620535866</v>
      </c>
      <c r="K35" s="170" t="str">
        <f t="shared" si="4"/>
        <v xml:space="preserve"> </v>
      </c>
    </row>
    <row r="36" spans="1:11" x14ac:dyDescent="0.25">
      <c r="A36" s="126" t="s">
        <v>498</v>
      </c>
      <c r="B36" s="126" t="s">
        <v>736</v>
      </c>
      <c r="C36" s="144">
        <f>VLOOKUP(A36,Detail!$A$6:$F$326,6,0)</f>
        <v>3000812.9400000004</v>
      </c>
      <c r="D36" s="145">
        <v>2692944.8</v>
      </c>
      <c r="E36" s="153">
        <f>VLOOKUP(A36,Enroll!$A$7:$C$350,3,0)</f>
        <v>163.72999999999996</v>
      </c>
      <c r="F36" s="154">
        <f t="shared" si="0"/>
        <v>18327.813717705987</v>
      </c>
      <c r="G36" s="160">
        <v>167.7</v>
      </c>
      <c r="H36" s="161">
        <v>16058.108527131782</v>
      </c>
      <c r="I36" s="160">
        <f t="shared" si="1"/>
        <v>1.1143239698043572</v>
      </c>
      <c r="J36" s="39">
        <f t="shared" si="2"/>
        <v>1.1413432464190481</v>
      </c>
      <c r="K36" s="170" t="str">
        <f t="shared" si="4"/>
        <v xml:space="preserve"> </v>
      </c>
    </row>
    <row r="37" spans="1:11" x14ac:dyDescent="0.25">
      <c r="A37" s="126" t="s">
        <v>174</v>
      </c>
      <c r="B37" s="126" t="s">
        <v>737</v>
      </c>
      <c r="C37" s="144">
        <f>VLOOKUP(A37,Detail!$A$6:$F$326,6,0)</f>
        <v>45909492.449999996</v>
      </c>
      <c r="D37" s="145">
        <v>45395754.770000011</v>
      </c>
      <c r="E37" s="153">
        <f>VLOOKUP(A37,Enroll!$A$7:$C$350,3,0)</f>
        <v>2691.6</v>
      </c>
      <c r="F37" s="154">
        <f t="shared" si="0"/>
        <v>17056.580639768166</v>
      </c>
      <c r="G37" s="160">
        <v>2783.79</v>
      </c>
      <c r="H37" s="161">
        <v>16307.176464460326</v>
      </c>
      <c r="I37" s="160">
        <f t="shared" si="1"/>
        <v>1.0113168661387582</v>
      </c>
      <c r="J37" s="39">
        <f t="shared" si="2"/>
        <v>1.045955483277015</v>
      </c>
      <c r="K37" s="170" t="str">
        <f t="shared" si="4"/>
        <v xml:space="preserve"> </v>
      </c>
    </row>
    <row r="38" spans="1:11" x14ac:dyDescent="0.25">
      <c r="A38" s="126" t="s">
        <v>14</v>
      </c>
      <c r="B38" s="126" t="s">
        <v>1006</v>
      </c>
      <c r="C38" s="144">
        <f>VLOOKUP(A38,Detail!$A$6:$F$326,6,0)</f>
        <v>403422132.70000005</v>
      </c>
      <c r="D38" s="145">
        <v>371757124.11000001</v>
      </c>
      <c r="E38" s="153">
        <f>VLOOKUP(A38,Enroll!$A$7:$C$350,3,0)</f>
        <v>22380.110000000008</v>
      </c>
      <c r="F38" s="154">
        <f t="shared" si="0"/>
        <v>18025.92269206898</v>
      </c>
      <c r="G38" s="160">
        <v>22730.92</v>
      </c>
      <c r="H38" s="161">
        <v>16354.688860371689</v>
      </c>
      <c r="I38" s="160">
        <f t="shared" si="1"/>
        <v>1.0851766019704592</v>
      </c>
      <c r="J38" s="39">
        <f t="shared" si="2"/>
        <v>1.1021868313096914</v>
      </c>
      <c r="K38" s="170" t="str">
        <f t="shared" si="4"/>
        <v xml:space="preserve"> </v>
      </c>
    </row>
    <row r="39" spans="1:11" x14ac:dyDescent="0.25">
      <c r="A39" s="126" t="s">
        <v>88</v>
      </c>
      <c r="B39" s="126" t="s">
        <v>738</v>
      </c>
      <c r="C39" s="144">
        <f>VLOOKUP(A39,Detail!$A$6:$F$326,6,0)</f>
        <v>119732401.19000001</v>
      </c>
      <c r="D39" s="145">
        <v>113764833.14999999</v>
      </c>
      <c r="E39" s="153">
        <f>VLOOKUP(A39,Enroll!$A$7:$C$350,3,0)</f>
        <v>7133.7699999999986</v>
      </c>
      <c r="F39" s="154">
        <f t="shared" si="0"/>
        <v>16783.888629714729</v>
      </c>
      <c r="G39" s="160">
        <v>7186.3200000000006</v>
      </c>
      <c r="H39" s="161">
        <v>15830.749695254313</v>
      </c>
      <c r="I39" s="160">
        <f t="shared" si="1"/>
        <v>1.0524552963755656</v>
      </c>
      <c r="J39" s="39">
        <f t="shared" si="2"/>
        <v>1.0602080730735162</v>
      </c>
      <c r="K39" s="170" t="str">
        <f t="shared" si="4"/>
        <v xml:space="preserve"> </v>
      </c>
    </row>
    <row r="40" spans="1:11" x14ac:dyDescent="0.25">
      <c r="A40" s="126" t="s">
        <v>54</v>
      </c>
      <c r="B40" s="126" t="s">
        <v>739</v>
      </c>
      <c r="C40" s="144">
        <f>VLOOKUP(A40,Detail!$A$6:$F$326,6,0)</f>
        <v>218199756.69</v>
      </c>
      <c r="D40" s="145">
        <v>200795243.61999997</v>
      </c>
      <c r="E40" s="153">
        <f>VLOOKUP(A40,Enroll!$A$7:$C$350,3,0)</f>
        <v>12701.88</v>
      </c>
      <c r="F40" s="154">
        <f t="shared" si="0"/>
        <v>17178.540238925263</v>
      </c>
      <c r="G40" s="160">
        <v>12489.09</v>
      </c>
      <c r="H40" s="161">
        <v>16077.652064321737</v>
      </c>
      <c r="I40" s="160">
        <f t="shared" si="1"/>
        <v>1.086677915055287</v>
      </c>
      <c r="J40" s="39">
        <f t="shared" si="2"/>
        <v>1.0684731931129752</v>
      </c>
      <c r="K40" s="170" t="str">
        <f t="shared" si="4"/>
        <v xml:space="preserve"> </v>
      </c>
    </row>
    <row r="41" spans="1:11" x14ac:dyDescent="0.25">
      <c r="A41" s="126" t="s">
        <v>192</v>
      </c>
      <c r="B41" s="126" t="s">
        <v>740</v>
      </c>
      <c r="C41" s="144">
        <f>VLOOKUP(A41,Detail!$A$6:$F$326,6,0)</f>
        <v>63798394.120000012</v>
      </c>
      <c r="D41" s="145">
        <v>60346633.25999999</v>
      </c>
      <c r="E41" s="153">
        <f>VLOOKUP(A41,Enroll!$A$7:$C$350,3,0)</f>
        <v>4203.87</v>
      </c>
      <c r="F41" s="154">
        <f t="shared" si="0"/>
        <v>15176.11013661222</v>
      </c>
      <c r="G41" s="160">
        <v>4096.59</v>
      </c>
      <c r="H41" s="161">
        <v>14730.942871998415</v>
      </c>
      <c r="I41" s="160">
        <f t="shared" si="1"/>
        <v>1.0571988969977548</v>
      </c>
      <c r="J41" s="39">
        <f t="shared" si="2"/>
        <v>1.0302198758410779</v>
      </c>
      <c r="K41" s="170" t="str">
        <f t="shared" si="4"/>
        <v xml:space="preserve"> </v>
      </c>
    </row>
    <row r="42" spans="1:11" x14ac:dyDescent="0.25">
      <c r="A42" s="126" t="s">
        <v>402</v>
      </c>
      <c r="B42" s="126" t="s">
        <v>741</v>
      </c>
      <c r="C42" s="144">
        <f>VLOOKUP(A42,Detail!$A$6:$F$326,6,0)</f>
        <v>7545103.6600000001</v>
      </c>
      <c r="D42" s="145">
        <v>7332992.5500000017</v>
      </c>
      <c r="E42" s="153">
        <f>VLOOKUP(A42,Enroll!$A$7:$C$350,3,0)</f>
        <v>353.47</v>
      </c>
      <c r="F42" s="154">
        <f t="shared" si="0"/>
        <v>21345.810563838513</v>
      </c>
      <c r="G42" s="160">
        <v>345.03</v>
      </c>
      <c r="H42" s="161">
        <v>21253.202764976966</v>
      </c>
      <c r="I42" s="160">
        <f t="shared" si="1"/>
        <v>1.0289255864578777</v>
      </c>
      <c r="J42" s="39">
        <f t="shared" si="2"/>
        <v>1.0043573573303575</v>
      </c>
      <c r="K42" s="170" t="str">
        <f t="shared" si="4"/>
        <v xml:space="preserve"> </v>
      </c>
    </row>
    <row r="43" spans="1:11" x14ac:dyDescent="0.25">
      <c r="A43" s="126" t="s">
        <v>598</v>
      </c>
      <c r="B43" s="126" t="s">
        <v>742</v>
      </c>
      <c r="C43" s="144">
        <f>VLOOKUP(A43,Detail!$A$6:$F$326,6,0)</f>
        <v>9420587.1300000008</v>
      </c>
      <c r="D43" s="145">
        <v>8247748.5300000003</v>
      </c>
      <c r="E43" s="153">
        <f>VLOOKUP(A43,Enroll!$A$7:$C$350,3,0)</f>
        <v>787.4</v>
      </c>
      <c r="F43" s="154">
        <f t="shared" si="0"/>
        <v>11964.169583439168</v>
      </c>
      <c r="G43" s="160">
        <v>751.37</v>
      </c>
      <c r="H43" s="161">
        <v>10976.946817147344</v>
      </c>
      <c r="I43" s="160">
        <f t="shared" si="1"/>
        <v>1.142201061990914</v>
      </c>
      <c r="J43" s="39">
        <f t="shared" si="2"/>
        <v>1.0899360070461179</v>
      </c>
      <c r="K43" s="170" t="str">
        <f t="shared" si="4"/>
        <v xml:space="preserve"> </v>
      </c>
    </row>
    <row r="44" spans="1:11" x14ac:dyDescent="0.25">
      <c r="A44" s="126" t="s">
        <v>100</v>
      </c>
      <c r="B44" s="126" t="s">
        <v>743</v>
      </c>
      <c r="C44" s="144">
        <f>VLOOKUP(A44,Detail!$A$6:$F$326,6,0)</f>
        <v>107263120.45</v>
      </c>
      <c r="D44" s="145">
        <v>98110612.939999998</v>
      </c>
      <c r="E44" s="153">
        <f>VLOOKUP(A44,Enroll!$A$7:$C$350,3,0)</f>
        <v>6388.5599999999995</v>
      </c>
      <c r="F44" s="154">
        <f t="shared" si="0"/>
        <v>16789.874470929288</v>
      </c>
      <c r="G44" s="160">
        <v>6314.2199999999993</v>
      </c>
      <c r="H44" s="161">
        <v>15538.041585500665</v>
      </c>
      <c r="I44" s="160">
        <f t="shared" si="1"/>
        <v>1.0932876396929379</v>
      </c>
      <c r="J44" s="39">
        <f t="shared" si="2"/>
        <v>1.0805656799500891</v>
      </c>
      <c r="K44" s="170" t="str">
        <f t="shared" si="4"/>
        <v xml:space="preserve"> </v>
      </c>
    </row>
    <row r="45" spans="1:11" x14ac:dyDescent="0.25">
      <c r="A45" s="126" t="s">
        <v>348</v>
      </c>
      <c r="B45" s="126" t="s">
        <v>744</v>
      </c>
      <c r="C45" s="144">
        <f>VLOOKUP(A45,Detail!$A$6:$F$326,6,0)</f>
        <v>11405912.229999999</v>
      </c>
      <c r="D45" s="145">
        <v>11202514.530000001</v>
      </c>
      <c r="E45" s="153">
        <f>VLOOKUP(A45,Enroll!$A$7:$C$350,3,0)</f>
        <v>673.68</v>
      </c>
      <c r="F45" s="154">
        <f t="shared" si="0"/>
        <v>16930.756783636149</v>
      </c>
      <c r="G45" s="160">
        <v>674</v>
      </c>
      <c r="H45" s="161">
        <v>16620.941439169143</v>
      </c>
      <c r="I45" s="160">
        <f t="shared" si="1"/>
        <v>1.0181564325987085</v>
      </c>
      <c r="J45" s="39">
        <f t="shared" si="2"/>
        <v>1.0186400599268637</v>
      </c>
      <c r="K45" s="170" t="str">
        <f t="shared" si="4"/>
        <v xml:space="preserve"> </v>
      </c>
    </row>
    <row r="46" spans="1:11" x14ac:dyDescent="0.25">
      <c r="A46" s="126" t="s">
        <v>272</v>
      </c>
      <c r="B46" s="126" t="s">
        <v>745</v>
      </c>
      <c r="C46" s="144">
        <f>VLOOKUP(A46,Detail!$A$6:$F$326,6,0)</f>
        <v>22489736.080000002</v>
      </c>
      <c r="D46" s="145">
        <v>21452663.310000002</v>
      </c>
      <c r="E46" s="153">
        <f>VLOOKUP(A46,Enroll!$A$7:$C$350,3,0)</f>
        <v>1450.68</v>
      </c>
      <c r="F46" s="154">
        <f t="shared" si="0"/>
        <v>15502.892491796951</v>
      </c>
      <c r="G46" s="160">
        <v>1419.7</v>
      </c>
      <c r="H46" s="161">
        <v>15110.701775022893</v>
      </c>
      <c r="I46" s="160">
        <f t="shared" si="1"/>
        <v>1.0483423785202732</v>
      </c>
      <c r="J46" s="39">
        <f t="shared" si="2"/>
        <v>1.0259545004999255</v>
      </c>
      <c r="K46" s="170" t="str">
        <f t="shared" si="4"/>
        <v xml:space="preserve"> </v>
      </c>
    </row>
    <row r="47" spans="1:11" x14ac:dyDescent="0.25">
      <c r="A47" s="126" t="s">
        <v>300</v>
      </c>
      <c r="B47" s="126" t="s">
        <v>746</v>
      </c>
      <c r="C47" s="144">
        <f>VLOOKUP(A47,Detail!$A$6:$F$326,6,0)</f>
        <v>18658583.649999999</v>
      </c>
      <c r="D47" s="145">
        <v>17939728.969999999</v>
      </c>
      <c r="E47" s="153">
        <f>VLOOKUP(A47,Enroll!$A$7:$C$350,3,0)</f>
        <v>1153.55</v>
      </c>
      <c r="F47" s="154">
        <f t="shared" si="0"/>
        <v>16174.924060508863</v>
      </c>
      <c r="G47" s="160">
        <v>1137.3900000000001</v>
      </c>
      <c r="H47" s="161">
        <v>15772.715576890949</v>
      </c>
      <c r="I47" s="160">
        <f t="shared" si="1"/>
        <v>1.0400705429386428</v>
      </c>
      <c r="J47" s="39">
        <f t="shared" si="2"/>
        <v>1.0255002685908572</v>
      </c>
      <c r="K47" s="170" t="str">
        <f t="shared" si="4"/>
        <v xml:space="preserve"> </v>
      </c>
    </row>
    <row r="48" spans="1:11" x14ac:dyDescent="0.25">
      <c r="A48" s="126" t="s">
        <v>204</v>
      </c>
      <c r="B48" s="126" t="s">
        <v>747</v>
      </c>
      <c r="C48" s="144">
        <f>VLOOKUP(A48,Detail!$A$6:$F$326,6,0)</f>
        <v>44513740.140000001</v>
      </c>
      <c r="D48" s="145">
        <v>39863427.82</v>
      </c>
      <c r="E48" s="153">
        <f>VLOOKUP(A48,Enroll!$A$7:$C$350,3,0)</f>
        <v>2399.0900000000006</v>
      </c>
      <c r="F48" s="154">
        <f t="shared" si="0"/>
        <v>18554.426945216725</v>
      </c>
      <c r="G48" s="160">
        <v>2389.2300000000005</v>
      </c>
      <c r="H48" s="161">
        <v>16684.633886231124</v>
      </c>
      <c r="I48" s="160">
        <f t="shared" si="1"/>
        <v>1.1166561074726966</v>
      </c>
      <c r="J48" s="39">
        <f t="shared" si="2"/>
        <v>1.1120667718414028</v>
      </c>
      <c r="K48" s="170" t="str">
        <f t="shared" si="4"/>
        <v xml:space="preserve"> </v>
      </c>
    </row>
    <row r="49" spans="1:24" x14ac:dyDescent="0.25">
      <c r="A49" s="126" t="s">
        <v>122</v>
      </c>
      <c r="B49" s="126" t="s">
        <v>748</v>
      </c>
      <c r="C49" s="144">
        <f>VLOOKUP(A49,Detail!$A$6:$F$326,6,0)</f>
        <v>82198282.549999982</v>
      </c>
      <c r="D49" s="145">
        <v>77225459.63000001</v>
      </c>
      <c r="E49" s="153">
        <f>VLOOKUP(A49,Enroll!$A$7:$C$350,3,0)</f>
        <v>5088.03</v>
      </c>
      <c r="F49" s="154">
        <f t="shared" si="0"/>
        <v>16155.227573343707</v>
      </c>
      <c r="G49" s="160">
        <v>5069.43</v>
      </c>
      <c r="H49" s="161">
        <v>15233.558729482409</v>
      </c>
      <c r="I49" s="160">
        <f t="shared" si="1"/>
        <v>1.0643935684400661</v>
      </c>
      <c r="J49" s="39">
        <f t="shared" si="2"/>
        <v>1.0605025299884483</v>
      </c>
      <c r="K49" s="170" t="str">
        <f t="shared" si="4"/>
        <v xml:space="preserve"> </v>
      </c>
    </row>
    <row r="50" spans="1:24" x14ac:dyDescent="0.25">
      <c r="A50" s="126" t="s">
        <v>482</v>
      </c>
      <c r="B50" s="126" t="s">
        <v>749</v>
      </c>
      <c r="C50" s="144">
        <f>VLOOKUP(A50,Detail!$A$6:$F$326,6,0)</f>
        <v>3088362.53</v>
      </c>
      <c r="D50" s="145">
        <v>3071678.96</v>
      </c>
      <c r="E50" s="153">
        <f>VLOOKUP(A50,Enroll!$A$7:$C$350,3,0)</f>
        <v>110</v>
      </c>
      <c r="F50" s="154">
        <f t="shared" si="0"/>
        <v>28076.022999999997</v>
      </c>
      <c r="G50" s="160">
        <v>109.06</v>
      </c>
      <c r="H50" s="161">
        <v>28165.037227214376</v>
      </c>
      <c r="I50" s="160">
        <f t="shared" si="1"/>
        <v>1.0054314172207632</v>
      </c>
      <c r="J50" s="39">
        <f t="shared" si="2"/>
        <v>0.99683954874633118</v>
      </c>
      <c r="K50" s="170" t="str">
        <f t="shared" si="4"/>
        <v xml:space="preserve"> </v>
      </c>
    </row>
    <row r="51" spans="1:24" x14ac:dyDescent="0.25">
      <c r="A51" s="126" t="s">
        <v>316</v>
      </c>
      <c r="B51" s="126" t="s">
        <v>750</v>
      </c>
      <c r="C51" s="144">
        <f>VLOOKUP(A51,Detail!$A$6:$F$326,6,0)</f>
        <v>11947456.619999999</v>
      </c>
      <c r="D51" s="145">
        <v>10276237.220000003</v>
      </c>
      <c r="E51" s="153">
        <f>VLOOKUP(A51,Enroll!$A$7:$C$350,3,0)</f>
        <v>759.99</v>
      </c>
      <c r="F51" s="154">
        <f t="shared" si="0"/>
        <v>15720.544507164566</v>
      </c>
      <c r="G51" s="160">
        <v>742.19</v>
      </c>
      <c r="H51" s="161">
        <v>13845.830878885463</v>
      </c>
      <c r="I51" s="160">
        <f t="shared" si="1"/>
        <v>1.1626295076905588</v>
      </c>
      <c r="J51" s="39">
        <f t="shared" si="2"/>
        <v>1.1353991425056327</v>
      </c>
      <c r="K51" s="170" t="str">
        <f t="shared" si="4"/>
        <v xml:space="preserve"> </v>
      </c>
    </row>
    <row r="52" spans="1:24" x14ac:dyDescent="0.25">
      <c r="A52" s="126" t="s">
        <v>594</v>
      </c>
      <c r="B52" s="126" t="s">
        <v>751</v>
      </c>
      <c r="C52" s="144">
        <f>VLOOKUP(A52,Detail!$A$6:$F$326,6,0)</f>
        <v>874290.75000000012</v>
      </c>
      <c r="D52" s="145">
        <v>860625.41</v>
      </c>
      <c r="E52" s="153">
        <f>VLOOKUP(A52,Enroll!$A$7:$C$350,3,0)</f>
        <v>31.1</v>
      </c>
      <c r="F52" s="154">
        <f t="shared" si="0"/>
        <v>28112.242765273313</v>
      </c>
      <c r="G52" s="160">
        <v>26.7</v>
      </c>
      <c r="H52" s="161">
        <v>32233.161423220976</v>
      </c>
      <c r="I52" s="160">
        <f t="shared" si="1"/>
        <v>1.0158783831400007</v>
      </c>
      <c r="J52" s="39">
        <f t="shared" si="2"/>
        <v>0.87215282411054706</v>
      </c>
      <c r="K52" s="170" t="str">
        <f t="shared" si="4"/>
        <v xml:space="preserve"> </v>
      </c>
    </row>
    <row r="53" spans="1:24" x14ac:dyDescent="0.25">
      <c r="A53" s="126" t="s">
        <v>102</v>
      </c>
      <c r="B53" s="126" t="s">
        <v>752</v>
      </c>
      <c r="C53" s="144">
        <f>VLOOKUP(A53,Detail!$A$6:$F$326,6,0)</f>
        <v>93654658.100000009</v>
      </c>
      <c r="D53" s="145">
        <v>88967194.809999973</v>
      </c>
      <c r="E53" s="153">
        <f>VLOOKUP(A53,Enroll!$A$7:$C$350,3,0)</f>
        <v>5907.5700000000006</v>
      </c>
      <c r="F53" s="154">
        <f t="shared" si="0"/>
        <v>15853.330235612952</v>
      </c>
      <c r="G53" s="160">
        <v>5994.16</v>
      </c>
      <c r="H53" s="161">
        <v>14842.31231899048</v>
      </c>
      <c r="I53" s="160">
        <f t="shared" si="1"/>
        <v>1.0526875473595707</v>
      </c>
      <c r="J53" s="39">
        <f t="shared" si="2"/>
        <v>1.0681172781500421</v>
      </c>
      <c r="K53" s="170" t="str">
        <f t="shared" si="4"/>
        <v xml:space="preserve"> </v>
      </c>
    </row>
    <row r="54" spans="1:24" x14ac:dyDescent="0.25">
      <c r="A54" s="126" t="s">
        <v>524</v>
      </c>
      <c r="B54" s="126" t="s">
        <v>753</v>
      </c>
      <c r="C54" s="144">
        <f>VLOOKUP(A54,Detail!$A$6:$F$326,6,0)</f>
        <v>3126307.6999999997</v>
      </c>
      <c r="D54" s="145">
        <v>3029391.7</v>
      </c>
      <c r="E54" s="153">
        <f>VLOOKUP(A54,Enroll!$A$7:$C$350,3,0)</f>
        <v>99.45</v>
      </c>
      <c r="F54" s="154">
        <f t="shared" si="0"/>
        <v>31435.974861739563</v>
      </c>
      <c r="G54" s="160">
        <v>99.95</v>
      </c>
      <c r="H54" s="161">
        <v>30309.071535767886</v>
      </c>
      <c r="I54" s="160">
        <f t="shared" si="1"/>
        <v>1.0319919012123786</v>
      </c>
      <c r="J54" s="39">
        <f t="shared" si="2"/>
        <v>1.0371803974477349</v>
      </c>
      <c r="K54" s="170" t="str">
        <f t="shared" si="4"/>
        <v xml:space="preserve"> </v>
      </c>
    </row>
    <row r="55" spans="1:24" x14ac:dyDescent="0.25">
      <c r="A55" s="126" t="s">
        <v>432</v>
      </c>
      <c r="B55" s="126" t="s">
        <v>754</v>
      </c>
      <c r="C55" s="144">
        <f>VLOOKUP(A55,Detail!$A$6:$F$326,6,0)</f>
        <v>5443226.6500000013</v>
      </c>
      <c r="D55" s="145">
        <v>5074615.7399999993</v>
      </c>
      <c r="E55" s="153">
        <f>VLOOKUP(A55,Enroll!$A$7:$C$350,3,0)</f>
        <v>258.94000000000005</v>
      </c>
      <c r="F55" s="154">
        <f t="shared" si="0"/>
        <v>21021.188885456089</v>
      </c>
      <c r="G55" s="160">
        <v>255.18</v>
      </c>
      <c r="H55" s="161">
        <v>19886.416411944505</v>
      </c>
      <c r="I55" s="160">
        <f t="shared" si="1"/>
        <v>1.072638191517532</v>
      </c>
      <c r="J55" s="39">
        <f t="shared" si="2"/>
        <v>1.0570626929460252</v>
      </c>
      <c r="K55" s="170" t="str">
        <f t="shared" si="4"/>
        <v xml:space="preserve"> </v>
      </c>
    </row>
    <row r="56" spans="1:24" s="128" customFormat="1" x14ac:dyDescent="0.25">
      <c r="A56" s="126" t="s">
        <v>588</v>
      </c>
      <c r="B56" s="126" t="s">
        <v>755</v>
      </c>
      <c r="C56" s="144">
        <f>VLOOKUP(A56,Detail!$A$6:$F$326,6,0)</f>
        <v>1048938.6100000003</v>
      </c>
      <c r="D56" s="145">
        <v>914888.51</v>
      </c>
      <c r="E56" s="153">
        <f>VLOOKUP(A56,Enroll!$A$7:$C$350,3,0)</f>
        <v>37.4</v>
      </c>
      <c r="F56" s="154">
        <f t="shared" si="0"/>
        <v>28046.486898395731</v>
      </c>
      <c r="G56" s="160">
        <v>43.6</v>
      </c>
      <c r="H56" s="161">
        <v>20983.681422018348</v>
      </c>
      <c r="I56" s="160">
        <f t="shared" si="1"/>
        <v>1.1465206946363338</v>
      </c>
      <c r="J56" s="39">
        <f t="shared" si="2"/>
        <v>1.3365856226241752</v>
      </c>
      <c r="K56" s="170" t="str">
        <f t="shared" si="4"/>
        <v xml:space="preserve"> </v>
      </c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</row>
    <row r="57" spans="1:24" x14ac:dyDescent="0.25">
      <c r="A57" s="126" t="s">
        <v>488</v>
      </c>
      <c r="B57" s="126" t="s">
        <v>756</v>
      </c>
      <c r="C57" s="144">
        <f>VLOOKUP(A57,Detail!$A$6:$F$326,6,0)</f>
        <v>5144281.7</v>
      </c>
      <c r="D57" s="145">
        <v>5396483.3800000008</v>
      </c>
      <c r="E57" s="153">
        <f>VLOOKUP(A57,Enroll!$A$7:$C$350,3,0)</f>
        <v>282.13000000000005</v>
      </c>
      <c r="F57" s="154">
        <f t="shared" si="0"/>
        <v>18233.728068620847</v>
      </c>
      <c r="G57" s="160">
        <v>272.89999999999998</v>
      </c>
      <c r="H57" s="161">
        <v>19774.58182484427</v>
      </c>
      <c r="I57" s="160">
        <f t="shared" si="1"/>
        <v>0.95326555050003681</v>
      </c>
      <c r="J57" s="39">
        <f t="shared" si="2"/>
        <v>0.92207907252493526</v>
      </c>
      <c r="K57" s="170" t="str">
        <f t="shared" si="4"/>
        <v xml:space="preserve"> </v>
      </c>
    </row>
    <row r="58" spans="1:24" x14ac:dyDescent="0.25">
      <c r="A58" s="126" t="s">
        <v>562</v>
      </c>
      <c r="B58" s="126" t="s">
        <v>757</v>
      </c>
      <c r="C58" s="144">
        <f>VLOOKUP(A58,Detail!$A$6:$F$326,6,0)</f>
        <v>1196490.3000000003</v>
      </c>
      <c r="D58" s="145">
        <v>1191068.8900000004</v>
      </c>
      <c r="E58" s="153">
        <f>VLOOKUP(A58,Enroll!$A$7:$C$350,3,0)</f>
        <v>43.06</v>
      </c>
      <c r="F58" s="154">
        <f t="shared" si="0"/>
        <v>27786.583836507205</v>
      </c>
      <c r="G58" s="160">
        <v>34.200000000000003</v>
      </c>
      <c r="H58" s="161">
        <v>34826.575730994162</v>
      </c>
      <c r="I58" s="160">
        <f t="shared" si="1"/>
        <v>1.0045517182469605</v>
      </c>
      <c r="J58" s="39">
        <f t="shared" si="2"/>
        <v>0.79785575392582553</v>
      </c>
      <c r="K58" s="170" t="str">
        <f t="shared" si="4"/>
        <v xml:space="preserve"> </v>
      </c>
    </row>
    <row r="59" spans="1:24" x14ac:dyDescent="0.25">
      <c r="A59" s="126" t="s">
        <v>462</v>
      </c>
      <c r="B59" s="126" t="s">
        <v>758</v>
      </c>
      <c r="C59" s="144">
        <f>VLOOKUP(A59,Detail!$A$6:$F$326,6,0)</f>
        <v>4995494.43</v>
      </c>
      <c r="D59" s="145">
        <v>3582661.2200000007</v>
      </c>
      <c r="E59" s="153">
        <f>VLOOKUP(A59,Enroll!$A$7:$C$350,3,0)</f>
        <v>189.94000000000003</v>
      </c>
      <c r="F59" s="154">
        <f t="shared" si="0"/>
        <v>26300.38133094661</v>
      </c>
      <c r="G59" s="160">
        <v>187.70000000000002</v>
      </c>
      <c r="H59" s="161">
        <v>19087.166862013855</v>
      </c>
      <c r="I59" s="160">
        <f t="shared" si="1"/>
        <v>1.3943530027659157</v>
      </c>
      <c r="J59" s="39">
        <f t="shared" si="2"/>
        <v>1.377909121928832</v>
      </c>
      <c r="K59" s="170" t="str">
        <f t="shared" ref="K59:K90" si="5">IF(AND(I59&lt;0.9,J59&lt;0.9),"DNME"," ")</f>
        <v xml:space="preserve"> </v>
      </c>
    </row>
    <row r="60" spans="1:24" x14ac:dyDescent="0.25">
      <c r="A60" s="126" t="s">
        <v>408</v>
      </c>
      <c r="B60" s="126" t="s">
        <v>759</v>
      </c>
      <c r="C60" s="144">
        <f>VLOOKUP(A60,Detail!$A$6:$F$326,6,0)</f>
        <v>8610473.2899999972</v>
      </c>
      <c r="D60" s="145">
        <v>7124603.8400000008</v>
      </c>
      <c r="E60" s="153">
        <f>VLOOKUP(A60,Enroll!$A$7:$C$350,3,0)</f>
        <v>518.14999999999986</v>
      </c>
      <c r="F60" s="154">
        <f t="shared" si="0"/>
        <v>16617.723226864808</v>
      </c>
      <c r="G60" s="160">
        <v>431.67</v>
      </c>
      <c r="H60" s="161">
        <v>16504.746310839299</v>
      </c>
      <c r="I60" s="160">
        <f t="shared" si="1"/>
        <v>1.208554676634483</v>
      </c>
      <c r="J60" s="39">
        <f t="shared" si="2"/>
        <v>1.0068451167862733</v>
      </c>
      <c r="K60" s="170" t="str">
        <f t="shared" si="5"/>
        <v xml:space="preserve"> </v>
      </c>
    </row>
    <row r="61" spans="1:24" x14ac:dyDescent="0.25">
      <c r="A61" s="126" t="s">
        <v>38</v>
      </c>
      <c r="B61" s="126" t="s">
        <v>760</v>
      </c>
      <c r="C61" s="144">
        <f>VLOOKUP(A61,Detail!$A$6:$F$326,6,0)</f>
        <v>304680334.22000009</v>
      </c>
      <c r="D61" s="145">
        <v>282050271.70000005</v>
      </c>
      <c r="E61" s="153">
        <f>VLOOKUP(A61,Enroll!$A$7:$C$350,3,0)</f>
        <v>18444.530000000002</v>
      </c>
      <c r="F61" s="154">
        <f t="shared" si="0"/>
        <v>16518.736678028665</v>
      </c>
      <c r="G61" s="160">
        <v>18444.25</v>
      </c>
      <c r="H61" s="161">
        <v>15292.043411903442</v>
      </c>
      <c r="I61" s="160">
        <f t="shared" si="1"/>
        <v>1.0802341454365634</v>
      </c>
      <c r="J61" s="39">
        <f t="shared" si="2"/>
        <v>1.0802177467774094</v>
      </c>
      <c r="K61" s="170" t="str">
        <f t="shared" si="5"/>
        <v xml:space="preserve"> </v>
      </c>
    </row>
    <row r="62" spans="1:24" x14ac:dyDescent="0.25">
      <c r="A62" s="126" t="s">
        <v>216</v>
      </c>
      <c r="B62" s="126" t="s">
        <v>761</v>
      </c>
      <c r="C62" s="144">
        <f>VLOOKUP(A62,Detail!$A$6:$F$326,6,0)</f>
        <v>32939450.510000002</v>
      </c>
      <c r="D62" s="145">
        <v>30094737.030000001</v>
      </c>
      <c r="E62" s="153">
        <f>VLOOKUP(A62,Enroll!$A$7:$C$350,3,0)</f>
        <v>2061.27</v>
      </c>
      <c r="F62" s="154">
        <f t="shared" si="0"/>
        <v>15980.172665395607</v>
      </c>
      <c r="G62" s="160">
        <v>2036.05</v>
      </c>
      <c r="H62" s="161">
        <v>14780.942034822328</v>
      </c>
      <c r="I62" s="160">
        <f t="shared" si="1"/>
        <v>1.0945252811866819</v>
      </c>
      <c r="J62" s="39">
        <f t="shared" si="2"/>
        <v>1.0811335723899071</v>
      </c>
      <c r="K62" s="170" t="str">
        <f t="shared" si="5"/>
        <v xml:space="preserve"> </v>
      </c>
    </row>
    <row r="63" spans="1:24" x14ac:dyDescent="0.25">
      <c r="A63" s="126" t="s">
        <v>606</v>
      </c>
      <c r="B63" s="126" t="s">
        <v>762</v>
      </c>
      <c r="C63" s="144">
        <f>VLOOKUP(A63,Detail!$A$6:$F$326,6,0)</f>
        <v>588715.98</v>
      </c>
      <c r="D63" s="145">
        <v>491292.37</v>
      </c>
      <c r="E63" s="153">
        <f>VLOOKUP(A63,Enroll!$A$7:$C$350,3,0)</f>
        <v>13</v>
      </c>
      <c r="F63" s="154">
        <f t="shared" si="0"/>
        <v>45285.844615384616</v>
      </c>
      <c r="G63" s="160">
        <v>10.4</v>
      </c>
      <c r="H63" s="161">
        <v>47239.650961538457</v>
      </c>
      <c r="I63" s="160">
        <f t="shared" si="1"/>
        <v>1.1983006778631633</v>
      </c>
      <c r="J63" s="39">
        <f t="shared" si="2"/>
        <v>0.95864054229053075</v>
      </c>
      <c r="K63" s="170" t="str">
        <f t="shared" si="5"/>
        <v xml:space="preserve"> </v>
      </c>
    </row>
    <row r="64" spans="1:24" x14ac:dyDescent="0.25">
      <c r="A64" s="126" t="s">
        <v>576</v>
      </c>
      <c r="B64" s="126" t="s">
        <v>763</v>
      </c>
      <c r="C64" s="144">
        <f>VLOOKUP(A64,Detail!$A$6:$F$326,6,0)</f>
        <v>2833361.3499999996</v>
      </c>
      <c r="D64" s="145">
        <v>2548114.3400000003</v>
      </c>
      <c r="E64" s="153">
        <f>VLOOKUP(A64,Enroll!$A$7:$C$350,3,0)</f>
        <v>55.040000000000006</v>
      </c>
      <c r="F64" s="154">
        <f t="shared" si="0"/>
        <v>51478.222202034871</v>
      </c>
      <c r="G64" s="160">
        <v>48.51</v>
      </c>
      <c r="H64" s="161">
        <v>52527.609565038147</v>
      </c>
      <c r="I64" s="160">
        <f t="shared" si="1"/>
        <v>1.1119443525442423</v>
      </c>
      <c r="J64" s="39">
        <f t="shared" si="2"/>
        <v>0.98002217554362614</v>
      </c>
      <c r="K64" s="170" t="str">
        <f t="shared" si="5"/>
        <v xml:space="preserve"> </v>
      </c>
    </row>
    <row r="65" spans="1:11" x14ac:dyDescent="0.25">
      <c r="A65" s="126" t="s">
        <v>426</v>
      </c>
      <c r="B65" s="126" t="s">
        <v>764</v>
      </c>
      <c r="C65" s="144">
        <f>VLOOKUP(A65,Detail!$A$6:$F$326,6,0)</f>
        <v>6781807.6299999999</v>
      </c>
      <c r="D65" s="145">
        <v>5891151.6399999997</v>
      </c>
      <c r="E65" s="153">
        <f>VLOOKUP(A65,Enroll!$A$7:$C$350,3,0)</f>
        <v>343.55</v>
      </c>
      <c r="F65" s="154">
        <f t="shared" si="0"/>
        <v>19740.38023577354</v>
      </c>
      <c r="G65" s="160">
        <v>338.98</v>
      </c>
      <c r="H65" s="161">
        <v>17379.053749483744</v>
      </c>
      <c r="I65" s="160">
        <f t="shared" si="1"/>
        <v>1.1511853784160953</v>
      </c>
      <c r="J65" s="39">
        <f t="shared" si="2"/>
        <v>1.1358719824639441</v>
      </c>
      <c r="K65" s="170" t="str">
        <f t="shared" si="5"/>
        <v xml:space="preserve"> </v>
      </c>
    </row>
    <row r="66" spans="1:11" x14ac:dyDescent="0.25">
      <c r="A66" s="126" t="s">
        <v>206</v>
      </c>
      <c r="B66" s="126" t="s">
        <v>765</v>
      </c>
      <c r="C66" s="144">
        <f>VLOOKUP(A66,Detail!$A$6:$F$326,6,0)</f>
        <v>39088152.659999996</v>
      </c>
      <c r="D66" s="145">
        <v>36550583.329999998</v>
      </c>
      <c r="E66" s="153">
        <f>VLOOKUP(A66,Enroll!$A$7:$C$350,3,0)</f>
        <v>2338.69</v>
      </c>
      <c r="F66" s="154">
        <f t="shared" si="0"/>
        <v>16713.69555605916</v>
      </c>
      <c r="G66" s="160">
        <v>2381.7500000000005</v>
      </c>
      <c r="H66" s="161">
        <v>15346.104053741992</v>
      </c>
      <c r="I66" s="160">
        <f t="shared" si="1"/>
        <v>1.0694262334225788</v>
      </c>
      <c r="J66" s="39">
        <f t="shared" si="2"/>
        <v>1.0891165273953485</v>
      </c>
      <c r="K66" s="170" t="str">
        <f t="shared" si="5"/>
        <v xml:space="preserve"> </v>
      </c>
    </row>
    <row r="67" spans="1:11" x14ac:dyDescent="0.25">
      <c r="A67" s="126" t="s">
        <v>180</v>
      </c>
      <c r="B67" s="126" t="s">
        <v>766</v>
      </c>
      <c r="C67" s="144">
        <f>VLOOKUP(A67,Detail!$A$6:$F$326,6,0)</f>
        <v>54270365.139999993</v>
      </c>
      <c r="D67" s="145">
        <v>51726444.969999999</v>
      </c>
      <c r="E67" s="153">
        <f>VLOOKUP(A67,Enroll!$A$7:$C$350,3,0)</f>
        <v>3259.1200000000003</v>
      </c>
      <c r="F67" s="154">
        <f t="shared" si="0"/>
        <v>16651.846246839636</v>
      </c>
      <c r="G67" s="160">
        <v>3245.1199999999994</v>
      </c>
      <c r="H67" s="161">
        <v>15939.763389335374</v>
      </c>
      <c r="I67" s="160">
        <f t="shared" si="1"/>
        <v>1.0491802630448583</v>
      </c>
      <c r="J67" s="39">
        <f t="shared" si="2"/>
        <v>1.0446733643474713</v>
      </c>
      <c r="K67" s="170" t="str">
        <f t="shared" si="5"/>
        <v xml:space="preserve"> </v>
      </c>
    </row>
    <row r="68" spans="1:11" x14ac:dyDescent="0.25">
      <c r="A68" s="126" t="s">
        <v>294</v>
      </c>
      <c r="B68" s="126" t="s">
        <v>767</v>
      </c>
      <c r="C68" s="144">
        <f>VLOOKUP(A68,Detail!$A$6:$F$326,6,0)</f>
        <v>15407544.719999999</v>
      </c>
      <c r="D68" s="145">
        <v>14246676.180000002</v>
      </c>
      <c r="E68" s="153">
        <f>VLOOKUP(A68,Enroll!$A$7:$C$350,3,0)</f>
        <v>923.29999999999984</v>
      </c>
      <c r="F68" s="154">
        <f t="shared" si="0"/>
        <v>16687.473973789671</v>
      </c>
      <c r="G68" s="160">
        <v>924.03</v>
      </c>
      <c r="H68" s="161">
        <v>15417.980130515245</v>
      </c>
      <c r="I68" s="160">
        <f t="shared" si="1"/>
        <v>1.0814834650084675</v>
      </c>
      <c r="J68" s="39">
        <f t="shared" si="2"/>
        <v>1.0823385315409666</v>
      </c>
      <c r="K68" s="170" t="str">
        <f t="shared" si="5"/>
        <v xml:space="preserve"> </v>
      </c>
    </row>
    <row r="69" spans="1:11" x14ac:dyDescent="0.25">
      <c r="A69" s="126" t="s">
        <v>472</v>
      </c>
      <c r="B69" s="126" t="s">
        <v>1007</v>
      </c>
      <c r="C69" s="144">
        <f>VLOOKUP(A69,Detail!$A$6:$F$326,6,0)</f>
        <v>4176203.6699999995</v>
      </c>
      <c r="D69" s="145">
        <v>3674972.9799999991</v>
      </c>
      <c r="E69" s="153">
        <f>VLOOKUP(A69,Enroll!$A$7:$C$350,3,0)</f>
        <v>196.30999999999997</v>
      </c>
      <c r="F69" s="154">
        <f t="shared" si="0"/>
        <v>21273.514696143855</v>
      </c>
      <c r="G69" s="160">
        <v>204.07999999999998</v>
      </c>
      <c r="H69" s="161">
        <v>18007.511662093293</v>
      </c>
      <c r="I69" s="160">
        <f t="shared" si="1"/>
        <v>1.1363903061948502</v>
      </c>
      <c r="J69" s="39">
        <f t="shared" si="2"/>
        <v>1.1813689251094952</v>
      </c>
      <c r="K69" s="170" t="str">
        <f t="shared" si="5"/>
        <v xml:space="preserve"> </v>
      </c>
    </row>
    <row r="70" spans="1:11" x14ac:dyDescent="0.25">
      <c r="A70" s="126" t="s">
        <v>386</v>
      </c>
      <c r="B70" s="126" t="s">
        <v>768</v>
      </c>
      <c r="C70" s="144">
        <f>VLOOKUP(A70,Detail!$A$6:$F$326,6,0)</f>
        <v>9548998.6999999974</v>
      </c>
      <c r="D70" s="145">
        <v>8919285.3800000008</v>
      </c>
      <c r="E70" s="153">
        <f>VLOOKUP(A70,Enroll!$A$7:$C$350,3,0)</f>
        <v>547.81000000000006</v>
      </c>
      <c r="F70" s="154">
        <f t="shared" si="0"/>
        <v>17431.223781968194</v>
      </c>
      <c r="G70" s="160">
        <v>537.77</v>
      </c>
      <c r="H70" s="161">
        <v>16585.687896312553</v>
      </c>
      <c r="I70" s="160">
        <f t="shared" si="1"/>
        <v>1.0706013198559632</v>
      </c>
      <c r="J70" s="39">
        <f t="shared" si="2"/>
        <v>1.050979850274623</v>
      </c>
      <c r="K70" s="170" t="str">
        <f t="shared" si="5"/>
        <v xml:space="preserve"> </v>
      </c>
    </row>
    <row r="71" spans="1:11" x14ac:dyDescent="0.25">
      <c r="A71" s="126" t="s">
        <v>234</v>
      </c>
      <c r="B71" s="126" t="s">
        <v>769</v>
      </c>
      <c r="C71" s="144">
        <f>VLOOKUP(A71,Detail!$A$6:$F$326,6,0)</f>
        <v>27966846.769999996</v>
      </c>
      <c r="D71" s="145">
        <v>26413004.139999997</v>
      </c>
      <c r="E71" s="153">
        <f>VLOOKUP(A71,Enroll!$A$7:$C$350,3,0)</f>
        <v>1740.74</v>
      </c>
      <c r="F71" s="154">
        <f t="shared" ref="F71:F134" si="6">C71/E71</f>
        <v>16066.067747050103</v>
      </c>
      <c r="G71" s="160">
        <v>1731.6100000000001</v>
      </c>
      <c r="H71" s="161">
        <v>15253.437055688057</v>
      </c>
      <c r="I71" s="160">
        <f t="shared" ref="I71:I134" si="7">SUM(C71/D71)</f>
        <v>1.0588286974765908</v>
      </c>
      <c r="J71" s="39">
        <f t="shared" ref="J71:J134" si="8">F71/H71</f>
        <v>1.0532752512365082</v>
      </c>
      <c r="K71" s="170" t="str">
        <f t="shared" si="5"/>
        <v xml:space="preserve"> </v>
      </c>
    </row>
    <row r="72" spans="1:11" x14ac:dyDescent="0.25">
      <c r="A72" s="126" t="s">
        <v>80</v>
      </c>
      <c r="B72" s="126" t="s">
        <v>770</v>
      </c>
      <c r="C72" s="144">
        <f>VLOOKUP(A72,Detail!$A$6:$F$326,6,0)</f>
        <v>114165475.89</v>
      </c>
      <c r="D72" s="145">
        <v>133440708.27000001</v>
      </c>
      <c r="E72" s="153">
        <f>VLOOKUP(A72,Enroll!$A$7:$C$350,3,0)</f>
        <v>8577.2300000000014</v>
      </c>
      <c r="F72" s="154">
        <f t="shared" si="6"/>
        <v>13310.296668038514</v>
      </c>
      <c r="G72" s="160">
        <v>8750.39</v>
      </c>
      <c r="H72" s="161">
        <v>15249.686959095539</v>
      </c>
      <c r="I72" s="160">
        <f t="shared" si="7"/>
        <v>0.85555208279471151</v>
      </c>
      <c r="J72" s="39">
        <f t="shared" si="8"/>
        <v>0.87282425558904386</v>
      </c>
      <c r="K72" s="170" t="str">
        <f t="shared" si="5"/>
        <v>DNME</v>
      </c>
    </row>
    <row r="73" spans="1:11" x14ac:dyDescent="0.25">
      <c r="A73" s="126" t="s">
        <v>200</v>
      </c>
      <c r="B73" s="126" t="s">
        <v>771</v>
      </c>
      <c r="C73" s="144">
        <f>VLOOKUP(A73,Detail!$A$6:$F$326,6,0)</f>
        <v>42686918.449999988</v>
      </c>
      <c r="D73" s="145">
        <v>39929885.880000003</v>
      </c>
      <c r="E73" s="153">
        <f>VLOOKUP(A73,Enroll!$A$7:$C$350,3,0)</f>
        <v>2746.1600000000003</v>
      </c>
      <c r="F73" s="154">
        <f t="shared" si="6"/>
        <v>15544.221185218626</v>
      </c>
      <c r="G73" s="160">
        <v>2733.4999999999995</v>
      </c>
      <c r="H73" s="161">
        <v>14607.604126577651</v>
      </c>
      <c r="I73" s="160">
        <f t="shared" si="7"/>
        <v>1.0690468432162719</v>
      </c>
      <c r="J73" s="39">
        <f t="shared" si="8"/>
        <v>1.0641184584771748</v>
      </c>
      <c r="K73" s="170" t="str">
        <f t="shared" si="5"/>
        <v xml:space="preserve"> </v>
      </c>
    </row>
    <row r="74" spans="1:11" x14ac:dyDescent="0.25">
      <c r="A74" s="126" t="s">
        <v>506</v>
      </c>
      <c r="B74" s="126" t="s">
        <v>772</v>
      </c>
      <c r="C74" s="144">
        <f>VLOOKUP(A74,Detail!$A$6:$F$326,6,0)</f>
        <v>3435111.12</v>
      </c>
      <c r="D74" s="145">
        <v>3280321.9499999997</v>
      </c>
      <c r="E74" s="153">
        <f>VLOOKUP(A74,Enroll!$A$7:$C$350,3,0)</f>
        <v>122.83</v>
      </c>
      <c r="F74" s="154">
        <f t="shared" si="6"/>
        <v>27966.38541073028</v>
      </c>
      <c r="G74" s="160">
        <v>116.99</v>
      </c>
      <c r="H74" s="161">
        <v>28039.336268057097</v>
      </c>
      <c r="I74" s="160">
        <f t="shared" si="7"/>
        <v>1.0471871884404518</v>
      </c>
      <c r="J74" s="39">
        <f t="shared" si="8"/>
        <v>0.99739826732596648</v>
      </c>
      <c r="K74" s="170" t="str">
        <f t="shared" si="5"/>
        <v xml:space="preserve"> </v>
      </c>
    </row>
    <row r="75" spans="1:11" x14ac:dyDescent="0.25">
      <c r="A75" s="126" t="s">
        <v>336</v>
      </c>
      <c r="B75" s="126" t="s">
        <v>773</v>
      </c>
      <c r="C75" s="144">
        <f>VLOOKUP(A75,Detail!$A$6:$F$326,6,0)</f>
        <v>11552706.529999999</v>
      </c>
      <c r="D75" s="145">
        <v>10375644.159999998</v>
      </c>
      <c r="E75" s="153">
        <f>VLOOKUP(A75,Enroll!$A$7:$C$350,3,0)</f>
        <v>661.72</v>
      </c>
      <c r="F75" s="154">
        <f t="shared" si="6"/>
        <v>17458.602626488544</v>
      </c>
      <c r="G75" s="160">
        <v>705.15</v>
      </c>
      <c r="H75" s="161">
        <v>14714.095100333261</v>
      </c>
      <c r="I75" s="160">
        <f t="shared" si="7"/>
        <v>1.1134447511738876</v>
      </c>
      <c r="J75" s="39">
        <f t="shared" si="8"/>
        <v>1.1865223452370592</v>
      </c>
      <c r="K75" s="170" t="str">
        <f t="shared" si="5"/>
        <v xml:space="preserve"> </v>
      </c>
    </row>
    <row r="76" spans="1:11" x14ac:dyDescent="0.25">
      <c r="A76" s="126" t="s">
        <v>162</v>
      </c>
      <c r="B76" s="126" t="s">
        <v>774</v>
      </c>
      <c r="C76" s="144">
        <f>VLOOKUP(A76,Detail!$A$6:$F$326,6,0)</f>
        <v>53331538.369999982</v>
      </c>
      <c r="D76" s="145">
        <v>48715189.949999996</v>
      </c>
      <c r="E76" s="153">
        <f>VLOOKUP(A76,Enroll!$A$7:$C$350,3,0)</f>
        <v>3175.7300000000005</v>
      </c>
      <c r="F76" s="154">
        <f t="shared" si="6"/>
        <v>16793.473743044899</v>
      </c>
      <c r="G76" s="160">
        <v>3231.72</v>
      </c>
      <c r="H76" s="161">
        <v>15074.075090044929</v>
      </c>
      <c r="I76" s="160">
        <f t="shared" si="7"/>
        <v>1.0947619915828737</v>
      </c>
      <c r="J76" s="39">
        <f t="shared" si="8"/>
        <v>1.1140632936169648</v>
      </c>
      <c r="K76" s="170" t="str">
        <f t="shared" si="5"/>
        <v xml:space="preserve"> </v>
      </c>
    </row>
    <row r="77" spans="1:11" x14ac:dyDescent="0.25">
      <c r="A77" s="126" t="s">
        <v>238</v>
      </c>
      <c r="B77" s="126" t="s">
        <v>775</v>
      </c>
      <c r="C77" s="144">
        <f>VLOOKUP(A77,Detail!$A$6:$F$326,6,0)</f>
        <v>27961087.370000005</v>
      </c>
      <c r="D77" s="145">
        <v>25009564.34</v>
      </c>
      <c r="E77" s="153">
        <f>VLOOKUP(A77,Enroll!$A$7:$C$350,3,0)</f>
        <v>1571.6900000000003</v>
      </c>
      <c r="F77" s="154">
        <f t="shared" si="6"/>
        <v>17790.45954991124</v>
      </c>
      <c r="G77" s="160">
        <v>1605.23</v>
      </c>
      <c r="H77" s="161">
        <v>15580.050422680863</v>
      </c>
      <c r="I77" s="160">
        <f t="shared" si="7"/>
        <v>1.1180157714814478</v>
      </c>
      <c r="J77" s="39">
        <f t="shared" si="8"/>
        <v>1.1418743243611424</v>
      </c>
      <c r="K77" s="170" t="str">
        <f t="shared" si="5"/>
        <v xml:space="preserve"> </v>
      </c>
    </row>
    <row r="78" spans="1:11" x14ac:dyDescent="0.25">
      <c r="A78" s="126" t="s">
        <v>342</v>
      </c>
      <c r="B78" s="126" t="s">
        <v>776</v>
      </c>
      <c r="C78" s="144">
        <f>VLOOKUP(A78,Detail!$A$6:$F$326,6,0)</f>
        <v>11581840.550000001</v>
      </c>
      <c r="D78" s="145">
        <v>11317511.24</v>
      </c>
      <c r="E78" s="153">
        <f>VLOOKUP(A78,Enroll!$A$7:$C$350,3,0)</f>
        <v>633.46</v>
      </c>
      <c r="F78" s="154">
        <f t="shared" si="6"/>
        <v>18283.459965901558</v>
      </c>
      <c r="G78" s="160">
        <v>651.91000000000008</v>
      </c>
      <c r="H78" s="161">
        <v>17360.54246751852</v>
      </c>
      <c r="I78" s="160">
        <f t="shared" si="7"/>
        <v>1.0233557806477602</v>
      </c>
      <c r="J78" s="39">
        <f t="shared" si="8"/>
        <v>1.0531617891612437</v>
      </c>
      <c r="K78" s="170" t="str">
        <f t="shared" si="5"/>
        <v xml:space="preserve"> </v>
      </c>
    </row>
    <row r="79" spans="1:11" x14ac:dyDescent="0.25">
      <c r="A79" s="126" t="s">
        <v>414</v>
      </c>
      <c r="B79" s="126" t="s">
        <v>1008</v>
      </c>
      <c r="C79" s="144">
        <f>VLOOKUP(A79,Detail!$A$6:$F$326,6,0)</f>
        <v>5681723.620000001</v>
      </c>
      <c r="D79" s="145">
        <v>5287728.8600000003</v>
      </c>
      <c r="E79" s="153">
        <f>VLOOKUP(A79,Enroll!$A$7:$C$350,3,0)</f>
        <v>317.42</v>
      </c>
      <c r="F79" s="154">
        <f t="shared" si="6"/>
        <v>17899.702665238488</v>
      </c>
      <c r="G79" s="160">
        <v>324.95</v>
      </c>
      <c r="H79" s="161">
        <v>16272.438405908602</v>
      </c>
      <c r="I79" s="160">
        <f t="shared" si="7"/>
        <v>1.0745111503315623</v>
      </c>
      <c r="J79" s="39">
        <f t="shared" si="8"/>
        <v>1.1000012548051199</v>
      </c>
      <c r="K79" s="170" t="str">
        <f t="shared" si="5"/>
        <v xml:space="preserve"> </v>
      </c>
    </row>
    <row r="80" spans="1:11" x14ac:dyDescent="0.25">
      <c r="A80" s="126" t="s">
        <v>260</v>
      </c>
      <c r="B80" s="126" t="s">
        <v>777</v>
      </c>
      <c r="C80" s="144">
        <f>VLOOKUP(A80,Detail!$A$6:$F$326,6,0)</f>
        <v>23452876.479999997</v>
      </c>
      <c r="D80" s="145">
        <v>21909199.919999994</v>
      </c>
      <c r="E80" s="153">
        <f>VLOOKUP(A80,Enroll!$A$7:$C$350,3,0)</f>
        <v>1486.1</v>
      </c>
      <c r="F80" s="154">
        <f t="shared" si="6"/>
        <v>15781.492820133233</v>
      </c>
      <c r="G80" s="160">
        <v>1479.1</v>
      </c>
      <c r="H80" s="161">
        <v>14812.52107362585</v>
      </c>
      <c r="I80" s="160">
        <f t="shared" si="7"/>
        <v>1.0704579156535445</v>
      </c>
      <c r="J80" s="39">
        <f t="shared" si="8"/>
        <v>1.0654157210437774</v>
      </c>
      <c r="K80" s="170" t="str">
        <f t="shared" si="5"/>
        <v xml:space="preserve"> </v>
      </c>
    </row>
    <row r="81" spans="1:11" x14ac:dyDescent="0.25">
      <c r="A81" s="126" t="s">
        <v>256</v>
      </c>
      <c r="B81" s="126" t="s">
        <v>778</v>
      </c>
      <c r="C81" s="144">
        <f>VLOOKUP(A81,Detail!$A$6:$F$326,6,0)</f>
        <v>26800502.369999997</v>
      </c>
      <c r="D81" s="145">
        <v>24929339.75</v>
      </c>
      <c r="E81" s="153">
        <f>VLOOKUP(A81,Enroll!$A$7:$C$350,3,0)</f>
        <v>1652.6399999999999</v>
      </c>
      <c r="F81" s="154">
        <f t="shared" si="6"/>
        <v>16216.78185811792</v>
      </c>
      <c r="G81" s="160">
        <v>1698.6200000000001</v>
      </c>
      <c r="H81" s="161">
        <v>14676.231146460066</v>
      </c>
      <c r="I81" s="160">
        <f t="shared" si="7"/>
        <v>1.0750586513226847</v>
      </c>
      <c r="J81" s="39">
        <f t="shared" si="8"/>
        <v>1.1049690956952145</v>
      </c>
      <c r="K81" s="170" t="str">
        <f t="shared" si="5"/>
        <v xml:space="preserve"> </v>
      </c>
    </row>
    <row r="82" spans="1:11" x14ac:dyDescent="0.25">
      <c r="A82" s="126" t="s">
        <v>490</v>
      </c>
      <c r="B82" s="126" t="s">
        <v>779</v>
      </c>
      <c r="C82" s="144">
        <f>VLOOKUP(A82,Detail!$A$6:$F$326,6,0)</f>
        <v>4023313.1999999997</v>
      </c>
      <c r="D82" s="145">
        <v>3450866.77</v>
      </c>
      <c r="E82" s="153">
        <f>VLOOKUP(A82,Enroll!$A$7:$C$350,3,0)</f>
        <v>188.4</v>
      </c>
      <c r="F82" s="154">
        <f t="shared" si="6"/>
        <v>21355.165605095539</v>
      </c>
      <c r="G82" s="160">
        <v>185.60000000000002</v>
      </c>
      <c r="H82" s="161">
        <v>18593.032165948272</v>
      </c>
      <c r="I82" s="160">
        <f t="shared" si="7"/>
        <v>1.1658848249305203</v>
      </c>
      <c r="J82" s="39">
        <f t="shared" si="8"/>
        <v>1.1485574496130817</v>
      </c>
      <c r="K82" s="170" t="str">
        <f t="shared" si="5"/>
        <v xml:space="preserve"> </v>
      </c>
    </row>
    <row r="83" spans="1:11" x14ac:dyDescent="0.25">
      <c r="A83" s="126" t="s">
        <v>494</v>
      </c>
      <c r="B83" s="126" t="s">
        <v>1009</v>
      </c>
      <c r="C83" s="144">
        <f>VLOOKUP(A83,Detail!$A$6:$F$326,6,0)</f>
        <v>4637351.16</v>
      </c>
      <c r="D83" s="145">
        <v>4228731.290000001</v>
      </c>
      <c r="E83" s="153">
        <f>VLOOKUP(A83,Enroll!$A$7:$C$350,3,0)</f>
        <v>211.4</v>
      </c>
      <c r="F83" s="154">
        <f t="shared" si="6"/>
        <v>21936.382024597919</v>
      </c>
      <c r="G83" s="160">
        <v>208.01999999999998</v>
      </c>
      <c r="H83" s="161">
        <v>20328.484232285362</v>
      </c>
      <c r="I83" s="160">
        <f t="shared" si="7"/>
        <v>1.0966294242829506</v>
      </c>
      <c r="J83" s="39">
        <f t="shared" si="8"/>
        <v>1.0790958034027407</v>
      </c>
      <c r="K83" s="170" t="str">
        <f t="shared" si="5"/>
        <v xml:space="preserve"> </v>
      </c>
    </row>
    <row r="84" spans="1:11" x14ac:dyDescent="0.25">
      <c r="A84" s="126" t="s">
        <v>502</v>
      </c>
      <c r="B84" s="126" t="s">
        <v>780</v>
      </c>
      <c r="C84" s="144">
        <f>VLOOKUP(A84,Detail!$A$6:$F$326,6,0)</f>
        <v>3470260.8799999994</v>
      </c>
      <c r="D84" s="145">
        <v>3447388.27</v>
      </c>
      <c r="E84" s="153">
        <f>VLOOKUP(A84,Enroll!$A$7:$C$350,3,0)</f>
        <v>187.05</v>
      </c>
      <c r="F84" s="154">
        <f t="shared" si="6"/>
        <v>18552.58422881582</v>
      </c>
      <c r="G84" s="160">
        <v>181.48</v>
      </c>
      <c r="H84" s="161">
        <v>18995.967985452942</v>
      </c>
      <c r="I84" s="160">
        <f t="shared" si="7"/>
        <v>1.0066347646997127</v>
      </c>
      <c r="J84" s="39">
        <f t="shared" si="8"/>
        <v>0.97665905959745436</v>
      </c>
      <c r="K84" s="170" t="str">
        <f t="shared" si="5"/>
        <v xml:space="preserve"> </v>
      </c>
    </row>
    <row r="85" spans="1:11" x14ac:dyDescent="0.25">
      <c r="A85" s="126" t="s">
        <v>552</v>
      </c>
      <c r="B85" s="126" t="s">
        <v>781</v>
      </c>
      <c r="C85" s="144">
        <f>VLOOKUP(A85,Detail!$A$6:$F$326,6,0)</f>
        <v>1191801.9099999999</v>
      </c>
      <c r="D85" s="145">
        <v>1027818.38</v>
      </c>
      <c r="E85" s="153">
        <f>VLOOKUP(A85,Enroll!$A$7:$C$350,3,0)</f>
        <v>67.08</v>
      </c>
      <c r="F85" s="154">
        <f t="shared" si="6"/>
        <v>17766.874031007752</v>
      </c>
      <c r="G85" s="160">
        <v>61.32</v>
      </c>
      <c r="H85" s="161">
        <v>16761.552185257664</v>
      </c>
      <c r="I85" s="160">
        <f t="shared" si="7"/>
        <v>1.1595452398895609</v>
      </c>
      <c r="J85" s="39">
        <f t="shared" si="8"/>
        <v>1.0599778489867007</v>
      </c>
      <c r="K85" s="170" t="str">
        <f t="shared" si="5"/>
        <v xml:space="preserve"> </v>
      </c>
    </row>
    <row r="86" spans="1:11" x14ac:dyDescent="0.25">
      <c r="A86" s="126" t="s">
        <v>496</v>
      </c>
      <c r="B86" s="126" t="s">
        <v>782</v>
      </c>
      <c r="C86" s="144">
        <f>VLOOKUP(A86,Detail!$A$6:$F$326,6,0)</f>
        <v>4095523.5799999996</v>
      </c>
      <c r="D86" s="145">
        <v>3685184.21</v>
      </c>
      <c r="E86" s="153">
        <f>VLOOKUP(A86,Enroll!$A$7:$C$350,3,0)</f>
        <v>174.41</v>
      </c>
      <c r="F86" s="154">
        <f t="shared" si="6"/>
        <v>23482.160311908719</v>
      </c>
      <c r="G86" s="160">
        <v>178.66000000000003</v>
      </c>
      <c r="H86" s="161">
        <v>20626.800682861296</v>
      </c>
      <c r="I86" s="160">
        <f t="shared" si="7"/>
        <v>1.1113484012241548</v>
      </c>
      <c r="J86" s="39">
        <f t="shared" si="8"/>
        <v>1.1384295932727913</v>
      </c>
      <c r="K86" s="170" t="str">
        <f t="shared" si="5"/>
        <v xml:space="preserve"> </v>
      </c>
    </row>
    <row r="87" spans="1:11" x14ac:dyDescent="0.25">
      <c r="A87" s="126" t="s">
        <v>362</v>
      </c>
      <c r="B87" s="126" t="s">
        <v>783</v>
      </c>
      <c r="C87" s="144">
        <f>VLOOKUP(A87,Detail!$A$6:$F$326,6,0)</f>
        <v>10889634.699999999</v>
      </c>
      <c r="D87" s="145">
        <v>10859160.069999998</v>
      </c>
      <c r="E87" s="153">
        <f>VLOOKUP(A87,Enroll!$A$7:$C$350,3,0)</f>
        <v>586.11</v>
      </c>
      <c r="F87" s="154">
        <f t="shared" si="6"/>
        <v>18579.506747880088</v>
      </c>
      <c r="G87" s="160">
        <v>588.59</v>
      </c>
      <c r="H87" s="161">
        <v>18449.447102397251</v>
      </c>
      <c r="I87" s="160">
        <f t="shared" si="7"/>
        <v>1.0028063524069593</v>
      </c>
      <c r="J87" s="39">
        <f t="shared" si="8"/>
        <v>1.0070495145334701</v>
      </c>
      <c r="K87" s="170" t="str">
        <f t="shared" si="5"/>
        <v xml:space="preserve"> </v>
      </c>
    </row>
    <row r="88" spans="1:11" x14ac:dyDescent="0.25">
      <c r="A88" s="126" t="s">
        <v>458</v>
      </c>
      <c r="B88" s="126" t="s">
        <v>784</v>
      </c>
      <c r="C88" s="144">
        <f>VLOOKUP(A88,Detail!$A$6:$F$326,6,0)</f>
        <v>6018869.2200000007</v>
      </c>
      <c r="D88" s="145">
        <v>3821827</v>
      </c>
      <c r="E88" s="153">
        <f>VLOOKUP(A88,Enroll!$A$7:$C$350,3,0)</f>
        <v>331.56</v>
      </c>
      <c r="F88" s="154">
        <f t="shared" si="6"/>
        <v>18153.182591386176</v>
      </c>
      <c r="G88" s="160">
        <v>327.47000000000003</v>
      </c>
      <c r="H88" s="161">
        <v>11670.769841512199</v>
      </c>
      <c r="I88" s="160">
        <f t="shared" si="7"/>
        <v>1.5748669994743354</v>
      </c>
      <c r="J88" s="39">
        <f t="shared" si="8"/>
        <v>1.5554400299127173</v>
      </c>
      <c r="K88" s="170" t="str">
        <f t="shared" si="5"/>
        <v xml:space="preserve"> </v>
      </c>
    </row>
    <row r="89" spans="1:11" x14ac:dyDescent="0.25">
      <c r="A89" s="126" t="s">
        <v>106</v>
      </c>
      <c r="B89" s="126" t="s">
        <v>785</v>
      </c>
      <c r="C89" s="144">
        <f>VLOOKUP(A89,Detail!$A$6:$F$326,6,0)</f>
        <v>98908775.179999992</v>
      </c>
      <c r="D89" s="145">
        <v>87387179.500000015</v>
      </c>
      <c r="E89" s="153">
        <f>VLOOKUP(A89,Enroll!$A$7:$C$350,3,0)</f>
        <v>5603.77</v>
      </c>
      <c r="F89" s="154">
        <f t="shared" si="6"/>
        <v>17650.398781534572</v>
      </c>
      <c r="G89" s="160">
        <v>5768.9800000000005</v>
      </c>
      <c r="H89" s="161">
        <v>15147.769536382517</v>
      </c>
      <c r="I89" s="160">
        <f t="shared" si="7"/>
        <v>1.1318453776162896</v>
      </c>
      <c r="J89" s="39">
        <f t="shared" si="8"/>
        <v>1.1652143729240889</v>
      </c>
      <c r="K89" s="170" t="str">
        <f t="shared" si="5"/>
        <v xml:space="preserve"> </v>
      </c>
    </row>
    <row r="90" spans="1:11" x14ac:dyDescent="0.25">
      <c r="A90" s="126" t="s">
        <v>292</v>
      </c>
      <c r="B90" s="126" t="s">
        <v>786</v>
      </c>
      <c r="C90" s="144">
        <f>VLOOKUP(A90,Detail!$A$6:$F$326,6,0)</f>
        <v>17391233.289999999</v>
      </c>
      <c r="D90" s="145">
        <v>17079081.790000007</v>
      </c>
      <c r="E90" s="153">
        <f>VLOOKUP(A90,Enroll!$A$7:$C$350,3,0)</f>
        <v>1039.9000000000001</v>
      </c>
      <c r="F90" s="154">
        <f t="shared" si="6"/>
        <v>16723.947773824402</v>
      </c>
      <c r="G90" s="160">
        <v>1021.31</v>
      </c>
      <c r="H90" s="161">
        <v>16722.720613721602</v>
      </c>
      <c r="I90" s="160">
        <f t="shared" si="7"/>
        <v>1.0182768314970398</v>
      </c>
      <c r="J90" s="39">
        <f t="shared" si="8"/>
        <v>1.0000733828024246</v>
      </c>
      <c r="K90" s="170" t="str">
        <f t="shared" si="5"/>
        <v xml:space="preserve"> </v>
      </c>
    </row>
    <row r="91" spans="1:11" x14ac:dyDescent="0.25">
      <c r="A91" s="126" t="s">
        <v>262</v>
      </c>
      <c r="B91" s="126" t="s">
        <v>787</v>
      </c>
      <c r="C91" s="144">
        <f>VLOOKUP(A91,Detail!$A$6:$F$326,6,0)</f>
        <v>21004219.609999999</v>
      </c>
      <c r="D91" s="145">
        <v>19453821.109999996</v>
      </c>
      <c r="E91" s="153">
        <f>VLOOKUP(A91,Enroll!$A$7:$C$350,3,0)</f>
        <v>1191.3499999999997</v>
      </c>
      <c r="F91" s="154">
        <f t="shared" si="6"/>
        <v>17630.603609350739</v>
      </c>
      <c r="G91" s="160">
        <v>1164.95</v>
      </c>
      <c r="H91" s="161">
        <v>16699.275599811146</v>
      </c>
      <c r="I91" s="160">
        <f t="shared" si="7"/>
        <v>1.0796963481484385</v>
      </c>
      <c r="J91" s="39">
        <f t="shared" si="8"/>
        <v>1.055770563457862</v>
      </c>
      <c r="K91" s="170" t="str">
        <f t="shared" ref="K91:K121" si="9">IF(AND(I91&lt;0.9,J91&lt;0.9),"DNME"," ")</f>
        <v xml:space="preserve"> </v>
      </c>
    </row>
    <row r="92" spans="1:11" x14ac:dyDescent="0.25">
      <c r="A92" s="126" t="s">
        <v>596</v>
      </c>
      <c r="B92" s="126" t="s">
        <v>788</v>
      </c>
      <c r="C92" s="144">
        <f>VLOOKUP(A92,Detail!$A$6:$F$326,6,0)</f>
        <v>894130.8899999999</v>
      </c>
      <c r="D92" s="145">
        <v>660354.63999999978</v>
      </c>
      <c r="E92" s="153">
        <f>VLOOKUP(A92,Enroll!$A$7:$C$350,3,0)</f>
        <v>37.299999999999997</v>
      </c>
      <c r="F92" s="154">
        <f t="shared" si="6"/>
        <v>23971.337533512062</v>
      </c>
      <c r="G92" s="160">
        <v>42.04</v>
      </c>
      <c r="H92" s="161">
        <v>15707.769743101802</v>
      </c>
      <c r="I92" s="160">
        <f t="shared" si="7"/>
        <v>1.3540162146812509</v>
      </c>
      <c r="J92" s="39">
        <f t="shared" si="8"/>
        <v>1.5260815459839085</v>
      </c>
      <c r="K92" s="170" t="str">
        <f t="shared" si="9"/>
        <v xml:space="preserve"> </v>
      </c>
    </row>
    <row r="93" spans="1:11" x14ac:dyDescent="0.25">
      <c r="A93" s="126" t="s">
        <v>566</v>
      </c>
      <c r="B93" s="126" t="s">
        <v>789</v>
      </c>
      <c r="C93" s="144">
        <f>VLOOKUP(A93,Detail!$A$6:$F$326,6,0)</f>
        <v>1689502.9500000004</v>
      </c>
      <c r="D93" s="145">
        <v>1495398.9100000001</v>
      </c>
      <c r="E93" s="153">
        <f>VLOOKUP(A93,Enroll!$A$7:$C$350,3,0)</f>
        <v>73.39</v>
      </c>
      <c r="F93" s="154">
        <f t="shared" si="6"/>
        <v>23020.887723123047</v>
      </c>
      <c r="G93" s="160">
        <v>76.23</v>
      </c>
      <c r="H93" s="161">
        <v>19616.934409025318</v>
      </c>
      <c r="I93" s="160">
        <f t="shared" si="7"/>
        <v>1.1298008435755782</v>
      </c>
      <c r="J93" s="39">
        <f t="shared" si="8"/>
        <v>1.173521165087428</v>
      </c>
      <c r="K93" s="170" t="str">
        <f t="shared" si="9"/>
        <v xml:space="preserve"> </v>
      </c>
    </row>
    <row r="94" spans="1:11" x14ac:dyDescent="0.25">
      <c r="A94" s="126" t="s">
        <v>366</v>
      </c>
      <c r="B94" s="126" t="s">
        <v>790</v>
      </c>
      <c r="C94" s="144">
        <f>VLOOKUP(A94,Detail!$A$6:$F$326,6,0)</f>
        <v>10340779.049999997</v>
      </c>
      <c r="D94" s="145">
        <v>9880662.2699999996</v>
      </c>
      <c r="E94" s="153">
        <f>VLOOKUP(A94,Enroll!$A$7:$C$350,3,0)</f>
        <v>664.4000000000002</v>
      </c>
      <c r="F94" s="154">
        <f t="shared" si="6"/>
        <v>15564.086468994572</v>
      </c>
      <c r="G94" s="160">
        <v>632.53</v>
      </c>
      <c r="H94" s="161">
        <v>15620.85951654467</v>
      </c>
      <c r="I94" s="160">
        <f t="shared" si="7"/>
        <v>1.0465674028143861</v>
      </c>
      <c r="J94" s="39">
        <f t="shared" si="8"/>
        <v>0.99636556186361147</v>
      </c>
      <c r="K94" s="170" t="str">
        <f t="shared" si="9"/>
        <v xml:space="preserve"> </v>
      </c>
    </row>
    <row r="95" spans="1:11" x14ac:dyDescent="0.25">
      <c r="A95" s="126" t="s">
        <v>288</v>
      </c>
      <c r="B95" s="126" t="s">
        <v>791</v>
      </c>
      <c r="C95" s="144">
        <f>VLOOKUP(A95,Detail!$A$6:$F$326,6,0)</f>
        <v>15004827.209999999</v>
      </c>
      <c r="D95" s="145">
        <v>13232809.52</v>
      </c>
      <c r="E95" s="153">
        <f>VLOOKUP(A95,Enroll!$A$7:$C$350,3,0)</f>
        <v>680.71</v>
      </c>
      <c r="F95" s="154">
        <f t="shared" si="6"/>
        <v>22042.90697947731</v>
      </c>
      <c r="G95" s="160">
        <v>702.75</v>
      </c>
      <c r="H95" s="161">
        <v>18830.038448950552</v>
      </c>
      <c r="I95" s="160">
        <f t="shared" si="7"/>
        <v>1.1339109194704104</v>
      </c>
      <c r="J95" s="39">
        <f t="shared" si="8"/>
        <v>1.1706246399462779</v>
      </c>
      <c r="K95" s="170" t="str">
        <f t="shared" si="9"/>
        <v xml:space="preserve"> </v>
      </c>
    </row>
    <row r="96" spans="1:11" x14ac:dyDescent="0.25">
      <c r="A96" s="126" t="s">
        <v>278</v>
      </c>
      <c r="B96" s="126" t="s">
        <v>792</v>
      </c>
      <c r="C96" s="144">
        <f>VLOOKUP(A96,Detail!$A$6:$F$326,6,0)</f>
        <v>22140437.819999993</v>
      </c>
      <c r="D96" s="145">
        <v>19463906.5</v>
      </c>
      <c r="E96" s="153">
        <f>VLOOKUP(A96,Enroll!$A$7:$C$350,3,0)</f>
        <v>1259.8799999999999</v>
      </c>
      <c r="F96" s="154">
        <f t="shared" si="6"/>
        <v>17573.449709496137</v>
      </c>
      <c r="G96" s="160">
        <v>1193.0800000000002</v>
      </c>
      <c r="H96" s="161">
        <v>16313.999480336606</v>
      </c>
      <c r="I96" s="160">
        <f t="shared" si="7"/>
        <v>1.1375125450792725</v>
      </c>
      <c r="J96" s="39">
        <f t="shared" si="8"/>
        <v>1.0772005804387548</v>
      </c>
      <c r="K96" s="170" t="str">
        <f t="shared" si="9"/>
        <v xml:space="preserve"> </v>
      </c>
    </row>
    <row r="97" spans="1:11" x14ac:dyDescent="0.25">
      <c r="A97" s="126" t="s">
        <v>4</v>
      </c>
      <c r="B97" s="126" t="s">
        <v>793</v>
      </c>
      <c r="C97" s="144">
        <f>VLOOKUP(A97,Detail!$A$6:$F$326,6,0)</f>
        <v>1112235896.0600002</v>
      </c>
      <c r="D97" s="145">
        <v>1044218725.1199996</v>
      </c>
      <c r="E97" s="153">
        <f>VLOOKUP(A97,Enroll!$A$7:$C$350,3,0)</f>
        <v>50542.029999999992</v>
      </c>
      <c r="F97" s="154">
        <f t="shared" si="6"/>
        <v>22006.157965162864</v>
      </c>
      <c r="G97" s="160">
        <v>50447.439999999995</v>
      </c>
      <c r="H97" s="161">
        <v>20699.142020288833</v>
      </c>
      <c r="I97" s="160">
        <f t="shared" si="7"/>
        <v>1.0651369002525637</v>
      </c>
      <c r="J97" s="39">
        <f t="shared" si="8"/>
        <v>1.0631434840918972</v>
      </c>
      <c r="K97" s="170" t="str">
        <f t="shared" si="9"/>
        <v xml:space="preserve"> </v>
      </c>
    </row>
    <row r="98" spans="1:11" x14ac:dyDescent="0.25">
      <c r="A98" s="126" t="s">
        <v>20</v>
      </c>
      <c r="B98" s="126" t="s">
        <v>794</v>
      </c>
      <c r="C98" s="144">
        <f>VLOOKUP(A98,Detail!$A$6:$F$326,6,0)</f>
        <v>389006523.00999999</v>
      </c>
      <c r="D98" s="145">
        <v>357545436.44000006</v>
      </c>
      <c r="E98" s="153">
        <f>VLOOKUP(A98,Enroll!$A$7:$C$350,3,0)</f>
        <v>21630.780000000002</v>
      </c>
      <c r="F98" s="154">
        <f t="shared" si="6"/>
        <v>17983.934144307321</v>
      </c>
      <c r="G98" s="160">
        <v>21261.39</v>
      </c>
      <c r="H98" s="161">
        <v>16816.653870701779</v>
      </c>
      <c r="I98" s="160">
        <f t="shared" si="7"/>
        <v>1.0879918560372381</v>
      </c>
      <c r="J98" s="39">
        <f t="shared" si="8"/>
        <v>1.0694121602656754</v>
      </c>
      <c r="K98" s="170" t="str">
        <f t="shared" si="9"/>
        <v xml:space="preserve"> </v>
      </c>
    </row>
    <row r="99" spans="1:11" x14ac:dyDescent="0.25">
      <c r="A99" s="126" t="s">
        <v>142</v>
      </c>
      <c r="B99" s="126" t="s">
        <v>795</v>
      </c>
      <c r="C99" s="144">
        <f>VLOOKUP(A99,Detail!$A$6:$F$326,6,0)</f>
        <v>74127444.359999999</v>
      </c>
      <c r="D99" s="145">
        <v>71245906.279999971</v>
      </c>
      <c r="E99" s="153">
        <f>VLOOKUP(A99,Enroll!$A$7:$C$350,3,0)</f>
        <v>4461.45</v>
      </c>
      <c r="F99" s="154">
        <f t="shared" si="6"/>
        <v>16615.101449080455</v>
      </c>
      <c r="G99" s="160">
        <v>4450.18</v>
      </c>
      <c r="H99" s="161">
        <v>16009.668435883485</v>
      </c>
      <c r="I99" s="160">
        <f t="shared" si="7"/>
        <v>1.0404449635137694</v>
      </c>
      <c r="J99" s="39">
        <f t="shared" si="8"/>
        <v>1.0378167115466286</v>
      </c>
      <c r="K99" s="170" t="str">
        <f t="shared" si="9"/>
        <v xml:space="preserve"> </v>
      </c>
    </row>
    <row r="100" spans="1:11" x14ac:dyDescent="0.25">
      <c r="A100" s="126" t="s">
        <v>132</v>
      </c>
      <c r="B100" s="126" t="s">
        <v>796</v>
      </c>
      <c r="C100" s="144">
        <f>VLOOKUP(A100,Detail!$A$6:$F$326,6,0)</f>
        <v>75263102.790000007</v>
      </c>
      <c r="D100" s="145">
        <v>72286199.530000016</v>
      </c>
      <c r="E100" s="153">
        <f>VLOOKUP(A100,Enroll!$A$7:$C$350,3,0)</f>
        <v>3976.38</v>
      </c>
      <c r="F100" s="154">
        <f t="shared" si="6"/>
        <v>18927.542837958143</v>
      </c>
      <c r="G100" s="160">
        <v>3955.48</v>
      </c>
      <c r="H100" s="161">
        <v>18274.950076855406</v>
      </c>
      <c r="I100" s="160">
        <f t="shared" si="7"/>
        <v>1.0411821797155696</v>
      </c>
      <c r="J100" s="39">
        <f t="shared" si="8"/>
        <v>1.0357096877615672</v>
      </c>
      <c r="K100" s="170" t="str">
        <f t="shared" si="9"/>
        <v xml:space="preserve"> </v>
      </c>
    </row>
    <row r="101" spans="1:11" x14ac:dyDescent="0.25">
      <c r="A101" s="126" t="s">
        <v>32</v>
      </c>
      <c r="B101" s="126" t="s">
        <v>797</v>
      </c>
      <c r="C101" s="144">
        <f>VLOOKUP(A101,Detail!$A$6:$F$326,6,0)</f>
        <v>364224907.42000002</v>
      </c>
      <c r="D101" s="145">
        <v>330086339.04999995</v>
      </c>
      <c r="E101" s="153">
        <f>VLOOKUP(A101,Enroll!$A$7:$C$350,3,0)</f>
        <v>18089.810000000001</v>
      </c>
      <c r="F101" s="154">
        <f t="shared" si="6"/>
        <v>20134.258315593142</v>
      </c>
      <c r="G101" s="160">
        <v>17863.32</v>
      </c>
      <c r="H101" s="161">
        <v>18478.44292382379</v>
      </c>
      <c r="I101" s="160">
        <f t="shared" si="7"/>
        <v>1.1034231482231347</v>
      </c>
      <c r="J101" s="39">
        <f t="shared" si="8"/>
        <v>1.0896079501176235</v>
      </c>
      <c r="K101" s="170" t="str">
        <f t="shared" si="9"/>
        <v xml:space="preserve"> </v>
      </c>
    </row>
    <row r="102" spans="1:11" x14ac:dyDescent="0.25">
      <c r="A102" s="126" t="s">
        <v>242</v>
      </c>
      <c r="B102" s="126" t="s">
        <v>798</v>
      </c>
      <c r="C102" s="144">
        <f>VLOOKUP(A102,Detail!$A$6:$F$326,6,0)</f>
        <v>26047119.670000002</v>
      </c>
      <c r="D102" s="145">
        <v>24891059.550000008</v>
      </c>
      <c r="E102" s="153">
        <f>VLOOKUP(A102,Enroll!$A$7:$C$350,3,0)</f>
        <v>1439.65</v>
      </c>
      <c r="F102" s="154">
        <f t="shared" si="6"/>
        <v>18092.67507380266</v>
      </c>
      <c r="G102" s="160">
        <v>1448.0500000000002</v>
      </c>
      <c r="H102" s="161">
        <v>17189.364697351615</v>
      </c>
      <c r="I102" s="160">
        <f t="shared" si="7"/>
        <v>1.0464447934680223</v>
      </c>
      <c r="J102" s="39">
        <f t="shared" si="8"/>
        <v>1.0525505387985759</v>
      </c>
      <c r="K102" s="170" t="str">
        <f t="shared" si="9"/>
        <v xml:space="preserve"> </v>
      </c>
    </row>
    <row r="103" spans="1:11" x14ac:dyDescent="0.25">
      <c r="A103" s="126" t="s">
        <v>44</v>
      </c>
      <c r="B103" s="126" t="s">
        <v>799</v>
      </c>
      <c r="C103" s="144">
        <f>VLOOKUP(A103,Detail!$A$6:$F$326,6,0)</f>
        <v>283629549.18000001</v>
      </c>
      <c r="D103" s="145">
        <v>265093909.45000008</v>
      </c>
      <c r="E103" s="153">
        <f>VLOOKUP(A103,Enroll!$A$7:$C$350,3,0)</f>
        <v>14663.939999999999</v>
      </c>
      <c r="F103" s="154">
        <f t="shared" si="6"/>
        <v>19341.974202022106</v>
      </c>
      <c r="G103" s="160">
        <v>14641.419999999998</v>
      </c>
      <c r="H103" s="161">
        <v>18105.75131715367</v>
      </c>
      <c r="I103" s="160">
        <f t="shared" si="7"/>
        <v>1.0699210320163768</v>
      </c>
      <c r="J103" s="39">
        <f t="shared" si="8"/>
        <v>1.068277911433436</v>
      </c>
      <c r="K103" s="170" t="str">
        <f t="shared" si="9"/>
        <v xml:space="preserve"> </v>
      </c>
    </row>
    <row r="104" spans="1:11" x14ac:dyDescent="0.25">
      <c r="A104" s="126" t="s">
        <v>568</v>
      </c>
      <c r="B104" s="126" t="s">
        <v>800</v>
      </c>
      <c r="C104" s="144">
        <f>VLOOKUP(A104,Detail!$A$6:$F$326,6,0)</f>
        <v>2742893.55</v>
      </c>
      <c r="D104" s="145">
        <v>2569570.73</v>
      </c>
      <c r="E104" s="153">
        <f>VLOOKUP(A104,Enroll!$A$7:$C$350,3,0)</f>
        <v>41.230000000000004</v>
      </c>
      <c r="F104" s="154">
        <f t="shared" si="6"/>
        <v>66526.644433664798</v>
      </c>
      <c r="G104" s="160">
        <v>43.91</v>
      </c>
      <c r="H104" s="161">
        <v>58519.03279435209</v>
      </c>
      <c r="I104" s="160">
        <f t="shared" si="7"/>
        <v>1.0674520525846742</v>
      </c>
      <c r="J104" s="39">
        <f t="shared" si="8"/>
        <v>1.1368377305115944</v>
      </c>
      <c r="K104" s="170" t="str">
        <f t="shared" si="9"/>
        <v xml:space="preserve"> </v>
      </c>
    </row>
    <row r="105" spans="1:11" x14ac:dyDescent="0.25">
      <c r="A105" s="126" t="s">
        <v>28</v>
      </c>
      <c r="B105" s="126" t="s">
        <v>801</v>
      </c>
      <c r="C105" s="144">
        <f>VLOOKUP(A105,Detail!$A$6:$F$326,6,0)</f>
        <v>395905643.86000001</v>
      </c>
      <c r="D105" s="145">
        <v>372833534.20999998</v>
      </c>
      <c r="E105" s="153">
        <f>VLOOKUP(A105,Enroll!$A$7:$C$350,3,0)</f>
        <v>19702.3</v>
      </c>
      <c r="F105" s="154">
        <f t="shared" si="6"/>
        <v>20094.387145663197</v>
      </c>
      <c r="G105" s="160">
        <v>19350.850000000002</v>
      </c>
      <c r="H105" s="161">
        <v>19267.036549298864</v>
      </c>
      <c r="I105" s="160">
        <f t="shared" si="7"/>
        <v>1.0618831396131996</v>
      </c>
      <c r="J105" s="39">
        <f t="shared" si="8"/>
        <v>1.0429412480869789</v>
      </c>
      <c r="K105" s="170" t="str">
        <f t="shared" si="9"/>
        <v xml:space="preserve"> </v>
      </c>
    </row>
    <row r="106" spans="1:11" x14ac:dyDescent="0.25">
      <c r="A106" s="126" t="s">
        <v>182</v>
      </c>
      <c r="B106" s="126" t="s">
        <v>802</v>
      </c>
      <c r="C106" s="144">
        <f>VLOOKUP(A106,Detail!$A$6:$F$326,6,0)</f>
        <v>50003080.289999992</v>
      </c>
      <c r="D106" s="145">
        <v>50904180.770000003</v>
      </c>
      <c r="E106" s="153">
        <f>VLOOKUP(A106,Enroll!$A$7:$C$350,3,0)</f>
        <v>2819.31</v>
      </c>
      <c r="F106" s="154">
        <f t="shared" si="6"/>
        <v>17735.928397373824</v>
      </c>
      <c r="G106" s="160">
        <v>2778.5899999999997</v>
      </c>
      <c r="H106" s="161">
        <v>18320.14826584707</v>
      </c>
      <c r="I106" s="160">
        <f t="shared" si="7"/>
        <v>0.98229810466705181</v>
      </c>
      <c r="J106" s="39">
        <f t="shared" si="8"/>
        <v>0.96811052727327729</v>
      </c>
      <c r="K106" s="170" t="str">
        <f t="shared" si="9"/>
        <v xml:space="preserve"> </v>
      </c>
    </row>
    <row r="107" spans="1:11" x14ac:dyDescent="0.25">
      <c r="A107" s="126" t="s">
        <v>168</v>
      </c>
      <c r="B107" s="126" t="s">
        <v>803</v>
      </c>
      <c r="C107" s="144">
        <f>VLOOKUP(A107,Detail!$A$6:$F$326,6,0)</f>
        <v>56365259.139999993</v>
      </c>
      <c r="D107" s="145">
        <v>52771344.080000006</v>
      </c>
      <c r="E107" s="153">
        <f>VLOOKUP(A107,Enroll!$A$7:$C$350,3,0)</f>
        <v>2987.65</v>
      </c>
      <c r="F107" s="154">
        <f t="shared" si="6"/>
        <v>18866.085096982577</v>
      </c>
      <c r="G107" s="160">
        <v>3066.5199999999995</v>
      </c>
      <c r="H107" s="161">
        <v>17208.870015522487</v>
      </c>
      <c r="I107" s="160">
        <f t="shared" si="7"/>
        <v>1.0681035346484959</v>
      </c>
      <c r="J107" s="39">
        <f t="shared" si="8"/>
        <v>1.0963000522384836</v>
      </c>
      <c r="K107" s="170" t="str">
        <f t="shared" si="9"/>
        <v xml:space="preserve"> </v>
      </c>
    </row>
    <row r="108" spans="1:11" x14ac:dyDescent="0.25">
      <c r="A108" s="126" t="s">
        <v>42</v>
      </c>
      <c r="B108" s="126" t="s">
        <v>804</v>
      </c>
      <c r="C108" s="144">
        <f>VLOOKUP(A108,Detail!$A$6:$F$326,6,0)</f>
        <v>320648402.96999997</v>
      </c>
      <c r="D108" s="145">
        <v>305608025.94999999</v>
      </c>
      <c r="E108" s="153">
        <f>VLOOKUP(A108,Enroll!$A$7:$C$350,3,0)</f>
        <v>17745.02</v>
      </c>
      <c r="F108" s="154">
        <f t="shared" si="6"/>
        <v>18069.768474197266</v>
      </c>
      <c r="G108" s="160">
        <v>17727.72</v>
      </c>
      <c r="H108" s="161">
        <v>17238.99215183904</v>
      </c>
      <c r="I108" s="160">
        <f t="shared" si="7"/>
        <v>1.0492146008706613</v>
      </c>
      <c r="J108" s="39">
        <f t="shared" si="8"/>
        <v>1.0481916990877915</v>
      </c>
      <c r="K108" s="170" t="str">
        <f t="shared" si="9"/>
        <v xml:space="preserve"> </v>
      </c>
    </row>
    <row r="109" spans="1:11" x14ac:dyDescent="0.25">
      <c r="A109" s="126" t="s">
        <v>82</v>
      </c>
      <c r="B109" s="126" t="s">
        <v>805</v>
      </c>
      <c r="C109" s="144">
        <f>VLOOKUP(A109,Detail!$A$6:$F$326,6,0)</f>
        <v>165366611.71000001</v>
      </c>
      <c r="D109" s="145">
        <v>154518329.63</v>
      </c>
      <c r="E109" s="153">
        <f>VLOOKUP(A109,Enroll!$A$7:$C$350,3,0)</f>
        <v>9126.44</v>
      </c>
      <c r="F109" s="154">
        <f t="shared" si="6"/>
        <v>18119.508999127807</v>
      </c>
      <c r="G109" s="160">
        <v>9067.0300000000007</v>
      </c>
      <c r="H109" s="161">
        <v>17041.779902570081</v>
      </c>
      <c r="I109" s="160">
        <f t="shared" si="7"/>
        <v>1.0702070887381234</v>
      </c>
      <c r="J109" s="39">
        <f t="shared" si="8"/>
        <v>1.0632404069715273</v>
      </c>
      <c r="K109" s="170" t="str">
        <f t="shared" si="9"/>
        <v xml:space="preserve"> </v>
      </c>
    </row>
    <row r="110" spans="1:11" x14ac:dyDescent="0.25">
      <c r="A110" s="126" t="s">
        <v>90</v>
      </c>
      <c r="B110" s="126" t="s">
        <v>806</v>
      </c>
      <c r="C110" s="144">
        <f>VLOOKUP(A110,Detail!$A$6:$F$326,6,0)</f>
        <v>127521973.2</v>
      </c>
      <c r="D110" s="145">
        <v>118196241.93000001</v>
      </c>
      <c r="E110" s="153">
        <f>VLOOKUP(A110,Enroll!$A$7:$C$350,3,0)</f>
        <v>7129.5299999999988</v>
      </c>
      <c r="F110" s="154">
        <f t="shared" si="6"/>
        <v>17886.448784141456</v>
      </c>
      <c r="G110" s="160">
        <v>7142.45</v>
      </c>
      <c r="H110" s="161">
        <v>16548.417129976409</v>
      </c>
      <c r="I110" s="160">
        <f t="shared" si="7"/>
        <v>1.0789004042575485</v>
      </c>
      <c r="J110" s="39">
        <f t="shared" si="8"/>
        <v>1.0808555672518845</v>
      </c>
      <c r="K110" s="170" t="str">
        <f t="shared" si="9"/>
        <v xml:space="preserve"> </v>
      </c>
    </row>
    <row r="111" spans="1:11" x14ac:dyDescent="0.25">
      <c r="A111" s="126" t="s">
        <v>26</v>
      </c>
      <c r="B111" s="126" t="s">
        <v>807</v>
      </c>
      <c r="C111" s="144">
        <f>VLOOKUP(A111,Detail!$A$6:$F$326,6,0)</f>
        <v>356943430.91000003</v>
      </c>
      <c r="D111" s="145">
        <v>332375187.69</v>
      </c>
      <c r="E111" s="153">
        <f>VLOOKUP(A111,Enroll!$A$7:$C$350,3,0)</f>
        <v>18989.319999999996</v>
      </c>
      <c r="F111" s="154">
        <f t="shared" si="6"/>
        <v>18797.062291330079</v>
      </c>
      <c r="G111" s="160">
        <v>19333.21</v>
      </c>
      <c r="H111" s="161">
        <v>17191.929725586182</v>
      </c>
      <c r="I111" s="160">
        <f t="shared" si="7"/>
        <v>1.0739171999894119</v>
      </c>
      <c r="J111" s="39">
        <f t="shared" si="8"/>
        <v>1.0933654680634852</v>
      </c>
      <c r="K111" s="170" t="str">
        <f t="shared" si="9"/>
        <v xml:space="preserve"> </v>
      </c>
    </row>
    <row r="112" spans="1:11" x14ac:dyDescent="0.25">
      <c r="A112" s="126" t="s">
        <v>72</v>
      </c>
      <c r="B112" s="126" t="s">
        <v>808</v>
      </c>
      <c r="C112" s="144">
        <f>VLOOKUP(A112,Detail!$A$6:$F$326,6,0)</f>
        <v>166193201.91</v>
      </c>
      <c r="D112" s="145">
        <v>156921711.78</v>
      </c>
      <c r="E112" s="153">
        <f>VLOOKUP(A112,Enroll!$A$7:$C$350,3,0)</f>
        <v>9392.8700000000008</v>
      </c>
      <c r="F112" s="154">
        <f t="shared" si="6"/>
        <v>17693.54860761407</v>
      </c>
      <c r="G112" s="160">
        <v>9293.5399999999991</v>
      </c>
      <c r="H112" s="161">
        <v>16885.031083957245</v>
      </c>
      <c r="I112" s="160">
        <f t="shared" si="7"/>
        <v>1.0590835393320102</v>
      </c>
      <c r="J112" s="39">
        <f t="shared" si="8"/>
        <v>1.0478836858301677</v>
      </c>
      <c r="K112" s="170" t="str">
        <f t="shared" si="9"/>
        <v xml:space="preserve"> </v>
      </c>
    </row>
    <row r="113" spans="1:11" x14ac:dyDescent="0.25">
      <c r="A113" s="126" t="s">
        <v>8</v>
      </c>
      <c r="B113" s="126" t="s">
        <v>809</v>
      </c>
      <c r="C113" s="144">
        <f>VLOOKUP(A113,Detail!$A$6:$F$326,6,0)</f>
        <v>551593329.71999991</v>
      </c>
      <c r="D113" s="145">
        <v>518014788.0399999</v>
      </c>
      <c r="E113" s="153">
        <f>VLOOKUP(A113,Enroll!$A$7:$C$350,3,0)</f>
        <v>30941.37</v>
      </c>
      <c r="F113" s="154">
        <f t="shared" si="6"/>
        <v>17827.049342676164</v>
      </c>
      <c r="G113" s="160">
        <v>30929.440000000002</v>
      </c>
      <c r="H113" s="161">
        <v>16748.275689440219</v>
      </c>
      <c r="I113" s="160">
        <f t="shared" si="7"/>
        <v>1.0648215889879329</v>
      </c>
      <c r="J113" s="39">
        <f t="shared" si="8"/>
        <v>1.0644110279314372</v>
      </c>
      <c r="K113" s="170" t="str">
        <f t="shared" si="9"/>
        <v xml:space="preserve"> </v>
      </c>
    </row>
    <row r="114" spans="1:11" x14ac:dyDescent="0.25">
      <c r="A114" s="126" t="s">
        <v>12</v>
      </c>
      <c r="B114" s="126" t="s">
        <v>810</v>
      </c>
      <c r="C114" s="144">
        <f>VLOOKUP(A114,Detail!$A$6:$F$326,6,0)</f>
        <v>493936857.03999984</v>
      </c>
      <c r="D114" s="145">
        <v>448179141.29000002</v>
      </c>
      <c r="E114" s="153">
        <f>VLOOKUP(A114,Enroll!$A$7:$C$350,3,0)</f>
        <v>25664.360000000004</v>
      </c>
      <c r="F114" s="154">
        <f t="shared" si="6"/>
        <v>19246.022773994744</v>
      </c>
      <c r="G114" s="160">
        <v>25727.83</v>
      </c>
      <c r="H114" s="161">
        <v>17420.013319817488</v>
      </c>
      <c r="I114" s="160">
        <f t="shared" si="7"/>
        <v>1.1020969329770565</v>
      </c>
      <c r="J114" s="39">
        <f t="shared" si="8"/>
        <v>1.104822506197509</v>
      </c>
      <c r="K114" s="170" t="str">
        <f t="shared" si="9"/>
        <v xml:space="preserve"> </v>
      </c>
    </row>
    <row r="115" spans="1:11" x14ac:dyDescent="0.25">
      <c r="A115" s="126" t="s">
        <v>22</v>
      </c>
      <c r="B115" s="126" t="s">
        <v>811</v>
      </c>
      <c r="C115" s="144">
        <f>VLOOKUP(A115,Detail!$A$6:$F$326,6,0)</f>
        <v>409001429.84999996</v>
      </c>
      <c r="D115" s="145">
        <v>404702877.38000005</v>
      </c>
      <c r="E115" s="153">
        <f>VLOOKUP(A115,Enroll!$A$7:$C$350,3,0)</f>
        <v>22391.21</v>
      </c>
      <c r="F115" s="154">
        <f t="shared" si="6"/>
        <v>18266.160241005287</v>
      </c>
      <c r="G115" s="160">
        <v>22710.36</v>
      </c>
      <c r="H115" s="161">
        <v>17820.187675580662</v>
      </c>
      <c r="I115" s="160">
        <f t="shared" si="7"/>
        <v>1.0106215021198472</v>
      </c>
      <c r="J115" s="39">
        <f t="shared" si="8"/>
        <v>1.0250262552529539</v>
      </c>
      <c r="K115" s="170" t="str">
        <f t="shared" si="9"/>
        <v xml:space="preserve"> </v>
      </c>
    </row>
    <row r="116" spans="1:11" x14ac:dyDescent="0.25">
      <c r="A116" s="129" t="s">
        <v>480</v>
      </c>
      <c r="B116" s="129" t="s">
        <v>1010</v>
      </c>
      <c r="C116" s="144">
        <f>VLOOKUP(A116,Detail!$A$6:$F$326,6,0)</f>
        <v>4678743.9899999993</v>
      </c>
      <c r="D116" s="145">
        <v>4410160.4300000006</v>
      </c>
      <c r="E116" s="153">
        <f>VLOOKUP(A116,Enroll!$A$7:$C$350,3,0)</f>
        <v>211.44</v>
      </c>
      <c r="F116" s="154">
        <f t="shared" si="6"/>
        <v>22127.99843927355</v>
      </c>
      <c r="G116" s="160">
        <v>221.85000000000002</v>
      </c>
      <c r="H116" s="161">
        <v>19879.019292314628</v>
      </c>
      <c r="I116" s="160">
        <f t="shared" si="7"/>
        <v>1.0609010860858861</v>
      </c>
      <c r="J116" s="39">
        <f t="shared" si="8"/>
        <v>1.1131333047112839</v>
      </c>
      <c r="K116" s="170" t="str">
        <f t="shared" si="9"/>
        <v xml:space="preserve"> </v>
      </c>
    </row>
    <row r="117" spans="1:11" x14ac:dyDescent="0.25">
      <c r="A117" s="126" t="s">
        <v>392</v>
      </c>
      <c r="B117" s="126" t="s">
        <v>812</v>
      </c>
      <c r="C117" s="144">
        <f>VLOOKUP(A117,Detail!$A$6:$F$326,6,0)</f>
        <v>8671401.2400000002</v>
      </c>
      <c r="D117" s="145">
        <v>9594973.7200000007</v>
      </c>
      <c r="E117" s="153">
        <f>VLOOKUP(A117,Enroll!$A$7:$C$350,3,0)</f>
        <v>464.16</v>
      </c>
      <c r="F117" s="154">
        <f t="shared" si="6"/>
        <v>18681.922699069284</v>
      </c>
      <c r="G117" s="160">
        <v>532.62</v>
      </c>
      <c r="H117" s="161">
        <v>18014.670346588562</v>
      </c>
      <c r="I117" s="160">
        <f t="shared" si="7"/>
        <v>0.9037441365707044</v>
      </c>
      <c r="J117" s="39">
        <f t="shared" si="8"/>
        <v>1.0370393873239585</v>
      </c>
      <c r="K117" s="170" t="str">
        <f t="shared" si="9"/>
        <v xml:space="preserve"> </v>
      </c>
    </row>
    <row r="118" spans="1:11" x14ac:dyDescent="0.25">
      <c r="A118" s="130" t="s">
        <v>998</v>
      </c>
      <c r="B118" s="129" t="s">
        <v>1011</v>
      </c>
      <c r="C118" s="144">
        <f>VLOOKUP(A118,Detail!$A$6:$F$326,6,0)</f>
        <v>11791969.23</v>
      </c>
      <c r="D118" s="145">
        <v>9308317.8599999994</v>
      </c>
      <c r="E118" s="153">
        <f>VLOOKUP(A118,Enroll!$A$7:$C$350,3,0)</f>
        <v>566.80000000000007</v>
      </c>
      <c r="F118" s="154">
        <f t="shared" si="6"/>
        <v>20804.462297106562</v>
      </c>
      <c r="G118" s="160">
        <v>534.36</v>
      </c>
      <c r="H118" s="161">
        <v>17419.56332809342</v>
      </c>
      <c r="I118" s="160">
        <f t="shared" si="7"/>
        <v>1.2668206444338161</v>
      </c>
      <c r="J118" s="39">
        <f t="shared" si="8"/>
        <v>1.1943159484115278</v>
      </c>
      <c r="K118" s="170" t="str">
        <f t="shared" si="9"/>
        <v xml:space="preserve"> </v>
      </c>
    </row>
    <row r="119" spans="1:11" x14ac:dyDescent="0.25">
      <c r="A119" s="129" t="s">
        <v>444</v>
      </c>
      <c r="B119" s="129" t="s">
        <v>813</v>
      </c>
      <c r="C119" s="144">
        <f>VLOOKUP(A119,Detail!$A$6:$F$326,6,0)</f>
        <v>6542635.7299999995</v>
      </c>
      <c r="D119" s="145">
        <v>5905178.9499999993</v>
      </c>
      <c r="E119" s="153">
        <f>VLOOKUP(A119,Enroll!$A$7:$C$350,3,0)</f>
        <v>358.70000000000005</v>
      </c>
      <c r="F119" s="154">
        <f t="shared" si="6"/>
        <v>18239.854279342064</v>
      </c>
      <c r="G119" s="160">
        <v>331.2</v>
      </c>
      <c r="H119" s="161">
        <v>17829.646588164251</v>
      </c>
      <c r="I119" s="160">
        <f t="shared" si="7"/>
        <v>1.1079487658879499</v>
      </c>
      <c r="J119" s="39">
        <f t="shared" si="8"/>
        <v>1.0230070567663478</v>
      </c>
      <c r="K119" s="170" t="str">
        <f t="shared" si="9"/>
        <v xml:space="preserve"> </v>
      </c>
    </row>
    <row r="120" spans="1:11" x14ac:dyDescent="0.25">
      <c r="A120" s="130" t="s">
        <v>999</v>
      </c>
      <c r="B120" s="129" t="s">
        <v>1012</v>
      </c>
      <c r="C120" s="144">
        <f>VLOOKUP(A120,Detail!$A$6:$F$326,6,0)</f>
        <v>3959210.9</v>
      </c>
      <c r="D120" s="145">
        <v>4484561.8500000015</v>
      </c>
      <c r="E120" s="153">
        <f>VLOOKUP(A120,Enroll!$A$7:$C$350,3,0)</f>
        <v>122.62999999999998</v>
      </c>
      <c r="F120" s="154">
        <f t="shared" si="6"/>
        <v>32285.826469868716</v>
      </c>
      <c r="G120" s="160">
        <v>150.78</v>
      </c>
      <c r="H120" s="161">
        <v>29742.418424194198</v>
      </c>
      <c r="I120" s="160">
        <f t="shared" si="7"/>
        <v>0.8828534497745858</v>
      </c>
      <c r="J120" s="39">
        <f t="shared" si="8"/>
        <v>1.0855145001794999</v>
      </c>
      <c r="K120" s="170" t="str">
        <f t="shared" si="9"/>
        <v xml:space="preserve"> </v>
      </c>
    </row>
    <row r="121" spans="1:11" x14ac:dyDescent="0.25">
      <c r="A121" s="130" t="s">
        <v>1156</v>
      </c>
      <c r="B121" s="129" t="s">
        <v>1242</v>
      </c>
      <c r="C121" s="144">
        <f>VLOOKUP(A121,Detail!$A$6:$F$326,6,0)</f>
        <v>8586686.209999999</v>
      </c>
      <c r="D121" s="145">
        <v>8202979.7700000005</v>
      </c>
      <c r="E121" s="153">
        <f>VLOOKUP(A121,Enroll!$A$7:$C$350,3,0)</f>
        <v>493.59999999999997</v>
      </c>
      <c r="F121" s="154">
        <f t="shared" si="6"/>
        <v>17396.041754457048</v>
      </c>
      <c r="G121" s="160">
        <v>482.1</v>
      </c>
      <c r="H121" s="161">
        <v>17015.100124455508</v>
      </c>
      <c r="I121" s="160">
        <f t="shared" si="7"/>
        <v>1.0467764703508464</v>
      </c>
      <c r="J121" s="39">
        <f t="shared" si="8"/>
        <v>1.0223884448058005</v>
      </c>
      <c r="K121" s="170" t="str">
        <f t="shared" si="9"/>
        <v xml:space="preserve"> </v>
      </c>
    </row>
    <row r="122" spans="1:11" x14ac:dyDescent="0.25">
      <c r="A122" s="130" t="s">
        <v>1158</v>
      </c>
      <c r="B122" s="129" t="s">
        <v>1171</v>
      </c>
      <c r="C122" s="144">
        <f>VLOOKUP(A122,Detail!$A$6:$F$326,6,0)</f>
        <v>6397389.6399999997</v>
      </c>
      <c r="D122" s="145">
        <v>5083464.16</v>
      </c>
      <c r="E122" s="153">
        <f>VLOOKUP(A122,Enroll!$A$7:$C$350,3,0)</f>
        <v>384.2</v>
      </c>
      <c r="F122" s="154">
        <f t="shared" si="6"/>
        <v>16651.196356064549</v>
      </c>
      <c r="G122" s="160">
        <v>311.60000000000002</v>
      </c>
      <c r="H122" s="161">
        <v>16314.069833119383</v>
      </c>
      <c r="I122" s="160">
        <f t="shared" si="7"/>
        <v>1.2584704915082945</v>
      </c>
      <c r="J122" s="39">
        <f t="shared" si="8"/>
        <v>1.0206647713534216</v>
      </c>
      <c r="K122" s="170"/>
    </row>
    <row r="123" spans="1:11" x14ac:dyDescent="0.25">
      <c r="A123" s="130" t="s">
        <v>1196</v>
      </c>
      <c r="B123" s="129" t="s">
        <v>1241</v>
      </c>
      <c r="C123" s="144">
        <f>VLOOKUP(A123,Detail!$A$6:$F$326,6,0)</f>
        <v>3412180.4</v>
      </c>
      <c r="D123" s="145">
        <v>3467829.4499999997</v>
      </c>
      <c r="E123" s="153">
        <f>VLOOKUP(A123,Enroll!$A$7:$C$350,3,0)</f>
        <v>142.22</v>
      </c>
      <c r="F123" s="154">
        <f t="shared" si="6"/>
        <v>23992.268316692447</v>
      </c>
      <c r="G123" s="160">
        <v>163.82999999999998</v>
      </c>
      <c r="H123" s="161">
        <v>21167.243178904962</v>
      </c>
      <c r="I123" s="160">
        <f t="shared" si="7"/>
        <v>0.9839527719565333</v>
      </c>
      <c r="J123" s="39">
        <f t="shared" si="8"/>
        <v>1.1334621194602645</v>
      </c>
      <c r="K123" s="170"/>
    </row>
    <row r="124" spans="1:11" x14ac:dyDescent="0.25">
      <c r="A124" s="126" t="s">
        <v>118</v>
      </c>
      <c r="B124" s="126" t="s">
        <v>814</v>
      </c>
      <c r="C124" s="144">
        <f>VLOOKUP(A124,Detail!$A$6:$F$326,6,0)</f>
        <v>91415435.159999982</v>
      </c>
      <c r="D124" s="145">
        <v>82966953.50999999</v>
      </c>
      <c r="E124" s="153">
        <f>VLOOKUP(A124,Enroll!$A$7:$C$350,3,0)</f>
        <v>4566.2199999999993</v>
      </c>
      <c r="F124" s="154">
        <f t="shared" si="6"/>
        <v>20019.936656578087</v>
      </c>
      <c r="G124" s="160">
        <v>4546.9399999999996</v>
      </c>
      <c r="H124" s="161">
        <v>18246.766728833016</v>
      </c>
      <c r="I124" s="160">
        <f t="shared" si="7"/>
        <v>1.1018294789983063</v>
      </c>
      <c r="J124" s="39">
        <f t="shared" si="8"/>
        <v>1.0971772124944832</v>
      </c>
      <c r="K124" s="170" t="str">
        <f>IF(AND(I124&lt;0.9,J124&lt;0.9),"DNME"," ")</f>
        <v xml:space="preserve"> </v>
      </c>
    </row>
    <row r="125" spans="1:11" x14ac:dyDescent="0.25">
      <c r="A125" s="126" t="s">
        <v>144</v>
      </c>
      <c r="B125" s="126" t="s">
        <v>1013</v>
      </c>
      <c r="C125" s="144">
        <f>VLOOKUP(A125,Detail!$A$6:$F$326,6,0)</f>
        <v>65766075.780000001</v>
      </c>
      <c r="D125" s="145">
        <v>61666435.82</v>
      </c>
      <c r="E125" s="153">
        <f>VLOOKUP(A125,Enroll!$A$7:$C$350,3,0)</f>
        <v>3488.13</v>
      </c>
      <c r="F125" s="154">
        <f t="shared" si="6"/>
        <v>18854.250208564474</v>
      </c>
      <c r="G125" s="160">
        <v>3501.19</v>
      </c>
      <c r="H125" s="161">
        <v>17612.99324515379</v>
      </c>
      <c r="I125" s="160">
        <f t="shared" si="7"/>
        <v>1.0664808968685422</v>
      </c>
      <c r="J125" s="39">
        <f t="shared" si="8"/>
        <v>1.0704739362658993</v>
      </c>
      <c r="K125" s="170" t="str">
        <f>IF(AND(I125&lt;0.9,J125&lt;0.9),"DNME"," ")</f>
        <v xml:space="preserve"> </v>
      </c>
    </row>
    <row r="126" spans="1:11" x14ac:dyDescent="0.25">
      <c r="A126" s="126" t="s">
        <v>104</v>
      </c>
      <c r="B126" s="126" t="s">
        <v>815</v>
      </c>
      <c r="C126" s="144">
        <f>VLOOKUP(A126,Detail!$A$6:$F$326,6,0)</f>
        <v>99820323.350000009</v>
      </c>
      <c r="D126" s="145">
        <v>91777924.759999976</v>
      </c>
      <c r="E126" s="153">
        <f>VLOOKUP(A126,Enroll!$A$7:$C$350,3,0)</f>
        <v>5296.619999999999</v>
      </c>
      <c r="F126" s="154">
        <f t="shared" si="6"/>
        <v>18846.042070225922</v>
      </c>
      <c r="G126" s="160">
        <v>5369.3</v>
      </c>
      <c r="H126" s="161">
        <v>17093.089371053949</v>
      </c>
      <c r="I126" s="160">
        <f t="shared" si="7"/>
        <v>1.0876288999890875</v>
      </c>
      <c r="J126" s="39">
        <f t="shared" si="8"/>
        <v>1.1025532986529916</v>
      </c>
      <c r="K126" s="170" t="str">
        <f>IF(AND(I126&lt;0.9,J126&lt;0.9),"DNME"," ")</f>
        <v xml:space="preserve"> </v>
      </c>
    </row>
    <row r="127" spans="1:11" x14ac:dyDescent="0.25">
      <c r="A127" s="126" t="s">
        <v>60</v>
      </c>
      <c r="B127" s="126" t="s">
        <v>816</v>
      </c>
      <c r="C127" s="144">
        <f>VLOOKUP(A127,Detail!$A$6:$F$326,6,0)</f>
        <v>186616812.29999992</v>
      </c>
      <c r="D127" s="145">
        <v>174370289.20000002</v>
      </c>
      <c r="E127" s="153">
        <f>VLOOKUP(A127,Enroll!$A$7:$C$350,3,0)</f>
        <v>11066.74</v>
      </c>
      <c r="F127" s="154">
        <f t="shared" si="6"/>
        <v>16862.853225068982</v>
      </c>
      <c r="G127" s="160">
        <v>11028.35</v>
      </c>
      <c r="H127" s="161">
        <v>15811.094968875672</v>
      </c>
      <c r="I127" s="160">
        <f t="shared" si="7"/>
        <v>1.0702328542103485</v>
      </c>
      <c r="J127" s="39">
        <f t="shared" si="8"/>
        <v>1.0665202668293188</v>
      </c>
      <c r="K127" s="170" t="str">
        <f>IF(AND(I127&lt;0.9,J127&lt;0.9),"DNME"," ")</f>
        <v xml:space="preserve"> </v>
      </c>
    </row>
    <row r="128" spans="1:11" x14ac:dyDescent="0.25">
      <c r="A128" s="126" t="s">
        <v>68</v>
      </c>
      <c r="B128" s="126" t="s">
        <v>817</v>
      </c>
      <c r="C128" s="144">
        <f>VLOOKUP(A128,Detail!$A$6:$F$326,6,0)</f>
        <v>173726413.95000002</v>
      </c>
      <c r="D128" s="145">
        <v>161388309.50999999</v>
      </c>
      <c r="E128" s="153">
        <f>VLOOKUP(A128,Enroll!$A$7:$C$350,3,0)</f>
        <v>9289.340000000002</v>
      </c>
      <c r="F128" s="154">
        <f t="shared" si="6"/>
        <v>18701.696132340938</v>
      </c>
      <c r="G128" s="160">
        <v>9303.5800000000017</v>
      </c>
      <c r="H128" s="161">
        <v>17346.904042314891</v>
      </c>
      <c r="I128" s="160">
        <f t="shared" si="7"/>
        <v>1.076449802823144</v>
      </c>
      <c r="J128" s="39">
        <f t="shared" si="8"/>
        <v>1.0780999356842729</v>
      </c>
      <c r="K128" s="170" t="str">
        <f>IF(AND(I128&lt;0.9,J128&lt;0.9),"DNME"," ")</f>
        <v xml:space="preserve"> </v>
      </c>
    </row>
    <row r="129" spans="1:11" x14ac:dyDescent="0.25">
      <c r="A129" s="126" t="s">
        <v>1159</v>
      </c>
      <c r="B129" s="126" t="s">
        <v>1170</v>
      </c>
      <c r="C129" s="144">
        <f>VLOOKUP(A129,Detail!$A$6:$F$326,6,0)</f>
        <v>8066627.6499999985</v>
      </c>
      <c r="D129" s="145">
        <v>6590808.6700000009</v>
      </c>
      <c r="E129" s="153">
        <f>VLOOKUP(A129,Enroll!$A$7:$C$350,3,0)</f>
        <v>500.85</v>
      </c>
      <c r="F129" s="154">
        <f t="shared" si="6"/>
        <v>16105.875311969648</v>
      </c>
      <c r="G129" s="160">
        <v>481.02</v>
      </c>
      <c r="H129" s="161">
        <v>13701.735208515242</v>
      </c>
      <c r="I129" s="160">
        <f t="shared" si="7"/>
        <v>1.2239207742014453</v>
      </c>
      <c r="J129" s="39">
        <f t="shared" si="8"/>
        <v>1.1754624554385127</v>
      </c>
      <c r="K129" s="170"/>
    </row>
    <row r="130" spans="1:11" x14ac:dyDescent="0.25">
      <c r="A130" s="131" t="s">
        <v>544</v>
      </c>
      <c r="B130" s="122" t="s">
        <v>1014</v>
      </c>
      <c r="C130" s="144">
        <f>VLOOKUP(A130,Detail!$A$6:$F$326,6,0)</f>
        <v>2920873.6</v>
      </c>
      <c r="D130" s="145">
        <v>2601204.5499999998</v>
      </c>
      <c r="E130" s="153">
        <f>VLOOKUP(A130,Enroll!$A$7:$C$350,3,0)</f>
        <v>75.759999999999991</v>
      </c>
      <c r="F130" s="154">
        <f t="shared" si="6"/>
        <v>38554.297782470967</v>
      </c>
      <c r="G130" s="160">
        <v>74.759999999999991</v>
      </c>
      <c r="H130" s="161">
        <v>34794.068352059927</v>
      </c>
      <c r="I130" s="160">
        <f t="shared" si="7"/>
        <v>1.1228926998455391</v>
      </c>
      <c r="J130" s="39">
        <f t="shared" si="8"/>
        <v>1.1080709905022768</v>
      </c>
      <c r="K130" s="170" t="str">
        <f t="shared" ref="K130:K161" si="10">IF(AND(I130&lt;0.9,J130&lt;0.9),"DNME"," ")</f>
        <v xml:space="preserve"> </v>
      </c>
    </row>
    <row r="131" spans="1:11" x14ac:dyDescent="0.25">
      <c r="A131" s="126" t="s">
        <v>580</v>
      </c>
      <c r="B131" s="126" t="s">
        <v>818</v>
      </c>
      <c r="C131" s="144">
        <f>VLOOKUP(A131,Detail!$A$6:$F$326,6,0)</f>
        <v>855826.27999999991</v>
      </c>
      <c r="D131" s="145">
        <v>748073.08</v>
      </c>
      <c r="E131" s="153">
        <f>VLOOKUP(A131,Enroll!$A$7:$C$350,3,0)</f>
        <v>46.260000000000005</v>
      </c>
      <c r="F131" s="154">
        <f t="shared" si="6"/>
        <v>18500.35192390834</v>
      </c>
      <c r="G131" s="160">
        <v>44.4</v>
      </c>
      <c r="H131" s="161">
        <v>16848.492792792793</v>
      </c>
      <c r="I131" s="160">
        <f t="shared" si="7"/>
        <v>1.1440410073304603</v>
      </c>
      <c r="J131" s="39">
        <f t="shared" si="8"/>
        <v>1.0980419525610121</v>
      </c>
      <c r="K131" s="170" t="str">
        <f t="shared" si="10"/>
        <v xml:space="preserve"> </v>
      </c>
    </row>
    <row r="132" spans="1:11" x14ac:dyDescent="0.25">
      <c r="A132" s="126" t="s">
        <v>516</v>
      </c>
      <c r="B132" s="126" t="s">
        <v>819</v>
      </c>
      <c r="C132" s="144">
        <f>VLOOKUP(A132,Detail!$A$6:$F$326,6,0)</f>
        <v>2945019.1</v>
      </c>
      <c r="D132" s="145">
        <v>2710772.5300000003</v>
      </c>
      <c r="E132" s="153">
        <f>VLOOKUP(A132,Enroll!$A$7:$C$350,3,0)</f>
        <v>85.51</v>
      </c>
      <c r="F132" s="154">
        <f t="shared" si="6"/>
        <v>34440.639691264179</v>
      </c>
      <c r="G132" s="160">
        <v>86.35</v>
      </c>
      <c r="H132" s="161">
        <v>31392.84921829763</v>
      </c>
      <c r="I132" s="160">
        <f t="shared" si="7"/>
        <v>1.0864132152025312</v>
      </c>
      <c r="J132" s="39">
        <f t="shared" si="8"/>
        <v>1.0970855003243896</v>
      </c>
      <c r="K132" s="170" t="str">
        <f t="shared" si="10"/>
        <v xml:space="preserve"> </v>
      </c>
    </row>
    <row r="133" spans="1:11" x14ac:dyDescent="0.25">
      <c r="A133" s="126" t="s">
        <v>508</v>
      </c>
      <c r="B133" s="126" t="s">
        <v>820</v>
      </c>
      <c r="C133" s="144">
        <f>VLOOKUP(A133,Detail!$A$6:$F$326,6,0)</f>
        <v>6929739.0899999999</v>
      </c>
      <c r="D133" s="145">
        <v>5239803.38</v>
      </c>
      <c r="E133" s="153">
        <f>VLOOKUP(A133,Enroll!$A$7:$C$350,3,0)</f>
        <v>250.91000000000003</v>
      </c>
      <c r="F133" s="154">
        <f t="shared" si="6"/>
        <v>27618.425291937343</v>
      </c>
      <c r="G133" s="160">
        <v>258.97000000000003</v>
      </c>
      <c r="H133" s="161">
        <v>20233.244700158317</v>
      </c>
      <c r="I133" s="160">
        <f t="shared" si="7"/>
        <v>1.3225189167308029</v>
      </c>
      <c r="J133" s="39">
        <f t="shared" si="8"/>
        <v>1.3650022871379222</v>
      </c>
      <c r="K133" s="170" t="str">
        <f t="shared" si="10"/>
        <v xml:space="preserve"> </v>
      </c>
    </row>
    <row r="134" spans="1:11" x14ac:dyDescent="0.25">
      <c r="A134" s="126" t="s">
        <v>166</v>
      </c>
      <c r="B134" s="126" t="s">
        <v>821</v>
      </c>
      <c r="C134" s="144">
        <f>VLOOKUP(A134,Detail!$A$6:$F$326,6,0)</f>
        <v>53610933.050000012</v>
      </c>
      <c r="D134" s="145">
        <v>49373510.350000009</v>
      </c>
      <c r="E134" s="153">
        <f>VLOOKUP(A134,Enroll!$A$7:$C$350,3,0)</f>
        <v>3323.06</v>
      </c>
      <c r="F134" s="154">
        <f t="shared" si="6"/>
        <v>16133.001826629676</v>
      </c>
      <c r="G134" s="160">
        <v>3307.82</v>
      </c>
      <c r="H134" s="161">
        <v>14926.298997527074</v>
      </c>
      <c r="I134" s="160">
        <f t="shared" si="7"/>
        <v>1.0858238085556742</v>
      </c>
      <c r="J134" s="39">
        <f t="shared" si="8"/>
        <v>1.0808440745627916</v>
      </c>
      <c r="K134" s="170" t="str">
        <f t="shared" si="10"/>
        <v xml:space="preserve"> </v>
      </c>
    </row>
    <row r="135" spans="1:11" x14ac:dyDescent="0.25">
      <c r="A135" s="126" t="s">
        <v>350</v>
      </c>
      <c r="B135" s="126" t="s">
        <v>822</v>
      </c>
      <c r="C135" s="144">
        <f>VLOOKUP(A135,Detail!$A$6:$F$326,6,0)</f>
        <v>9543100.870000001</v>
      </c>
      <c r="D135" s="145">
        <v>9990870.410000002</v>
      </c>
      <c r="E135" s="153">
        <f>VLOOKUP(A135,Enroll!$A$7:$C$350,3,0)</f>
        <v>579.23000000000013</v>
      </c>
      <c r="F135" s="154">
        <f t="shared" ref="F135:F198" si="11">C135/E135</f>
        <v>16475.494829342402</v>
      </c>
      <c r="G135" s="160">
        <v>580.95000000000005</v>
      </c>
      <c r="H135" s="161">
        <v>17197.470367501508</v>
      </c>
      <c r="I135" s="160">
        <f t="shared" ref="I135:I198" si="12">SUM(C135/D135)</f>
        <v>0.95518212912142042</v>
      </c>
      <c r="J135" s="39">
        <f t="shared" ref="J135:J198" si="13">F135/H135</f>
        <v>0.95801850372578978</v>
      </c>
      <c r="K135" s="170" t="str">
        <f t="shared" si="10"/>
        <v xml:space="preserve"> </v>
      </c>
    </row>
    <row r="136" spans="1:11" x14ac:dyDescent="0.25">
      <c r="A136" s="126" t="s">
        <v>314</v>
      </c>
      <c r="B136" s="126" t="s">
        <v>823</v>
      </c>
      <c r="C136" s="144">
        <f>VLOOKUP(A136,Detail!$A$6:$F$326,6,0)</f>
        <v>17284857.530000005</v>
      </c>
      <c r="D136" s="145">
        <v>15176665.099999996</v>
      </c>
      <c r="E136" s="153">
        <f>VLOOKUP(A136,Enroll!$A$7:$C$350,3,0)</f>
        <v>984.87</v>
      </c>
      <c r="F136" s="154">
        <f t="shared" si="11"/>
        <v>17550.395006447558</v>
      </c>
      <c r="G136" s="160">
        <v>956.81999999999994</v>
      </c>
      <c r="H136" s="161">
        <v>15861.567588470138</v>
      </c>
      <c r="I136" s="160">
        <f t="shared" si="12"/>
        <v>1.1389101239375712</v>
      </c>
      <c r="J136" s="39">
        <f t="shared" si="13"/>
        <v>1.1064729200665537</v>
      </c>
      <c r="K136" s="170" t="str">
        <f t="shared" si="10"/>
        <v xml:space="preserve"> </v>
      </c>
    </row>
    <row r="137" spans="1:11" x14ac:dyDescent="0.25">
      <c r="A137" s="126" t="s">
        <v>538</v>
      </c>
      <c r="B137" s="126" t="s">
        <v>824</v>
      </c>
      <c r="C137" s="144">
        <f>VLOOKUP(A137,Detail!$A$6:$F$326,6,0)</f>
        <v>2752013.8899999997</v>
      </c>
      <c r="D137" s="145">
        <v>2552062.2499999995</v>
      </c>
      <c r="E137" s="153">
        <f>VLOOKUP(A137,Enroll!$A$7:$C$350,3,0)</f>
        <v>91.679999999999993</v>
      </c>
      <c r="F137" s="154">
        <f t="shared" si="11"/>
        <v>30017.603512216403</v>
      </c>
      <c r="G137" s="160">
        <v>100.43</v>
      </c>
      <c r="H137" s="161">
        <v>25411.353679179523</v>
      </c>
      <c r="I137" s="160">
        <f t="shared" si="12"/>
        <v>1.0783490449733348</v>
      </c>
      <c r="J137" s="39">
        <f t="shared" si="13"/>
        <v>1.1812673929610824</v>
      </c>
      <c r="K137" s="170" t="str">
        <f t="shared" si="10"/>
        <v xml:space="preserve"> </v>
      </c>
    </row>
    <row r="138" spans="1:11" x14ac:dyDescent="0.25">
      <c r="A138" s="126" t="s">
        <v>528</v>
      </c>
      <c r="B138" s="126" t="s">
        <v>825</v>
      </c>
      <c r="C138" s="144">
        <f>VLOOKUP(A138,Detail!$A$6:$F$326,6,0)</f>
        <v>2974084.45</v>
      </c>
      <c r="D138" s="145">
        <v>2943284.3200000003</v>
      </c>
      <c r="E138" s="153">
        <f>VLOOKUP(A138,Enroll!$A$7:$C$350,3,0)</f>
        <v>92.980000000000018</v>
      </c>
      <c r="F138" s="154">
        <f t="shared" si="11"/>
        <v>31986.28145837814</v>
      </c>
      <c r="G138" s="160">
        <v>99.07</v>
      </c>
      <c r="H138" s="161">
        <v>29709.138185121636</v>
      </c>
      <c r="I138" s="160">
        <f t="shared" si="12"/>
        <v>1.0104645445873879</v>
      </c>
      <c r="J138" s="39">
        <f t="shared" si="13"/>
        <v>1.0766479074238815</v>
      </c>
      <c r="K138" s="170" t="str">
        <f t="shared" si="10"/>
        <v xml:space="preserve"> </v>
      </c>
    </row>
    <row r="139" spans="1:11" x14ac:dyDescent="0.25">
      <c r="A139" s="126" t="s">
        <v>534</v>
      </c>
      <c r="B139" s="126" t="s">
        <v>826</v>
      </c>
      <c r="C139" s="144">
        <f>VLOOKUP(A139,Detail!$A$6:$F$326,6,0)</f>
        <v>1639351.66</v>
      </c>
      <c r="D139" s="145">
        <v>1649184.97</v>
      </c>
      <c r="E139" s="153">
        <f>VLOOKUP(A139,Enroll!$A$7:$C$350,3,0)</f>
        <v>88.899999999999991</v>
      </c>
      <c r="F139" s="154">
        <f t="shared" si="11"/>
        <v>18440.401124859392</v>
      </c>
      <c r="G139" s="160">
        <v>90.3</v>
      </c>
      <c r="H139" s="161">
        <v>18263.399446290143</v>
      </c>
      <c r="I139" s="160">
        <f t="shared" si="12"/>
        <v>0.99403747294640932</v>
      </c>
      <c r="J139" s="39">
        <f t="shared" si="13"/>
        <v>1.0096916063786363</v>
      </c>
      <c r="K139" s="170" t="str">
        <f t="shared" si="10"/>
        <v xml:space="preserve"> </v>
      </c>
    </row>
    <row r="140" spans="1:11" x14ac:dyDescent="0.25">
      <c r="A140" s="126" t="s">
        <v>460</v>
      </c>
      <c r="B140" s="126" t="s">
        <v>827</v>
      </c>
      <c r="C140" s="144">
        <f>VLOOKUP(A140,Detail!$A$6:$F$326,6,0)</f>
        <v>4379670.95</v>
      </c>
      <c r="D140" s="145">
        <v>4037393.62</v>
      </c>
      <c r="E140" s="153">
        <f>VLOOKUP(A140,Enroll!$A$7:$C$350,3,0)</f>
        <v>212.60999999999999</v>
      </c>
      <c r="F140" s="154">
        <f t="shared" si="11"/>
        <v>20599.552937303044</v>
      </c>
      <c r="G140" s="160">
        <v>205.10999999999999</v>
      </c>
      <c r="H140" s="161">
        <v>19684.040856125983</v>
      </c>
      <c r="I140" s="160">
        <f t="shared" si="12"/>
        <v>1.0847768045960304</v>
      </c>
      <c r="J140" s="39">
        <f t="shared" si="13"/>
        <v>1.0465103729396161</v>
      </c>
      <c r="K140" s="170" t="str">
        <f t="shared" si="10"/>
        <v xml:space="preserve"> </v>
      </c>
    </row>
    <row r="141" spans="1:11" x14ac:dyDescent="0.25">
      <c r="A141" s="126" t="s">
        <v>546</v>
      </c>
      <c r="B141" s="126" t="s">
        <v>828</v>
      </c>
      <c r="C141" s="144">
        <f>VLOOKUP(A141,Detail!$A$6:$F$326,6,0)</f>
        <v>2534575.1300000004</v>
      </c>
      <c r="D141" s="145">
        <v>2624302.2300000004</v>
      </c>
      <c r="E141" s="153">
        <f>VLOOKUP(A141,Enroll!$A$7:$C$350,3,0)</f>
        <v>53.699999999999996</v>
      </c>
      <c r="F141" s="154">
        <f t="shared" si="11"/>
        <v>47198.791992551218</v>
      </c>
      <c r="G141" s="160">
        <v>61.6</v>
      </c>
      <c r="H141" s="161">
        <v>42602.308928571438</v>
      </c>
      <c r="I141" s="160">
        <f t="shared" si="12"/>
        <v>0.96580915910740961</v>
      </c>
      <c r="J141" s="39">
        <f t="shared" si="13"/>
        <v>1.1078928156613861</v>
      </c>
      <c r="K141" s="170" t="str">
        <f t="shared" si="10"/>
        <v xml:space="preserve"> </v>
      </c>
    </row>
    <row r="142" spans="1:11" x14ac:dyDescent="0.25">
      <c r="A142" s="126" t="s">
        <v>548</v>
      </c>
      <c r="B142" s="126" t="s">
        <v>829</v>
      </c>
      <c r="C142" s="144">
        <f>VLOOKUP(A142,Detail!$A$6:$F$326,6,0)</f>
        <v>2885572.8800000004</v>
      </c>
      <c r="D142" s="145">
        <v>2854300.2</v>
      </c>
      <c r="E142" s="153">
        <f>VLOOKUP(A142,Enroll!$A$7:$C$350,3,0)</f>
        <v>73.75</v>
      </c>
      <c r="F142" s="154">
        <f t="shared" si="11"/>
        <v>39126.411932203395</v>
      </c>
      <c r="G142" s="160">
        <v>85.85</v>
      </c>
      <c r="H142" s="161">
        <v>33247.527082119981</v>
      </c>
      <c r="I142" s="160">
        <f t="shared" si="12"/>
        <v>1.0109563387901526</v>
      </c>
      <c r="J142" s="39">
        <f t="shared" si="13"/>
        <v>1.1768217177645368</v>
      </c>
      <c r="K142" s="170" t="str">
        <f t="shared" si="10"/>
        <v xml:space="preserve"> </v>
      </c>
    </row>
    <row r="143" spans="1:11" x14ac:dyDescent="0.25">
      <c r="A143" s="126" t="s">
        <v>592</v>
      </c>
      <c r="B143" s="126" t="s">
        <v>830</v>
      </c>
      <c r="C143" s="144">
        <f>VLOOKUP(A143,Detail!$A$6:$F$326,6,0)</f>
        <v>669532.42999999993</v>
      </c>
      <c r="D143" s="145">
        <v>781127.77</v>
      </c>
      <c r="E143" s="153">
        <f>VLOOKUP(A143,Enroll!$A$7:$C$350,3,0)</f>
        <v>24.7</v>
      </c>
      <c r="F143" s="154">
        <f t="shared" si="11"/>
        <v>27106.576113360323</v>
      </c>
      <c r="G143" s="160">
        <v>27.1</v>
      </c>
      <c r="H143" s="161">
        <v>28823.902952029519</v>
      </c>
      <c r="I143" s="160">
        <f t="shared" si="12"/>
        <v>0.85713561303805641</v>
      </c>
      <c r="J143" s="39">
        <f t="shared" si="13"/>
        <v>0.94042004507414301</v>
      </c>
      <c r="K143" s="170" t="str">
        <f t="shared" si="10"/>
        <v xml:space="preserve"> </v>
      </c>
    </row>
    <row r="144" spans="1:11" x14ac:dyDescent="0.25">
      <c r="A144" s="126" t="s">
        <v>304</v>
      </c>
      <c r="B144" s="126" t="s">
        <v>831</v>
      </c>
      <c r="C144" s="144">
        <f>VLOOKUP(A144,Detail!$A$6:$F$326,6,0)</f>
        <v>40938554.009999998</v>
      </c>
      <c r="D144" s="145">
        <v>38918479.289999999</v>
      </c>
      <c r="E144" s="153">
        <f>VLOOKUP(A144,Enroll!$A$7:$C$350,3,0)</f>
        <v>2950.3899999999994</v>
      </c>
      <c r="F144" s="154">
        <f t="shared" si="11"/>
        <v>13875.641528747048</v>
      </c>
      <c r="G144" s="160">
        <v>2934.26</v>
      </c>
      <c r="H144" s="161">
        <v>13263.47334251225</v>
      </c>
      <c r="I144" s="160">
        <f t="shared" si="12"/>
        <v>1.051905283989836</v>
      </c>
      <c r="J144" s="39">
        <f t="shared" si="13"/>
        <v>1.0461544401248706</v>
      </c>
      <c r="K144" s="170" t="str">
        <f t="shared" si="10"/>
        <v xml:space="preserve"> </v>
      </c>
    </row>
    <row r="145" spans="1:11" x14ac:dyDescent="0.25">
      <c r="A145" s="126" t="s">
        <v>274</v>
      </c>
      <c r="B145" s="126" t="s">
        <v>832</v>
      </c>
      <c r="C145" s="144">
        <f>VLOOKUP(A145,Detail!$A$6:$F$326,6,0)</f>
        <v>20442697.07</v>
      </c>
      <c r="D145" s="145">
        <v>18814708.040000003</v>
      </c>
      <c r="E145" s="153">
        <f>VLOOKUP(A145,Enroll!$A$7:$C$350,3,0)</f>
        <v>1096.7399999999998</v>
      </c>
      <c r="F145" s="154">
        <f t="shared" si="11"/>
        <v>18639.510795630693</v>
      </c>
      <c r="G145" s="160">
        <v>1084.28</v>
      </c>
      <c r="H145" s="161">
        <v>17352.259600841113</v>
      </c>
      <c r="I145" s="160">
        <f t="shared" si="12"/>
        <v>1.086527467050719</v>
      </c>
      <c r="J145" s="39">
        <f t="shared" si="13"/>
        <v>1.0741834910496142</v>
      </c>
      <c r="K145" s="170" t="str">
        <f t="shared" si="10"/>
        <v xml:space="preserve"> </v>
      </c>
    </row>
    <row r="146" spans="1:11" x14ac:dyDescent="0.25">
      <c r="A146" s="126" t="s">
        <v>456</v>
      </c>
      <c r="B146" s="126" t="s">
        <v>833</v>
      </c>
      <c r="C146" s="144">
        <f>VLOOKUP(A146,Detail!$A$6:$F$326,6,0)</f>
        <v>4609207.3499999987</v>
      </c>
      <c r="D146" s="145">
        <v>3889157.68</v>
      </c>
      <c r="E146" s="153">
        <f>VLOOKUP(A146,Enroll!$A$7:$C$350,3,0)</f>
        <v>189.77</v>
      </c>
      <c r="F146" s="154">
        <f t="shared" si="11"/>
        <v>24288.387785213672</v>
      </c>
      <c r="G146" s="160">
        <v>200.32</v>
      </c>
      <c r="H146" s="161">
        <v>19414.724840255592</v>
      </c>
      <c r="I146" s="160">
        <f t="shared" si="12"/>
        <v>1.1851428327791529</v>
      </c>
      <c r="J146" s="39">
        <f t="shared" si="13"/>
        <v>1.2510292051552927</v>
      </c>
      <c r="K146" s="170" t="str">
        <f t="shared" si="10"/>
        <v xml:space="preserve"> </v>
      </c>
    </row>
    <row r="147" spans="1:11" x14ac:dyDescent="0.25">
      <c r="A147" s="126" t="s">
        <v>322</v>
      </c>
      <c r="B147" s="126" t="s">
        <v>834</v>
      </c>
      <c r="C147" s="144">
        <f>VLOOKUP(A147,Detail!$A$6:$F$326,6,0)</f>
        <v>12921899.599999998</v>
      </c>
      <c r="D147" s="145">
        <v>11139362.48</v>
      </c>
      <c r="E147" s="153">
        <f>VLOOKUP(A147,Enroll!$A$7:$C$350,3,0)</f>
        <v>837.4699999999998</v>
      </c>
      <c r="F147" s="154">
        <f t="shared" si="11"/>
        <v>15429.686555936332</v>
      </c>
      <c r="G147" s="160">
        <v>819.74</v>
      </c>
      <c r="H147" s="161">
        <v>13588.897064923025</v>
      </c>
      <c r="I147" s="160">
        <f t="shared" si="12"/>
        <v>1.1600214665067616</v>
      </c>
      <c r="J147" s="39">
        <f t="shared" si="13"/>
        <v>1.135462759208393</v>
      </c>
      <c r="K147" s="170" t="str">
        <f t="shared" si="10"/>
        <v xml:space="preserve"> </v>
      </c>
    </row>
    <row r="148" spans="1:11" x14ac:dyDescent="0.25">
      <c r="A148" s="126" t="s">
        <v>570</v>
      </c>
      <c r="B148" s="126" t="s">
        <v>835</v>
      </c>
      <c r="C148" s="144">
        <f>VLOOKUP(A148,Detail!$A$6:$F$326,6,0)</f>
        <v>1131236.32</v>
      </c>
      <c r="D148" s="145">
        <v>862740.35000000021</v>
      </c>
      <c r="E148" s="153">
        <f>VLOOKUP(A148,Enroll!$A$7:$C$350,3,0)</f>
        <v>53.800000000000004</v>
      </c>
      <c r="F148" s="154">
        <f t="shared" si="11"/>
        <v>21026.697397769516</v>
      </c>
      <c r="G148" s="160">
        <v>58.9</v>
      </c>
      <c r="H148" s="161">
        <v>14647.544142614604</v>
      </c>
      <c r="I148" s="160">
        <f t="shared" si="12"/>
        <v>1.3112129506867272</v>
      </c>
      <c r="J148" s="39">
        <f t="shared" si="13"/>
        <v>1.4355100891347254</v>
      </c>
      <c r="K148" s="170" t="str">
        <f t="shared" si="10"/>
        <v xml:space="preserve"> </v>
      </c>
    </row>
    <row r="149" spans="1:11" x14ac:dyDescent="0.25">
      <c r="A149" s="126" t="s">
        <v>384</v>
      </c>
      <c r="B149" s="126" t="s">
        <v>836</v>
      </c>
      <c r="C149" s="144">
        <f>VLOOKUP(A149,Detail!$A$6:$F$326,6,0)</f>
        <v>11071272.980000002</v>
      </c>
      <c r="D149" s="145">
        <v>9537580.3800000027</v>
      </c>
      <c r="E149" s="153">
        <f>VLOOKUP(A149,Enroll!$A$7:$C$350,3,0)</f>
        <v>645.3900000000001</v>
      </c>
      <c r="F149" s="154">
        <f t="shared" si="11"/>
        <v>17154.391887076032</v>
      </c>
      <c r="G149" s="160">
        <v>621.05000000000007</v>
      </c>
      <c r="H149" s="161">
        <v>15357.186023669594</v>
      </c>
      <c r="I149" s="160">
        <f t="shared" si="12"/>
        <v>1.1608052083331433</v>
      </c>
      <c r="J149" s="39">
        <f t="shared" si="13"/>
        <v>1.1170270296027185</v>
      </c>
      <c r="K149" s="170" t="str">
        <f t="shared" si="10"/>
        <v xml:space="preserve"> </v>
      </c>
    </row>
    <row r="150" spans="1:11" x14ac:dyDescent="0.25">
      <c r="A150" s="126" t="s">
        <v>420</v>
      </c>
      <c r="B150" s="126" t="s">
        <v>837</v>
      </c>
      <c r="C150" s="144">
        <f>VLOOKUP(A150,Detail!$A$6:$F$326,6,0)</f>
        <v>8750952.3599999994</v>
      </c>
      <c r="D150" s="145">
        <v>7732912.3400000008</v>
      </c>
      <c r="E150" s="153">
        <f>VLOOKUP(A150,Enroll!$A$7:$C$350,3,0)</f>
        <v>435.43999999999994</v>
      </c>
      <c r="F150" s="154">
        <f t="shared" si="11"/>
        <v>20096.804060260885</v>
      </c>
      <c r="G150" s="160">
        <v>440.35999999999996</v>
      </c>
      <c r="H150" s="161">
        <v>17560.433145608142</v>
      </c>
      <c r="I150" s="160">
        <f t="shared" si="12"/>
        <v>1.1316502729164519</v>
      </c>
      <c r="J150" s="39">
        <f t="shared" si="13"/>
        <v>1.1444366943355886</v>
      </c>
      <c r="K150" s="170" t="str">
        <f t="shared" si="10"/>
        <v xml:space="preserve"> </v>
      </c>
    </row>
    <row r="151" spans="1:11" x14ac:dyDescent="0.25">
      <c r="A151" s="126" t="s">
        <v>354</v>
      </c>
      <c r="B151" s="126" t="s">
        <v>838</v>
      </c>
      <c r="C151" s="144">
        <f>VLOOKUP(A151,Detail!$A$6:$F$326,6,0)</f>
        <v>10547275.279999999</v>
      </c>
      <c r="D151" s="145">
        <v>9353500.6399999987</v>
      </c>
      <c r="E151" s="153">
        <f>VLOOKUP(A151,Enroll!$A$7:$C$350,3,0)</f>
        <v>628.80999999999995</v>
      </c>
      <c r="F151" s="154">
        <f t="shared" si="11"/>
        <v>16773.389863392757</v>
      </c>
      <c r="G151" s="160">
        <v>634.31999999999994</v>
      </c>
      <c r="H151" s="161">
        <v>14745.712952453019</v>
      </c>
      <c r="I151" s="160">
        <f t="shared" si="12"/>
        <v>1.1276286479197803</v>
      </c>
      <c r="J151" s="39">
        <f t="shared" si="13"/>
        <v>1.1375095878699051</v>
      </c>
      <c r="K151" s="170" t="str">
        <f t="shared" si="10"/>
        <v xml:space="preserve"> </v>
      </c>
    </row>
    <row r="152" spans="1:11" x14ac:dyDescent="0.25">
      <c r="A152" s="126" t="s">
        <v>340</v>
      </c>
      <c r="B152" s="126" t="s">
        <v>839</v>
      </c>
      <c r="C152" s="144">
        <f>VLOOKUP(A152,Detail!$A$6:$F$326,6,0)</f>
        <v>16189271.240000002</v>
      </c>
      <c r="D152" s="145">
        <v>10875594.019999998</v>
      </c>
      <c r="E152" s="153">
        <f>VLOOKUP(A152,Enroll!$A$7:$C$350,3,0)</f>
        <v>773.02</v>
      </c>
      <c r="F152" s="154">
        <f t="shared" si="11"/>
        <v>20942.887945978116</v>
      </c>
      <c r="G152" s="160">
        <v>814.81999999999994</v>
      </c>
      <c r="H152" s="161">
        <v>13347.234996686382</v>
      </c>
      <c r="I152" s="160">
        <f t="shared" si="12"/>
        <v>1.4885873093670341</v>
      </c>
      <c r="J152" s="39">
        <f t="shared" si="13"/>
        <v>1.569080633642657</v>
      </c>
      <c r="K152" s="170" t="str">
        <f t="shared" si="10"/>
        <v xml:space="preserve"> </v>
      </c>
    </row>
    <row r="153" spans="1:11" x14ac:dyDescent="0.25">
      <c r="A153" s="126" t="s">
        <v>526</v>
      </c>
      <c r="B153" s="126" t="s">
        <v>840</v>
      </c>
      <c r="C153" s="144">
        <f>VLOOKUP(A153,Detail!$A$6:$F$326,6,0)</f>
        <v>4896632.43</v>
      </c>
      <c r="D153" s="145">
        <v>4109830.3699999987</v>
      </c>
      <c r="E153" s="153">
        <f>VLOOKUP(A153,Enroll!$A$7:$C$350,3,0)</f>
        <v>296.66000000000003</v>
      </c>
      <c r="F153" s="154">
        <f t="shared" si="11"/>
        <v>16505.873491539132</v>
      </c>
      <c r="G153" s="160">
        <v>330.87</v>
      </c>
      <c r="H153" s="161">
        <v>12421.284401728772</v>
      </c>
      <c r="I153" s="160">
        <f t="shared" si="12"/>
        <v>1.1914439257014886</v>
      </c>
      <c r="J153" s="39">
        <f t="shared" si="13"/>
        <v>1.3288379009534534</v>
      </c>
      <c r="K153" s="170" t="str">
        <f t="shared" si="10"/>
        <v xml:space="preserve"> </v>
      </c>
    </row>
    <row r="154" spans="1:11" x14ac:dyDescent="0.25">
      <c r="A154" s="126" t="s">
        <v>330</v>
      </c>
      <c r="B154" s="126" t="s">
        <v>841</v>
      </c>
      <c r="C154" s="144">
        <f>VLOOKUP(A154,Detail!$A$6:$F$326,6,0)</f>
        <v>14556563.039999999</v>
      </c>
      <c r="D154" s="145">
        <v>13547913.99</v>
      </c>
      <c r="E154" s="153">
        <f>VLOOKUP(A154,Enroll!$A$7:$C$350,3,0)</f>
        <v>913.18999999999994</v>
      </c>
      <c r="F154" s="154">
        <f t="shared" si="11"/>
        <v>15940.344331409673</v>
      </c>
      <c r="G154" s="160">
        <v>859.87999999999988</v>
      </c>
      <c r="H154" s="161">
        <v>15755.586814439226</v>
      </c>
      <c r="I154" s="160">
        <f t="shared" si="12"/>
        <v>1.0744505058671396</v>
      </c>
      <c r="J154" s="39">
        <f t="shared" si="13"/>
        <v>1.0117264764014455</v>
      </c>
      <c r="K154" s="170" t="str">
        <f t="shared" si="10"/>
        <v xml:space="preserve"> </v>
      </c>
    </row>
    <row r="155" spans="1:11" x14ac:dyDescent="0.25">
      <c r="A155" s="126" t="s">
        <v>324</v>
      </c>
      <c r="B155" s="126" t="s">
        <v>842</v>
      </c>
      <c r="C155" s="144">
        <f>VLOOKUP(A155,Detail!$A$6:$F$326,6,0)</f>
        <v>13807514.029999999</v>
      </c>
      <c r="D155" s="145">
        <v>12963965.459999999</v>
      </c>
      <c r="E155" s="153">
        <f>VLOOKUP(A155,Enroll!$A$7:$C$350,3,0)</f>
        <v>881.14</v>
      </c>
      <c r="F155" s="154">
        <f t="shared" si="11"/>
        <v>15670.057005697165</v>
      </c>
      <c r="G155" s="160">
        <v>859.12</v>
      </c>
      <c r="H155" s="161">
        <v>15089.819187075145</v>
      </c>
      <c r="I155" s="160">
        <f t="shared" si="12"/>
        <v>1.0650687147079148</v>
      </c>
      <c r="J155" s="39">
        <f t="shared" si="13"/>
        <v>1.0384522711258866</v>
      </c>
      <c r="K155" s="170" t="str">
        <f t="shared" si="10"/>
        <v xml:space="preserve"> </v>
      </c>
    </row>
    <row r="156" spans="1:11" x14ac:dyDescent="0.25">
      <c r="A156" s="126" t="s">
        <v>436</v>
      </c>
      <c r="B156" s="126" t="s">
        <v>843</v>
      </c>
      <c r="C156" s="144">
        <f>VLOOKUP(A156,Detail!$A$6:$F$326,6,0)</f>
        <v>5721058.5100000007</v>
      </c>
      <c r="D156" s="145">
        <v>5423288.8700000001</v>
      </c>
      <c r="E156" s="153">
        <f>VLOOKUP(A156,Enroll!$A$7:$C$350,3,0)</f>
        <v>282.55</v>
      </c>
      <c r="F156" s="154">
        <f t="shared" si="11"/>
        <v>20247.950840559195</v>
      </c>
      <c r="G156" s="160">
        <v>275.27</v>
      </c>
      <c r="H156" s="161">
        <v>19701.706942274861</v>
      </c>
      <c r="I156" s="160">
        <f t="shared" si="12"/>
        <v>1.0549057310310672</v>
      </c>
      <c r="J156" s="39">
        <f t="shared" si="13"/>
        <v>1.0277257143193128</v>
      </c>
      <c r="K156" s="170" t="str">
        <f t="shared" si="10"/>
        <v xml:space="preserve"> </v>
      </c>
    </row>
    <row r="157" spans="1:11" x14ac:dyDescent="0.25">
      <c r="A157" s="126" t="s">
        <v>178</v>
      </c>
      <c r="B157" s="126" t="s">
        <v>844</v>
      </c>
      <c r="C157" s="144">
        <f>VLOOKUP(A157,Detail!$A$6:$F$326,6,0)</f>
        <v>51448440.910000011</v>
      </c>
      <c r="D157" s="145">
        <v>50721614.870000012</v>
      </c>
      <c r="E157" s="153">
        <f>VLOOKUP(A157,Enroll!$A$7:$C$350,3,0)</f>
        <v>3140.43</v>
      </c>
      <c r="F157" s="154">
        <f t="shared" si="11"/>
        <v>16382.610314511074</v>
      </c>
      <c r="G157" s="160">
        <v>3105.39</v>
      </c>
      <c r="H157" s="161">
        <v>16333.412186553061</v>
      </c>
      <c r="I157" s="160">
        <f t="shared" si="12"/>
        <v>1.0143297101612962</v>
      </c>
      <c r="J157" s="39">
        <f t="shared" si="13"/>
        <v>1.0030121157414074</v>
      </c>
      <c r="K157" s="170" t="str">
        <f t="shared" si="10"/>
        <v xml:space="preserve"> </v>
      </c>
    </row>
    <row r="158" spans="1:11" x14ac:dyDescent="0.25">
      <c r="A158" s="126" t="s">
        <v>400</v>
      </c>
      <c r="B158" s="126" t="s">
        <v>845</v>
      </c>
      <c r="C158" s="144">
        <f>VLOOKUP(A158,Detail!$A$6:$F$326,6,0)</f>
        <v>7063108.4100000001</v>
      </c>
      <c r="D158" s="145">
        <v>6791067.0200000014</v>
      </c>
      <c r="E158" s="153">
        <f>VLOOKUP(A158,Enroll!$A$7:$C$350,3,0)</f>
        <v>352.81000000000006</v>
      </c>
      <c r="F158" s="154">
        <f t="shared" si="11"/>
        <v>20019.581105977719</v>
      </c>
      <c r="G158" s="160">
        <v>336.31</v>
      </c>
      <c r="H158" s="161">
        <v>20192.878653623149</v>
      </c>
      <c r="I158" s="160">
        <f t="shared" si="12"/>
        <v>1.040058710832749</v>
      </c>
      <c r="J158" s="39">
        <f t="shared" si="13"/>
        <v>0.99141788792880525</v>
      </c>
      <c r="K158" s="170" t="str">
        <f t="shared" si="10"/>
        <v xml:space="preserve"> </v>
      </c>
    </row>
    <row r="159" spans="1:11" x14ac:dyDescent="0.25">
      <c r="A159" s="126" t="s">
        <v>158</v>
      </c>
      <c r="B159" s="126" t="s">
        <v>846</v>
      </c>
      <c r="C159" s="144">
        <f>VLOOKUP(A159,Detail!$A$6:$F$326,6,0)</f>
        <v>53804051.239999995</v>
      </c>
      <c r="D159" s="145">
        <v>49937229.770000003</v>
      </c>
      <c r="E159" s="153">
        <f>VLOOKUP(A159,Enroll!$A$7:$C$350,3,0)</f>
        <v>3340.89</v>
      </c>
      <c r="F159" s="154">
        <f t="shared" si="11"/>
        <v>16104.706003490088</v>
      </c>
      <c r="G159" s="160">
        <v>3388.69</v>
      </c>
      <c r="H159" s="161">
        <v>14736.440857676565</v>
      </c>
      <c r="I159" s="160">
        <f t="shared" si="12"/>
        <v>1.0774336399477851</v>
      </c>
      <c r="J159" s="39">
        <f t="shared" si="13"/>
        <v>1.0928490915159315</v>
      </c>
      <c r="K159" s="170" t="str">
        <f t="shared" si="10"/>
        <v xml:space="preserve"> </v>
      </c>
    </row>
    <row r="160" spans="1:11" x14ac:dyDescent="0.25">
      <c r="A160" s="126" t="s">
        <v>550</v>
      </c>
      <c r="B160" s="126" t="s">
        <v>847</v>
      </c>
      <c r="C160" s="144">
        <f>VLOOKUP(A160,Detail!$A$6:$F$326,6,0)</f>
        <v>2665302.0100000002</v>
      </c>
      <c r="D160" s="145">
        <v>2445228.7699999996</v>
      </c>
      <c r="E160" s="153">
        <f>VLOOKUP(A160,Enroll!$A$7:$C$350,3,0)</f>
        <v>48.440000000000005</v>
      </c>
      <c r="F160" s="154">
        <f t="shared" si="11"/>
        <v>55022.75</v>
      </c>
      <c r="G160" s="160">
        <v>62.19</v>
      </c>
      <c r="H160" s="161">
        <v>39318.680977649135</v>
      </c>
      <c r="I160" s="160">
        <f t="shared" si="12"/>
        <v>1.090001084029451</v>
      </c>
      <c r="J160" s="39">
        <f t="shared" si="13"/>
        <v>1.3994047773697675</v>
      </c>
      <c r="K160" s="170" t="str">
        <f t="shared" si="10"/>
        <v xml:space="preserve"> </v>
      </c>
    </row>
    <row r="161" spans="1:11" x14ac:dyDescent="0.25">
      <c r="A161" s="126" t="s">
        <v>376</v>
      </c>
      <c r="B161" s="126" t="s">
        <v>1015</v>
      </c>
      <c r="C161" s="144">
        <f>VLOOKUP(A161,Detail!$A$6:$F$326,6,0)</f>
        <v>11823008.01</v>
      </c>
      <c r="D161" s="145">
        <v>10609989.060000001</v>
      </c>
      <c r="E161" s="153">
        <f>VLOOKUP(A161,Enroll!$A$7:$C$350,3,0)</f>
        <v>711.81000000000006</v>
      </c>
      <c r="F161" s="154">
        <f t="shared" si="11"/>
        <v>16609.780713954566</v>
      </c>
      <c r="G161" s="160">
        <v>730.45999999999992</v>
      </c>
      <c r="H161" s="161">
        <v>14525.07879966049</v>
      </c>
      <c r="I161" s="160">
        <f t="shared" si="12"/>
        <v>1.1143280113806262</v>
      </c>
      <c r="J161" s="39">
        <f t="shared" si="13"/>
        <v>1.1435243101292369</v>
      </c>
      <c r="K161" s="170" t="str">
        <f t="shared" si="10"/>
        <v xml:space="preserve"> </v>
      </c>
    </row>
    <row r="162" spans="1:11" x14ac:dyDescent="0.25">
      <c r="A162" s="126" t="s">
        <v>542</v>
      </c>
      <c r="B162" s="126" t="s">
        <v>848</v>
      </c>
      <c r="C162" s="144">
        <f>VLOOKUP(A162,Detail!$A$6:$F$326,6,0)</f>
        <v>3043422.31</v>
      </c>
      <c r="D162" s="145">
        <v>2881739.2800000003</v>
      </c>
      <c r="E162" s="153">
        <f>VLOOKUP(A162,Enroll!$A$7:$C$350,3,0)</f>
        <v>108.21999999999998</v>
      </c>
      <c r="F162" s="154">
        <f t="shared" si="11"/>
        <v>28122.54952873776</v>
      </c>
      <c r="G162" s="160">
        <v>102.34</v>
      </c>
      <c r="H162" s="161">
        <v>28158.484268125856</v>
      </c>
      <c r="I162" s="160">
        <f t="shared" si="12"/>
        <v>1.0561060575889432</v>
      </c>
      <c r="J162" s="39">
        <f t="shared" si="13"/>
        <v>0.99872383971218326</v>
      </c>
      <c r="K162" s="170" t="str">
        <f t="shared" ref="K162:K193" si="14">IF(AND(I162&lt;0.9,J162&lt;0.9),"DNME"," ")</f>
        <v xml:space="preserve"> </v>
      </c>
    </row>
    <row r="163" spans="1:11" x14ac:dyDescent="0.25">
      <c r="A163" s="126" t="s">
        <v>530</v>
      </c>
      <c r="B163" s="126" t="s">
        <v>849</v>
      </c>
      <c r="C163" s="144">
        <f>VLOOKUP(A163,Detail!$A$6:$F$326,6,0)</f>
        <v>3557372.51</v>
      </c>
      <c r="D163" s="145">
        <v>3419385.8699999996</v>
      </c>
      <c r="E163" s="153">
        <f>VLOOKUP(A163,Enroll!$A$7:$C$350,3,0)</f>
        <v>73.22</v>
      </c>
      <c r="F163" s="154">
        <f t="shared" si="11"/>
        <v>48584.710598197213</v>
      </c>
      <c r="G163" s="160">
        <v>86.6</v>
      </c>
      <c r="H163" s="161">
        <v>39484.825288683598</v>
      </c>
      <c r="I163" s="160">
        <f t="shared" si="12"/>
        <v>1.0403542171740916</v>
      </c>
      <c r="J163" s="39">
        <f t="shared" si="13"/>
        <v>1.230465381142807</v>
      </c>
      <c r="K163" s="170" t="str">
        <f t="shared" si="14"/>
        <v xml:space="preserve"> </v>
      </c>
    </row>
    <row r="164" spans="1:11" x14ac:dyDescent="0.25">
      <c r="A164" s="126" t="s">
        <v>446</v>
      </c>
      <c r="B164" s="126" t="s">
        <v>850</v>
      </c>
      <c r="C164" s="144">
        <f>VLOOKUP(A164,Detail!$A$6:$F$326,6,0)</f>
        <v>4950915.8899999987</v>
      </c>
      <c r="D164" s="145">
        <v>4626313.62</v>
      </c>
      <c r="E164" s="153">
        <f>VLOOKUP(A164,Enroll!$A$7:$C$350,3,0)</f>
        <v>216.13000000000002</v>
      </c>
      <c r="F164" s="154">
        <f t="shared" si="11"/>
        <v>22907.120205431907</v>
      </c>
      <c r="G164" s="160">
        <v>213.99</v>
      </c>
      <c r="H164" s="161">
        <v>21619.298191504276</v>
      </c>
      <c r="I164" s="160">
        <f t="shared" si="12"/>
        <v>1.0701643460998216</v>
      </c>
      <c r="J164" s="39">
        <f t="shared" si="13"/>
        <v>1.0595681692587831</v>
      </c>
      <c r="K164" s="170" t="str">
        <f t="shared" si="14"/>
        <v xml:space="preserve"> </v>
      </c>
    </row>
    <row r="165" spans="1:11" x14ac:dyDescent="0.25">
      <c r="A165" s="126" t="s">
        <v>438</v>
      </c>
      <c r="B165" s="126" t="s">
        <v>851</v>
      </c>
      <c r="C165" s="144">
        <f>VLOOKUP(A165,Detail!$A$6:$F$326,6,0)</f>
        <v>4325085.1599999992</v>
      </c>
      <c r="D165" s="145">
        <v>4195746.5900000008</v>
      </c>
      <c r="E165" s="153">
        <f>VLOOKUP(A165,Enroll!$A$7:$C$350,3,0)</f>
        <v>226.27000000000004</v>
      </c>
      <c r="F165" s="154">
        <f t="shared" si="11"/>
        <v>19114.70879922216</v>
      </c>
      <c r="G165" s="160">
        <v>225.65</v>
      </c>
      <c r="H165" s="161">
        <v>18594.046487923777</v>
      </c>
      <c r="I165" s="160">
        <f t="shared" si="12"/>
        <v>1.0308261157402259</v>
      </c>
      <c r="J165" s="39">
        <f t="shared" si="13"/>
        <v>1.0280015601572545</v>
      </c>
      <c r="K165" s="170" t="str">
        <f t="shared" si="14"/>
        <v xml:space="preserve"> </v>
      </c>
    </row>
    <row r="166" spans="1:11" x14ac:dyDescent="0.25">
      <c r="A166" s="126" t="s">
        <v>518</v>
      </c>
      <c r="B166" s="126" t="s">
        <v>852</v>
      </c>
      <c r="C166" s="144">
        <f>VLOOKUP(A166,Detail!$A$6:$F$326,6,0)</f>
        <v>3665580.3099999996</v>
      </c>
      <c r="D166" s="145">
        <v>3469464.56</v>
      </c>
      <c r="E166" s="153">
        <f>VLOOKUP(A166,Enroll!$A$7:$C$350,3,0)</f>
        <v>116.25000000000001</v>
      </c>
      <c r="F166" s="154">
        <f t="shared" si="11"/>
        <v>31531.873634408596</v>
      </c>
      <c r="G166" s="160">
        <v>114.06</v>
      </c>
      <c r="H166" s="161">
        <v>30417.89023321059</v>
      </c>
      <c r="I166" s="160">
        <f t="shared" si="12"/>
        <v>1.056526229511334</v>
      </c>
      <c r="J166" s="39">
        <f t="shared" si="13"/>
        <v>1.0366226386069914</v>
      </c>
      <c r="K166" s="170" t="str">
        <f t="shared" si="14"/>
        <v xml:space="preserve"> </v>
      </c>
    </row>
    <row r="167" spans="1:11" x14ac:dyDescent="0.25">
      <c r="A167" s="126" t="s">
        <v>368</v>
      </c>
      <c r="B167" s="126" t="s">
        <v>853</v>
      </c>
      <c r="C167" s="144">
        <f>VLOOKUP(A167,Detail!$A$6:$F$326,6,0)</f>
        <v>10159460.24</v>
      </c>
      <c r="D167" s="145">
        <v>9625240.1199999992</v>
      </c>
      <c r="E167" s="153">
        <f>VLOOKUP(A167,Enroll!$A$7:$C$350,3,0)</f>
        <v>679.8900000000001</v>
      </c>
      <c r="F167" s="154">
        <f t="shared" si="11"/>
        <v>14942.799923517037</v>
      </c>
      <c r="G167" s="160">
        <v>642.07000000000005</v>
      </c>
      <c r="H167" s="161">
        <v>14990.951329294312</v>
      </c>
      <c r="I167" s="160">
        <f t="shared" si="12"/>
        <v>1.0555020044528511</v>
      </c>
      <c r="J167" s="39">
        <f t="shared" si="13"/>
        <v>0.99678796864057717</v>
      </c>
      <c r="K167" s="170" t="str">
        <f t="shared" si="14"/>
        <v xml:space="preserve"> </v>
      </c>
    </row>
    <row r="168" spans="1:11" x14ac:dyDescent="0.25">
      <c r="A168" s="126" t="s">
        <v>464</v>
      </c>
      <c r="B168" s="126" t="s">
        <v>854</v>
      </c>
      <c r="C168" s="144">
        <f>VLOOKUP(A168,Detail!$A$6:$F$326,6,0)</f>
        <v>3790807.8800000004</v>
      </c>
      <c r="D168" s="145">
        <v>3701113.2800000003</v>
      </c>
      <c r="E168" s="153">
        <f>VLOOKUP(A168,Enroll!$A$7:$C$350,3,0)</f>
        <v>218.36</v>
      </c>
      <c r="F168" s="154">
        <f t="shared" si="11"/>
        <v>17360.358490566039</v>
      </c>
      <c r="G168" s="160">
        <v>213.4</v>
      </c>
      <c r="H168" s="161">
        <v>17343.548641049674</v>
      </c>
      <c r="I168" s="160">
        <f t="shared" si="12"/>
        <v>1.0242344919526485</v>
      </c>
      <c r="J168" s="39">
        <f t="shared" si="13"/>
        <v>1.0009692278013151</v>
      </c>
      <c r="K168" s="170" t="str">
        <f t="shared" si="14"/>
        <v xml:space="preserve"> </v>
      </c>
    </row>
    <row r="169" spans="1:11" x14ac:dyDescent="0.25">
      <c r="A169" s="126" t="s">
        <v>466</v>
      </c>
      <c r="B169" s="126" t="s">
        <v>855</v>
      </c>
      <c r="C169" s="144">
        <f>VLOOKUP(A169,Detail!$A$6:$F$326,6,0)</f>
        <v>4025788.5</v>
      </c>
      <c r="D169" s="145">
        <v>3782281.9300000011</v>
      </c>
      <c r="E169" s="153">
        <f>VLOOKUP(A169,Enroll!$A$7:$C$350,3,0)</f>
        <v>226.84</v>
      </c>
      <c r="F169" s="154">
        <f t="shared" si="11"/>
        <v>17747.260183389171</v>
      </c>
      <c r="G169" s="160">
        <v>233.2</v>
      </c>
      <c r="H169" s="161">
        <v>16219.047727272733</v>
      </c>
      <c r="I169" s="160">
        <f t="shared" si="12"/>
        <v>1.0643808617407848</v>
      </c>
      <c r="J169" s="39">
        <f t="shared" si="13"/>
        <v>1.0942233158082832</v>
      </c>
      <c r="K169" s="170" t="str">
        <f t="shared" si="14"/>
        <v xml:space="preserve"> </v>
      </c>
    </row>
    <row r="170" spans="1:11" x14ac:dyDescent="0.25">
      <c r="A170" s="126" t="s">
        <v>130</v>
      </c>
      <c r="B170" s="126" t="s">
        <v>856</v>
      </c>
      <c r="C170" s="144">
        <f>VLOOKUP(A170,Detail!$A$6:$F$326,6,0)</f>
        <v>75462952.079999983</v>
      </c>
      <c r="D170" s="145">
        <v>74752242.859999985</v>
      </c>
      <c r="E170" s="153">
        <f>VLOOKUP(A170,Enroll!$A$7:$C$350,3,0)</f>
        <v>4455.2599999999993</v>
      </c>
      <c r="F170" s="154">
        <f t="shared" si="11"/>
        <v>16937.945727073165</v>
      </c>
      <c r="G170" s="160">
        <v>4538.5</v>
      </c>
      <c r="H170" s="161">
        <v>16470.693590393297</v>
      </c>
      <c r="I170" s="160">
        <f t="shared" si="12"/>
        <v>1.0095075303804737</v>
      </c>
      <c r="J170" s="39">
        <f t="shared" si="13"/>
        <v>1.0283686982649229</v>
      </c>
      <c r="K170" s="170" t="str">
        <f t="shared" si="14"/>
        <v xml:space="preserve"> </v>
      </c>
    </row>
    <row r="171" spans="1:11" x14ac:dyDescent="0.25">
      <c r="A171" s="126" t="s">
        <v>374</v>
      </c>
      <c r="B171" s="126" t="s">
        <v>1016</v>
      </c>
      <c r="C171" s="144">
        <f>VLOOKUP(A171,Detail!$A$6:$F$326,6,0)</f>
        <v>12539047.550000001</v>
      </c>
      <c r="D171" s="145">
        <v>13114270.25</v>
      </c>
      <c r="E171" s="153">
        <f>VLOOKUP(A171,Enroll!$A$7:$C$350,3,0)</f>
        <v>753.61999999999989</v>
      </c>
      <c r="F171" s="154">
        <f t="shared" si="11"/>
        <v>16638.421950054406</v>
      </c>
      <c r="G171" s="160">
        <v>878.21</v>
      </c>
      <c r="H171" s="161">
        <v>14932.954817184955</v>
      </c>
      <c r="I171" s="160">
        <f t="shared" si="12"/>
        <v>0.95613765089216463</v>
      </c>
      <c r="J171" s="39">
        <f t="shared" si="13"/>
        <v>1.1142082832064011</v>
      </c>
      <c r="K171" s="170" t="str">
        <f t="shared" si="14"/>
        <v xml:space="preserve"> </v>
      </c>
    </row>
    <row r="172" spans="1:11" x14ac:dyDescent="0.25">
      <c r="A172" s="126" t="s">
        <v>334</v>
      </c>
      <c r="B172" s="126" t="s">
        <v>857</v>
      </c>
      <c r="C172" s="144">
        <f>VLOOKUP(A172,Detail!$A$6:$F$326,6,0)</f>
        <v>12915092.010000002</v>
      </c>
      <c r="D172" s="145">
        <v>13979171.150000002</v>
      </c>
      <c r="E172" s="153">
        <f>VLOOKUP(A172,Enroll!$A$7:$C$350,3,0)</f>
        <v>734.99</v>
      </c>
      <c r="F172" s="154">
        <f t="shared" si="11"/>
        <v>17571.792827113295</v>
      </c>
      <c r="G172" s="160">
        <v>754.05000000000007</v>
      </c>
      <c r="H172" s="161">
        <v>18538.785425369671</v>
      </c>
      <c r="I172" s="160">
        <f t="shared" si="12"/>
        <v>0.92388109934543572</v>
      </c>
      <c r="J172" s="39">
        <f t="shared" si="13"/>
        <v>0.94783948483846836</v>
      </c>
      <c r="K172" s="170" t="str">
        <f t="shared" si="14"/>
        <v xml:space="preserve"> </v>
      </c>
    </row>
    <row r="173" spans="1:11" x14ac:dyDescent="0.25">
      <c r="A173" s="126" t="s">
        <v>214</v>
      </c>
      <c r="B173" s="126" t="s">
        <v>858</v>
      </c>
      <c r="C173" s="144">
        <f>VLOOKUP(A173,Detail!$A$6:$F$326,6,0)</f>
        <v>40001170.820000015</v>
      </c>
      <c r="D173" s="145">
        <v>38947970.469999999</v>
      </c>
      <c r="E173" s="153">
        <f>VLOOKUP(A173,Enroll!$A$7:$C$350,3,0)</f>
        <v>2332.46</v>
      </c>
      <c r="F173" s="154">
        <f t="shared" si="11"/>
        <v>17149.777839705726</v>
      </c>
      <c r="G173" s="160">
        <v>2328.7199999999998</v>
      </c>
      <c r="H173" s="161">
        <v>16725.055167645747</v>
      </c>
      <c r="I173" s="160">
        <f t="shared" si="12"/>
        <v>1.0270412126046786</v>
      </c>
      <c r="J173" s="39">
        <f t="shared" si="13"/>
        <v>1.025394395881073</v>
      </c>
      <c r="K173" s="170" t="str">
        <f t="shared" si="14"/>
        <v xml:space="preserve"> </v>
      </c>
    </row>
    <row r="174" spans="1:11" x14ac:dyDescent="0.25">
      <c r="A174" s="126" t="s">
        <v>424</v>
      </c>
      <c r="B174" s="126" t="s">
        <v>859</v>
      </c>
      <c r="C174" s="144">
        <f>VLOOKUP(A174,Detail!$A$6:$F$326,6,0)</f>
        <v>7352960.3399999999</v>
      </c>
      <c r="D174" s="145">
        <v>6001268.3099999996</v>
      </c>
      <c r="E174" s="153">
        <f>VLOOKUP(A174,Enroll!$A$7:$C$350,3,0)</f>
        <v>324.56</v>
      </c>
      <c r="F174" s="154">
        <f t="shared" si="11"/>
        <v>22655.164961794428</v>
      </c>
      <c r="G174" s="160">
        <v>328.46000000000004</v>
      </c>
      <c r="H174" s="161">
        <v>18270.925866163303</v>
      </c>
      <c r="I174" s="160">
        <f t="shared" si="12"/>
        <v>1.2252343938276609</v>
      </c>
      <c r="J174" s="39">
        <f t="shared" si="13"/>
        <v>1.2399571388853634</v>
      </c>
      <c r="K174" s="170" t="str">
        <f t="shared" si="14"/>
        <v xml:space="preserve"> </v>
      </c>
    </row>
    <row r="175" spans="1:11" x14ac:dyDescent="0.25">
      <c r="A175" s="126" t="s">
        <v>512</v>
      </c>
      <c r="B175" s="126" t="s">
        <v>860</v>
      </c>
      <c r="C175" s="144">
        <f>VLOOKUP(A175,Detail!$A$6:$F$326,6,0)</f>
        <v>3107898.5100000002</v>
      </c>
      <c r="D175" s="145">
        <v>2213394.9900000002</v>
      </c>
      <c r="E175" s="153">
        <f>VLOOKUP(A175,Enroll!$A$7:$C$350,3,0)</f>
        <v>182.13</v>
      </c>
      <c r="F175" s="154">
        <f t="shared" si="11"/>
        <v>17064.176741887666</v>
      </c>
      <c r="G175" s="160">
        <v>133.04000000000002</v>
      </c>
      <c r="H175" s="161">
        <v>16637.063965724592</v>
      </c>
      <c r="I175" s="160">
        <f t="shared" si="12"/>
        <v>1.4041318987534168</v>
      </c>
      <c r="J175" s="39">
        <f t="shared" si="13"/>
        <v>1.0256723648501325</v>
      </c>
      <c r="K175" s="170" t="str">
        <f t="shared" si="14"/>
        <v xml:space="preserve"> </v>
      </c>
    </row>
    <row r="176" spans="1:11" x14ac:dyDescent="0.25">
      <c r="A176" s="126" t="s">
        <v>120</v>
      </c>
      <c r="B176" s="126" t="s">
        <v>861</v>
      </c>
      <c r="C176" s="144">
        <f>VLOOKUP(A176,Detail!$A$6:$F$326,6,0)</f>
        <v>86312682.309999987</v>
      </c>
      <c r="D176" s="145">
        <v>78446955.650000006</v>
      </c>
      <c r="E176" s="153">
        <f>VLOOKUP(A176,Enroll!$A$7:$C$350,3,0)</f>
        <v>6001.12</v>
      </c>
      <c r="F176" s="154">
        <f t="shared" si="11"/>
        <v>14382.762269376381</v>
      </c>
      <c r="G176" s="160">
        <v>5860.56</v>
      </c>
      <c r="H176" s="161">
        <v>13385.573332582551</v>
      </c>
      <c r="I176" s="160">
        <f t="shared" si="12"/>
        <v>1.1002680931952773</v>
      </c>
      <c r="J176" s="39">
        <f t="shared" si="13"/>
        <v>1.0744972898819745</v>
      </c>
      <c r="K176" s="170" t="str">
        <f t="shared" si="14"/>
        <v xml:space="preserve"> </v>
      </c>
    </row>
    <row r="177" spans="1:11" x14ac:dyDescent="0.25">
      <c r="A177" s="126" t="s">
        <v>284</v>
      </c>
      <c r="B177" s="126" t="s">
        <v>862</v>
      </c>
      <c r="C177" s="144">
        <f>VLOOKUP(A177,Detail!$A$6:$F$326,6,0)</f>
        <v>17743796.089999996</v>
      </c>
      <c r="D177" s="145">
        <v>17400945.23</v>
      </c>
      <c r="E177" s="153">
        <f>VLOOKUP(A177,Enroll!$A$7:$C$350,3,0)</f>
        <v>1082.7500000000002</v>
      </c>
      <c r="F177" s="154">
        <f t="shared" si="11"/>
        <v>16387.712851535434</v>
      </c>
      <c r="G177" s="160">
        <v>1069.21</v>
      </c>
      <c r="H177" s="161">
        <v>16274.581447984961</v>
      </c>
      <c r="I177" s="160">
        <f t="shared" si="12"/>
        <v>1.0197030020765139</v>
      </c>
      <c r="J177" s="39">
        <f t="shared" si="13"/>
        <v>1.006951417086335</v>
      </c>
      <c r="K177" s="170" t="str">
        <f t="shared" si="14"/>
        <v xml:space="preserve"> </v>
      </c>
    </row>
    <row r="178" spans="1:11" x14ac:dyDescent="0.25">
      <c r="A178" s="126" t="s">
        <v>296</v>
      </c>
      <c r="B178" s="126" t="s">
        <v>863</v>
      </c>
      <c r="C178" s="144">
        <f>VLOOKUP(A178,Detail!$A$6:$F$326,6,0)</f>
        <v>15334575.680000002</v>
      </c>
      <c r="D178" s="145">
        <v>13879689.089999998</v>
      </c>
      <c r="E178" s="153">
        <f>VLOOKUP(A178,Enroll!$A$7:$C$350,3,0)</f>
        <v>987.57</v>
      </c>
      <c r="F178" s="154">
        <f t="shared" si="11"/>
        <v>15527.583543445022</v>
      </c>
      <c r="G178" s="160">
        <v>1016.53</v>
      </c>
      <c r="H178" s="161">
        <v>13653.988657491662</v>
      </c>
      <c r="I178" s="160">
        <f t="shared" si="12"/>
        <v>1.1048212665691637</v>
      </c>
      <c r="J178" s="39">
        <f t="shared" si="13"/>
        <v>1.1372196017553711</v>
      </c>
      <c r="K178" s="170" t="str">
        <f t="shared" si="14"/>
        <v xml:space="preserve"> </v>
      </c>
    </row>
    <row r="179" spans="1:11" x14ac:dyDescent="0.25">
      <c r="A179" s="126" t="s">
        <v>428</v>
      </c>
      <c r="B179" s="126" t="s">
        <v>864</v>
      </c>
      <c r="C179" s="144">
        <f>VLOOKUP(A179,Detail!$A$6:$F$326,6,0)</f>
        <v>4715664.3900000006</v>
      </c>
      <c r="D179" s="145">
        <v>4498158.9500000011</v>
      </c>
      <c r="E179" s="153">
        <f>VLOOKUP(A179,Enroll!$A$7:$C$350,3,0)</f>
        <v>232.79999999999998</v>
      </c>
      <c r="F179" s="154">
        <f t="shared" si="11"/>
        <v>20256.290335051552</v>
      </c>
      <c r="G179" s="160">
        <v>234.89000000000001</v>
      </c>
      <c r="H179" s="161">
        <v>19150.065775469371</v>
      </c>
      <c r="I179" s="160">
        <f t="shared" si="12"/>
        <v>1.0483543250511411</v>
      </c>
      <c r="J179" s="39">
        <f t="shared" si="13"/>
        <v>1.0577660971274165</v>
      </c>
      <c r="K179" s="170" t="str">
        <f t="shared" si="14"/>
        <v xml:space="preserve"> </v>
      </c>
    </row>
    <row r="180" spans="1:11" x14ac:dyDescent="0.25">
      <c r="A180" s="126" t="s">
        <v>360</v>
      </c>
      <c r="B180" s="126" t="s">
        <v>865</v>
      </c>
      <c r="C180" s="144">
        <f>VLOOKUP(A180,Detail!$A$6:$F$326,6,0)</f>
        <v>12767478.77</v>
      </c>
      <c r="D180" s="145">
        <v>13053983.530000001</v>
      </c>
      <c r="E180" s="153">
        <f>VLOOKUP(A180,Enroll!$A$7:$C$350,3,0)</f>
        <v>770.43</v>
      </c>
      <c r="F180" s="154">
        <f t="shared" si="11"/>
        <v>16571.886829432915</v>
      </c>
      <c r="G180" s="160">
        <v>751.97</v>
      </c>
      <c r="H180" s="161">
        <v>17359.71319334548</v>
      </c>
      <c r="I180" s="160">
        <f t="shared" si="12"/>
        <v>0.97805231182178443</v>
      </c>
      <c r="J180" s="39">
        <f t="shared" si="13"/>
        <v>0.95461754724066739</v>
      </c>
      <c r="K180" s="170" t="str">
        <f t="shared" si="14"/>
        <v xml:space="preserve"> </v>
      </c>
    </row>
    <row r="181" spans="1:11" x14ac:dyDescent="0.25">
      <c r="A181" s="126" t="s">
        <v>282</v>
      </c>
      <c r="B181" s="126" t="s">
        <v>866</v>
      </c>
      <c r="C181" s="144">
        <f>VLOOKUP(A181,Detail!$A$6:$F$326,6,0)</f>
        <v>17548033.779999997</v>
      </c>
      <c r="D181" s="145">
        <v>16944713.550000001</v>
      </c>
      <c r="E181" s="153">
        <f>VLOOKUP(A181,Enroll!$A$7:$C$350,3,0)</f>
        <v>1062.1300000000001</v>
      </c>
      <c r="F181" s="154">
        <f t="shared" si="11"/>
        <v>16521.549885607219</v>
      </c>
      <c r="G181" s="160">
        <v>1105.24</v>
      </c>
      <c r="H181" s="161">
        <v>15331.252533386414</v>
      </c>
      <c r="I181" s="160">
        <f t="shared" si="12"/>
        <v>1.0356052185963331</v>
      </c>
      <c r="J181" s="39">
        <f t="shared" si="13"/>
        <v>1.0776386240868925</v>
      </c>
      <c r="K181" s="170" t="str">
        <f t="shared" si="14"/>
        <v xml:space="preserve"> </v>
      </c>
    </row>
    <row r="182" spans="1:11" x14ac:dyDescent="0.25">
      <c r="A182" s="126" t="s">
        <v>372</v>
      </c>
      <c r="B182" s="126" t="s">
        <v>867</v>
      </c>
      <c r="C182" s="144">
        <f>VLOOKUP(A182,Detail!$A$6:$F$326,6,0)</f>
        <v>9192287.0699999984</v>
      </c>
      <c r="D182" s="145">
        <v>8284122.3600000003</v>
      </c>
      <c r="E182" s="153">
        <f>VLOOKUP(A182,Enroll!$A$7:$C$350,3,0)</f>
        <v>527.12</v>
      </c>
      <c r="F182" s="154">
        <f t="shared" si="11"/>
        <v>17438.699100774014</v>
      </c>
      <c r="G182" s="160">
        <v>492.61</v>
      </c>
      <c r="H182" s="161">
        <v>16816.796979354865</v>
      </c>
      <c r="I182" s="160">
        <f t="shared" si="12"/>
        <v>1.1096271482402389</v>
      </c>
      <c r="J182" s="39">
        <f t="shared" si="13"/>
        <v>1.0369810090579452</v>
      </c>
      <c r="K182" s="170" t="str">
        <f t="shared" si="14"/>
        <v xml:space="preserve"> </v>
      </c>
    </row>
    <row r="183" spans="1:11" x14ac:dyDescent="0.25">
      <c r="A183" s="126" t="s">
        <v>290</v>
      </c>
      <c r="B183" s="126" t="s">
        <v>868</v>
      </c>
      <c r="C183" s="144">
        <f>VLOOKUP(A183,Detail!$A$6:$F$326,6,0)</f>
        <v>19342458.959999997</v>
      </c>
      <c r="D183" s="145">
        <v>17891001.809999995</v>
      </c>
      <c r="E183" s="153">
        <f>VLOOKUP(A183,Enroll!$A$7:$C$350,3,0)</f>
        <v>956.8499999999998</v>
      </c>
      <c r="F183" s="154">
        <f t="shared" si="11"/>
        <v>20214.724314155825</v>
      </c>
      <c r="G183" s="160">
        <v>992.36999999999989</v>
      </c>
      <c r="H183" s="161">
        <v>18028.559720668698</v>
      </c>
      <c r="I183" s="160">
        <f t="shared" si="12"/>
        <v>1.0811277739175413</v>
      </c>
      <c r="J183" s="39">
        <f t="shared" si="13"/>
        <v>1.1212611893217856</v>
      </c>
      <c r="K183" s="170" t="str">
        <f t="shared" si="14"/>
        <v xml:space="preserve"> </v>
      </c>
    </row>
    <row r="184" spans="1:11" x14ac:dyDescent="0.25">
      <c r="A184" s="126" t="s">
        <v>364</v>
      </c>
      <c r="B184" s="126" t="s">
        <v>869</v>
      </c>
      <c r="C184" s="144">
        <f>VLOOKUP(A184,Detail!$A$6:$F$326,6,0)</f>
        <v>8683054.290000001</v>
      </c>
      <c r="D184" s="145">
        <v>8678636.1599999983</v>
      </c>
      <c r="E184" s="153">
        <f>VLOOKUP(A184,Enroll!$A$7:$C$350,3,0)</f>
        <v>482.34</v>
      </c>
      <c r="F184" s="154">
        <f t="shared" si="11"/>
        <v>18001.936994651078</v>
      </c>
      <c r="G184" s="160">
        <v>500.33</v>
      </c>
      <c r="H184" s="161">
        <v>17345.824076109766</v>
      </c>
      <c r="I184" s="160">
        <f t="shared" si="12"/>
        <v>1.000509081141155</v>
      </c>
      <c r="J184" s="39">
        <f t="shared" si="13"/>
        <v>1.0378254106384586</v>
      </c>
      <c r="K184" s="170" t="str">
        <f t="shared" si="14"/>
        <v xml:space="preserve"> </v>
      </c>
    </row>
    <row r="185" spans="1:11" x14ac:dyDescent="0.25">
      <c r="A185" s="126" t="s">
        <v>358</v>
      </c>
      <c r="B185" s="126" t="s">
        <v>870</v>
      </c>
      <c r="C185" s="144">
        <f>VLOOKUP(A185,Detail!$A$6:$F$326,6,0)</f>
        <v>18922927.610000003</v>
      </c>
      <c r="D185" s="145">
        <v>10108467.469999997</v>
      </c>
      <c r="E185" s="153">
        <f>VLOOKUP(A185,Enroll!$A$7:$C$350,3,0)</f>
        <v>1381.2099999999998</v>
      </c>
      <c r="F185" s="154">
        <f t="shared" si="11"/>
        <v>13700.253842645221</v>
      </c>
      <c r="G185" s="160">
        <v>545.16999999999996</v>
      </c>
      <c r="H185" s="161">
        <v>18541.863033549165</v>
      </c>
      <c r="I185" s="160">
        <f t="shared" si="12"/>
        <v>1.8719877831293064</v>
      </c>
      <c r="J185" s="39">
        <f t="shared" si="13"/>
        <v>0.73888226969729731</v>
      </c>
      <c r="K185" s="170" t="str">
        <f t="shared" si="14"/>
        <v xml:space="preserve"> </v>
      </c>
    </row>
    <row r="186" spans="1:11" x14ac:dyDescent="0.25">
      <c r="A186" s="126" t="s">
        <v>394</v>
      </c>
      <c r="B186" s="126" t="s">
        <v>1017</v>
      </c>
      <c r="C186" s="144">
        <f>VLOOKUP(A186,Detail!$A$6:$F$326,6,0)</f>
        <v>6106859.6100000003</v>
      </c>
      <c r="D186" s="145">
        <v>6009650.3300000001</v>
      </c>
      <c r="E186" s="153">
        <f>VLOOKUP(A186,Enroll!$A$7:$C$350,3,0)</f>
        <v>317.62</v>
      </c>
      <c r="F186" s="154">
        <f t="shared" si="11"/>
        <v>19226.936622378944</v>
      </c>
      <c r="G186" s="160">
        <v>310.32</v>
      </c>
      <c r="H186" s="161">
        <v>19365.978119360661</v>
      </c>
      <c r="I186" s="160">
        <f t="shared" si="12"/>
        <v>1.0161755301327158</v>
      </c>
      <c r="J186" s="39">
        <f t="shared" si="13"/>
        <v>0.99282032148726251</v>
      </c>
      <c r="K186" s="170" t="str">
        <f t="shared" si="14"/>
        <v xml:space="preserve"> </v>
      </c>
    </row>
    <row r="187" spans="1:11" x14ac:dyDescent="0.25">
      <c r="A187" s="126" t="s">
        <v>418</v>
      </c>
      <c r="B187" s="126" t="s">
        <v>871</v>
      </c>
      <c r="C187" s="144">
        <f>VLOOKUP(A187,Detail!$A$6:$F$326,6,0)</f>
        <v>6817809.21</v>
      </c>
      <c r="D187" s="145">
        <v>6601738.8700000001</v>
      </c>
      <c r="E187" s="153">
        <f>VLOOKUP(A187,Enroll!$A$7:$C$350,3,0)</f>
        <v>355.16</v>
      </c>
      <c r="F187" s="154">
        <f t="shared" si="11"/>
        <v>19196.444447572925</v>
      </c>
      <c r="G187" s="160">
        <v>343.94</v>
      </c>
      <c r="H187" s="161">
        <v>19194.449235331744</v>
      </c>
      <c r="I187" s="160">
        <f t="shared" si="12"/>
        <v>1.0327293072711312</v>
      </c>
      <c r="J187" s="39">
        <f t="shared" si="13"/>
        <v>1.0001039473556506</v>
      </c>
      <c r="K187" s="170" t="str">
        <f t="shared" si="14"/>
        <v xml:space="preserve"> </v>
      </c>
    </row>
    <row r="188" spans="1:11" x14ac:dyDescent="0.25">
      <c r="A188" s="126" t="s">
        <v>558</v>
      </c>
      <c r="B188" s="126" t="s">
        <v>872</v>
      </c>
      <c r="C188" s="144">
        <f>VLOOKUP(A188,Detail!$A$6:$F$326,6,0)</f>
        <v>2507544.6800000002</v>
      </c>
      <c r="D188" s="145">
        <v>2296733.4099999997</v>
      </c>
      <c r="E188" s="153">
        <f>VLOOKUP(A188,Enroll!$A$7:$C$350,3,0)</f>
        <v>52.150000000000013</v>
      </c>
      <c r="F188" s="154">
        <f t="shared" si="11"/>
        <v>48083.311217641407</v>
      </c>
      <c r="G188" s="160">
        <v>58.07</v>
      </c>
      <c r="H188" s="161">
        <v>39551.11778887549</v>
      </c>
      <c r="I188" s="160">
        <f t="shared" si="12"/>
        <v>1.0917874356170927</v>
      </c>
      <c r="J188" s="39">
        <f t="shared" si="13"/>
        <v>1.2157257216928963</v>
      </c>
      <c r="K188" s="170" t="str">
        <f t="shared" si="14"/>
        <v xml:space="preserve"> </v>
      </c>
    </row>
    <row r="189" spans="1:11" x14ac:dyDescent="0.25">
      <c r="A189" s="126" t="s">
        <v>286</v>
      </c>
      <c r="B189" s="126" t="s">
        <v>873</v>
      </c>
      <c r="C189" s="144">
        <f>VLOOKUP(A189,Detail!$A$6:$F$326,6,0)</f>
        <v>17722303.979999997</v>
      </c>
      <c r="D189" s="145">
        <v>16247443.330000004</v>
      </c>
      <c r="E189" s="153">
        <f>VLOOKUP(A189,Enroll!$A$7:$C$350,3,0)</f>
        <v>1184.67</v>
      </c>
      <c r="F189" s="154">
        <f t="shared" si="11"/>
        <v>14959.696776317453</v>
      </c>
      <c r="G189" s="160">
        <v>1160.3300000000002</v>
      </c>
      <c r="H189" s="161">
        <v>14002.433212965279</v>
      </c>
      <c r="I189" s="160">
        <f t="shared" si="12"/>
        <v>1.0907749373267082</v>
      </c>
      <c r="J189" s="39">
        <f t="shared" si="13"/>
        <v>1.0683640870692255</v>
      </c>
      <c r="K189" s="170" t="str">
        <f t="shared" si="14"/>
        <v xml:space="preserve"> </v>
      </c>
    </row>
    <row r="190" spans="1:11" x14ac:dyDescent="0.25">
      <c r="A190" s="126" t="s">
        <v>452</v>
      </c>
      <c r="B190" s="126" t="s">
        <v>874</v>
      </c>
      <c r="C190" s="144">
        <f>VLOOKUP(A190,Detail!$A$6:$F$326,6,0)</f>
        <v>7061335.5499999998</v>
      </c>
      <c r="D190" s="145">
        <v>6620608.0199999996</v>
      </c>
      <c r="E190" s="153">
        <f>VLOOKUP(A190,Enroll!$A$7:$C$350,3,0)</f>
        <v>387.49000000000007</v>
      </c>
      <c r="F190" s="154">
        <f t="shared" si="11"/>
        <v>18223.271697334119</v>
      </c>
      <c r="G190" s="160">
        <v>368.86999999999995</v>
      </c>
      <c r="H190" s="161">
        <v>17948.35042155773</v>
      </c>
      <c r="I190" s="160">
        <f t="shared" si="12"/>
        <v>1.0665690414941678</v>
      </c>
      <c r="J190" s="39">
        <f t="shared" si="13"/>
        <v>1.0153173561535873</v>
      </c>
      <c r="K190" s="170" t="str">
        <f t="shared" si="14"/>
        <v xml:space="preserve"> </v>
      </c>
    </row>
    <row r="191" spans="1:11" x14ac:dyDescent="0.25">
      <c r="A191" s="126" t="s">
        <v>440</v>
      </c>
      <c r="B191" s="126" t="s">
        <v>875</v>
      </c>
      <c r="C191" s="144">
        <f>VLOOKUP(A191,Detail!$A$6:$F$326,6,0)</f>
        <v>5724136.3600000003</v>
      </c>
      <c r="D191" s="145">
        <v>5036534.9099999992</v>
      </c>
      <c r="E191" s="153">
        <f>VLOOKUP(A191,Enroll!$A$7:$C$350,3,0)</f>
        <v>256.46999999999997</v>
      </c>
      <c r="F191" s="154">
        <f t="shared" si="11"/>
        <v>22318.931492962143</v>
      </c>
      <c r="G191" s="160">
        <v>259.01</v>
      </c>
      <c r="H191" s="161">
        <v>19445.329948650629</v>
      </c>
      <c r="I191" s="160">
        <f t="shared" si="12"/>
        <v>1.1365227209355333</v>
      </c>
      <c r="J191" s="39">
        <f t="shared" si="13"/>
        <v>1.1477784924143661</v>
      </c>
      <c r="K191" s="170" t="str">
        <f t="shared" si="14"/>
        <v xml:space="preserve"> </v>
      </c>
    </row>
    <row r="192" spans="1:11" x14ac:dyDescent="0.25">
      <c r="A192" s="126" t="s">
        <v>170</v>
      </c>
      <c r="B192" s="126" t="s">
        <v>876</v>
      </c>
      <c r="C192" s="144">
        <f>VLOOKUP(A192,Detail!$A$6:$F$326,6,0)</f>
        <v>48349279.010000005</v>
      </c>
      <c r="D192" s="145">
        <v>46060534.740000002</v>
      </c>
      <c r="E192" s="153">
        <f>VLOOKUP(A192,Enroll!$A$7:$C$350,3,0)</f>
        <v>3042.0700000000006</v>
      </c>
      <c r="F192" s="154">
        <f t="shared" si="11"/>
        <v>15893.545845427618</v>
      </c>
      <c r="G192" s="160">
        <v>3048.98</v>
      </c>
      <c r="H192" s="161">
        <v>15106.86680135652</v>
      </c>
      <c r="I192" s="160">
        <f t="shared" si="12"/>
        <v>1.0496899196442113</v>
      </c>
      <c r="J192" s="39">
        <f t="shared" si="13"/>
        <v>1.0520742689013751</v>
      </c>
      <c r="K192" s="170" t="str">
        <f t="shared" si="14"/>
        <v xml:space="preserve"> </v>
      </c>
    </row>
    <row r="193" spans="1:11" x14ac:dyDescent="0.25">
      <c r="A193" s="126" t="s">
        <v>18</v>
      </c>
      <c r="B193" s="126" t="s">
        <v>877</v>
      </c>
      <c r="C193" s="144">
        <f>VLOOKUP(A193,Detail!$A$6:$F$326,6,0)</f>
        <v>405750585.30000001</v>
      </c>
      <c r="D193" s="145">
        <v>379348520.25999999</v>
      </c>
      <c r="E193" s="153">
        <f>VLOOKUP(A193,Enroll!$A$7:$C$350,3,0)</f>
        <v>23440.879999999997</v>
      </c>
      <c r="F193" s="154">
        <f t="shared" si="11"/>
        <v>17309.528707966598</v>
      </c>
      <c r="G193" s="160">
        <v>23185.08</v>
      </c>
      <c r="H193" s="161">
        <v>16361.751620438659</v>
      </c>
      <c r="I193" s="160">
        <f t="shared" si="12"/>
        <v>1.0695984395086198</v>
      </c>
      <c r="J193" s="39">
        <f t="shared" si="13"/>
        <v>1.0579263827929035</v>
      </c>
      <c r="K193" s="170" t="str">
        <f t="shared" si="14"/>
        <v xml:space="preserve"> </v>
      </c>
    </row>
    <row r="194" spans="1:11" x14ac:dyDescent="0.25">
      <c r="A194" s="126" t="s">
        <v>10</v>
      </c>
      <c r="B194" s="126" t="s">
        <v>878</v>
      </c>
      <c r="C194" s="144">
        <f>VLOOKUP(A194,Detail!$A$6:$F$326,6,0)</f>
        <v>518295072.80000001</v>
      </c>
      <c r="D194" s="145">
        <v>480676355.56999987</v>
      </c>
      <c r="E194" s="153">
        <f>VLOOKUP(A194,Enroll!$A$7:$C$350,3,0)</f>
        <v>28161.170000000002</v>
      </c>
      <c r="F194" s="154">
        <f t="shared" si="11"/>
        <v>18404.600121372798</v>
      </c>
      <c r="G194" s="160">
        <v>27509.199999999997</v>
      </c>
      <c r="H194" s="161">
        <v>17473.29459126401</v>
      </c>
      <c r="I194" s="160">
        <f t="shared" si="12"/>
        <v>1.0782620505337541</v>
      </c>
      <c r="J194" s="39">
        <f t="shared" si="13"/>
        <v>1.0532987940679719</v>
      </c>
      <c r="K194" s="170" t="str">
        <f t="shared" ref="K194:K207" si="15">IF(AND(I194&lt;0.9,J194&lt;0.9),"DNME"," ")</f>
        <v xml:space="preserve"> </v>
      </c>
    </row>
    <row r="195" spans="1:11" x14ac:dyDescent="0.25">
      <c r="A195" s="126" t="s">
        <v>484</v>
      </c>
      <c r="B195" s="126" t="s">
        <v>879</v>
      </c>
      <c r="C195" s="144">
        <f>VLOOKUP(A195,Detail!$A$6:$F$326,6,0)</f>
        <v>3055143.2</v>
      </c>
      <c r="D195" s="145">
        <v>3108669.42</v>
      </c>
      <c r="E195" s="153">
        <f>VLOOKUP(A195,Enroll!$A$7:$C$350,3,0)</f>
        <v>178.4</v>
      </c>
      <c r="F195" s="154">
        <f t="shared" si="11"/>
        <v>17125.24215246637</v>
      </c>
      <c r="G195" s="160">
        <v>177.04</v>
      </c>
      <c r="H195" s="161">
        <v>17559.13590149119</v>
      </c>
      <c r="I195" s="160">
        <f t="shared" si="12"/>
        <v>0.98278163009047137</v>
      </c>
      <c r="J195" s="39">
        <f t="shared" si="13"/>
        <v>0.97528957282072337</v>
      </c>
      <c r="K195" s="170" t="str">
        <f t="shared" si="15"/>
        <v xml:space="preserve"> </v>
      </c>
    </row>
    <row r="196" spans="1:11" x14ac:dyDescent="0.25">
      <c r="A196" s="126" t="s">
        <v>112</v>
      </c>
      <c r="B196" s="126" t="s">
        <v>880</v>
      </c>
      <c r="C196" s="144">
        <f>VLOOKUP(A196,Detail!$A$6:$F$326,6,0)</f>
        <v>91192484.310000002</v>
      </c>
      <c r="D196" s="145">
        <v>86142071.219999999</v>
      </c>
      <c r="E196" s="153">
        <f>VLOOKUP(A196,Enroll!$A$7:$C$350,3,0)</f>
        <v>5667.6100000000006</v>
      </c>
      <c r="F196" s="154">
        <f t="shared" si="11"/>
        <v>16090.112818277898</v>
      </c>
      <c r="G196" s="160">
        <v>5559.1900000000005</v>
      </c>
      <c r="H196" s="161">
        <v>15495.43570556142</v>
      </c>
      <c r="I196" s="160">
        <f t="shared" si="12"/>
        <v>1.058628879227917</v>
      </c>
      <c r="J196" s="39">
        <f t="shared" si="13"/>
        <v>1.038377566401895</v>
      </c>
      <c r="K196" s="170" t="str">
        <f t="shared" si="15"/>
        <v xml:space="preserve"> </v>
      </c>
    </row>
    <row r="197" spans="1:11" x14ac:dyDescent="0.25">
      <c r="A197" s="126" t="s">
        <v>74</v>
      </c>
      <c r="B197" s="126" t="s">
        <v>881</v>
      </c>
      <c r="C197" s="144">
        <f>VLOOKUP(A197,Detail!$A$6:$F$326,6,0)</f>
        <v>178653254.30000001</v>
      </c>
      <c r="D197" s="145">
        <v>162977446.21000001</v>
      </c>
      <c r="E197" s="153">
        <f>VLOOKUP(A197,Enroll!$A$7:$C$350,3,0)</f>
        <v>10656.160000000002</v>
      </c>
      <c r="F197" s="154">
        <f t="shared" si="11"/>
        <v>16765.256368147624</v>
      </c>
      <c r="G197" s="160">
        <v>10494.430000000002</v>
      </c>
      <c r="H197" s="161">
        <v>15529.899785886415</v>
      </c>
      <c r="I197" s="160">
        <f t="shared" si="12"/>
        <v>1.0961839104399844</v>
      </c>
      <c r="J197" s="39">
        <f t="shared" si="13"/>
        <v>1.0795469770760466</v>
      </c>
      <c r="K197" s="170" t="str">
        <f t="shared" si="15"/>
        <v xml:space="preserve"> </v>
      </c>
    </row>
    <row r="198" spans="1:11" x14ac:dyDescent="0.25">
      <c r="A198" s="126" t="s">
        <v>248</v>
      </c>
      <c r="B198" s="126" t="s">
        <v>882</v>
      </c>
      <c r="C198" s="144">
        <f>VLOOKUP(A198,Detail!$A$6:$F$326,6,0)</f>
        <v>28896118.139999997</v>
      </c>
      <c r="D198" s="145">
        <v>28150913.859999999</v>
      </c>
      <c r="E198" s="153">
        <f>VLOOKUP(A198,Enroll!$A$7:$C$350,3,0)</f>
        <v>1442.3300000000002</v>
      </c>
      <c r="F198" s="154">
        <f t="shared" si="11"/>
        <v>20034.332046064348</v>
      </c>
      <c r="G198" s="160">
        <v>1426.6999999999998</v>
      </c>
      <c r="H198" s="161">
        <v>19731.487951216095</v>
      </c>
      <c r="I198" s="160">
        <f t="shared" si="12"/>
        <v>1.0264717615813839</v>
      </c>
      <c r="J198" s="39">
        <f t="shared" si="13"/>
        <v>1.0153482644389009</v>
      </c>
      <c r="K198" s="170" t="str">
        <f t="shared" si="15"/>
        <v xml:space="preserve"> </v>
      </c>
    </row>
    <row r="199" spans="1:11" x14ac:dyDescent="0.25">
      <c r="A199" s="126" t="s">
        <v>198</v>
      </c>
      <c r="B199" s="126" t="s">
        <v>883</v>
      </c>
      <c r="C199" s="144">
        <f>VLOOKUP(A199,Detail!$A$6:$F$326,6,0)</f>
        <v>47191548.640000001</v>
      </c>
      <c r="D199" s="145">
        <v>42401789.039999992</v>
      </c>
      <c r="E199" s="153">
        <f>VLOOKUP(A199,Enroll!$A$7:$C$350,3,0)</f>
        <v>2845.8100000000004</v>
      </c>
      <c r="F199" s="154">
        <f t="shared" ref="F199:F262" si="16">C199/E199</f>
        <v>16582.81777068743</v>
      </c>
      <c r="G199" s="160">
        <v>2833.04</v>
      </c>
      <c r="H199" s="161">
        <v>14966.886821223841</v>
      </c>
      <c r="I199" s="160">
        <f t="shared" ref="I199:I262" si="17">SUM(C199/D199)</f>
        <v>1.112961261976035</v>
      </c>
      <c r="J199" s="39">
        <f t="shared" ref="J199:J262" si="18">F199/H199</f>
        <v>1.1079670721617345</v>
      </c>
      <c r="K199" s="170" t="str">
        <f t="shared" si="15"/>
        <v xml:space="preserve"> </v>
      </c>
    </row>
    <row r="200" spans="1:11" x14ac:dyDescent="0.25">
      <c r="A200" s="126" t="s">
        <v>56</v>
      </c>
      <c r="B200" s="126" t="s">
        <v>884</v>
      </c>
      <c r="C200" s="144">
        <f>VLOOKUP(A200,Detail!$A$6:$F$326,6,0)</f>
        <v>228959176.78</v>
      </c>
      <c r="D200" s="145">
        <v>201944110.62999997</v>
      </c>
      <c r="E200" s="153">
        <f>VLOOKUP(A200,Enroll!$A$7:$C$350,3,0)</f>
        <v>12047.44</v>
      </c>
      <c r="F200" s="154">
        <f t="shared" si="16"/>
        <v>19004.799092587305</v>
      </c>
      <c r="G200" s="160">
        <v>12029.14</v>
      </c>
      <c r="H200" s="161">
        <v>16787.909246213774</v>
      </c>
      <c r="I200" s="160">
        <f t="shared" si="17"/>
        <v>1.133774964101314</v>
      </c>
      <c r="J200" s="39">
        <f t="shared" si="18"/>
        <v>1.1320527657053849</v>
      </c>
      <c r="K200" s="170" t="str">
        <f t="shared" si="15"/>
        <v xml:space="preserve"> </v>
      </c>
    </row>
    <row r="201" spans="1:11" x14ac:dyDescent="0.25">
      <c r="A201" s="126" t="s">
        <v>76</v>
      </c>
      <c r="B201" s="126" t="s">
        <v>885</v>
      </c>
      <c r="C201" s="144">
        <f>VLOOKUP(A201,Detail!$A$6:$F$326,6,0)</f>
        <v>163199874.77000004</v>
      </c>
      <c r="D201" s="145">
        <v>146721569.11000001</v>
      </c>
      <c r="E201" s="153">
        <f>VLOOKUP(A201,Enroll!$A$7:$C$350,3,0)</f>
        <v>8858.3000000000011</v>
      </c>
      <c r="F201" s="154">
        <f t="shared" si="16"/>
        <v>18423.385386586593</v>
      </c>
      <c r="G201" s="160">
        <v>8925.86</v>
      </c>
      <c r="H201" s="161">
        <v>16437.807573723989</v>
      </c>
      <c r="I201" s="160">
        <f t="shared" si="17"/>
        <v>1.1123100424835692</v>
      </c>
      <c r="J201" s="39">
        <f t="shared" si="18"/>
        <v>1.1207933481370456</v>
      </c>
      <c r="K201" s="170" t="str">
        <f t="shared" si="15"/>
        <v xml:space="preserve"> </v>
      </c>
    </row>
    <row r="202" spans="1:11" x14ac:dyDescent="0.25">
      <c r="A202" s="126" t="s">
        <v>84</v>
      </c>
      <c r="B202" s="126" t="s">
        <v>886</v>
      </c>
      <c r="C202" s="144">
        <f>VLOOKUP(A202,Detail!$A$6:$F$326,6,0)</f>
        <v>128824379.29000001</v>
      </c>
      <c r="D202" s="145">
        <v>125987316.11000003</v>
      </c>
      <c r="E202" s="153">
        <f>VLOOKUP(A202,Enroll!$A$7:$C$350,3,0)</f>
        <v>7059.49</v>
      </c>
      <c r="F202" s="154">
        <f t="shared" si="16"/>
        <v>18248.397446557756</v>
      </c>
      <c r="G202" s="160">
        <v>7177.86</v>
      </c>
      <c r="H202" s="161">
        <v>17552.211398662002</v>
      </c>
      <c r="I202" s="160">
        <f t="shared" si="17"/>
        <v>1.0225186413013427</v>
      </c>
      <c r="J202" s="39">
        <f t="shared" si="18"/>
        <v>1.0396637228257644</v>
      </c>
      <c r="K202" s="170" t="str">
        <f t="shared" si="15"/>
        <v xml:space="preserve"> </v>
      </c>
    </row>
    <row r="203" spans="1:11" x14ac:dyDescent="0.25">
      <c r="A203" s="126" t="s">
        <v>34</v>
      </c>
      <c r="B203" s="126" t="s">
        <v>887</v>
      </c>
      <c r="C203" s="144">
        <f>VLOOKUP(A203,Detail!$A$6:$F$326,6,0)</f>
        <v>354351860.65000004</v>
      </c>
      <c r="D203" s="145">
        <v>318115071.08999991</v>
      </c>
      <c r="E203" s="153">
        <f>VLOOKUP(A203,Enroll!$A$7:$C$350,3,0)</f>
        <v>21155.88</v>
      </c>
      <c r="F203" s="154">
        <f t="shared" si="16"/>
        <v>16749.56847221671</v>
      </c>
      <c r="G203" s="160">
        <v>21096.639999999999</v>
      </c>
      <c r="H203" s="161">
        <v>15078.944850459595</v>
      </c>
      <c r="I203" s="160">
        <f t="shared" si="17"/>
        <v>1.1139109487514602</v>
      </c>
      <c r="J203" s="39">
        <f t="shared" si="18"/>
        <v>1.1107918119155529</v>
      </c>
      <c r="K203" s="170" t="str">
        <f t="shared" si="15"/>
        <v xml:space="preserve"> </v>
      </c>
    </row>
    <row r="204" spans="1:11" x14ac:dyDescent="0.25">
      <c r="A204" s="126" t="s">
        <v>222</v>
      </c>
      <c r="B204" s="126" t="s">
        <v>888</v>
      </c>
      <c r="C204" s="144">
        <f>VLOOKUP(A204,Detail!$A$6:$F$326,6,0)</f>
        <v>33094248.849999998</v>
      </c>
      <c r="D204" s="145">
        <v>30924612.620000008</v>
      </c>
      <c r="E204" s="153">
        <f>VLOOKUP(A204,Enroll!$A$7:$C$350,3,0)</f>
        <v>2014.18</v>
      </c>
      <c r="F204" s="154">
        <f t="shared" si="16"/>
        <v>16430.63124944146</v>
      </c>
      <c r="G204" s="160">
        <v>1981.3899999999999</v>
      </c>
      <c r="H204" s="161">
        <v>15607.534417757237</v>
      </c>
      <c r="I204" s="160">
        <f t="shared" si="17"/>
        <v>1.070158881427566</v>
      </c>
      <c r="J204" s="39">
        <f t="shared" si="18"/>
        <v>1.0527371466660203</v>
      </c>
      <c r="K204" s="170" t="str">
        <f t="shared" si="15"/>
        <v xml:space="preserve"> </v>
      </c>
    </row>
    <row r="205" spans="1:11" x14ac:dyDescent="0.25">
      <c r="A205" s="126" t="s">
        <v>156</v>
      </c>
      <c r="B205" s="126" t="s">
        <v>889</v>
      </c>
      <c r="C205" s="144">
        <f>VLOOKUP(A205,Detail!$A$6:$F$326,6,0)</f>
        <v>71591660.140000001</v>
      </c>
      <c r="D205" s="145">
        <v>63430240.909999996</v>
      </c>
      <c r="E205" s="153">
        <f>VLOOKUP(A205,Enroll!$A$7:$C$350,3,0)</f>
        <v>4406.3300000000008</v>
      </c>
      <c r="F205" s="154">
        <f t="shared" si="16"/>
        <v>16247.457666584207</v>
      </c>
      <c r="G205" s="160">
        <v>4359.119999999999</v>
      </c>
      <c r="H205" s="161">
        <v>14551.15732303768</v>
      </c>
      <c r="I205" s="160">
        <f t="shared" si="17"/>
        <v>1.1286676372801436</v>
      </c>
      <c r="J205" s="39">
        <f t="shared" si="18"/>
        <v>1.1165749435518033</v>
      </c>
      <c r="K205" s="170" t="str">
        <f t="shared" si="15"/>
        <v xml:space="preserve"> </v>
      </c>
    </row>
    <row r="206" spans="1:11" x14ac:dyDescent="0.25">
      <c r="A206" s="126" t="s">
        <v>152</v>
      </c>
      <c r="B206" s="126" t="s">
        <v>890</v>
      </c>
      <c r="C206" s="144">
        <f>VLOOKUP(A206,Detail!$A$6:$F$326,6,0)</f>
        <v>69556202.580000013</v>
      </c>
      <c r="D206" s="145">
        <v>65426412.839999996</v>
      </c>
      <c r="E206" s="153">
        <f>VLOOKUP(A206,Enroll!$A$7:$C$350,3,0)</f>
        <v>3934.3000000000006</v>
      </c>
      <c r="F206" s="154">
        <f t="shared" si="16"/>
        <v>17679.435370968153</v>
      </c>
      <c r="G206" s="160">
        <v>3920.62</v>
      </c>
      <c r="H206" s="161">
        <v>16687.772046257989</v>
      </c>
      <c r="I206" s="160">
        <f t="shared" si="17"/>
        <v>1.063121139624442</v>
      </c>
      <c r="J206" s="39">
        <f t="shared" si="18"/>
        <v>1.0594245488230127</v>
      </c>
      <c r="K206" s="170" t="str">
        <f t="shared" si="15"/>
        <v xml:space="preserve"> </v>
      </c>
    </row>
    <row r="207" spans="1:11" x14ac:dyDescent="0.25">
      <c r="A207" s="132" t="s">
        <v>1154</v>
      </c>
      <c r="B207" s="133" t="s">
        <v>1163</v>
      </c>
      <c r="C207" s="144">
        <f>VLOOKUP(A207,Detail!$A$6:$F$326,6,0)</f>
        <v>9723551.6400000006</v>
      </c>
      <c r="D207" s="145">
        <v>9579767.4900000002</v>
      </c>
      <c r="E207" s="153">
        <f>VLOOKUP(A207,Enroll!$A$7:$C$350,3,0)</f>
        <v>643.72</v>
      </c>
      <c r="F207" s="154">
        <f t="shared" si="16"/>
        <v>15105.250170881751</v>
      </c>
      <c r="G207" s="160">
        <v>644.94999999999993</v>
      </c>
      <c r="H207" s="161">
        <v>14853.504132103266</v>
      </c>
      <c r="I207" s="160">
        <f t="shared" si="17"/>
        <v>1.0150091482021972</v>
      </c>
      <c r="J207" s="39">
        <f t="shared" si="18"/>
        <v>1.0169485958693329</v>
      </c>
      <c r="K207" s="170" t="str">
        <f t="shared" si="15"/>
        <v xml:space="preserve"> </v>
      </c>
    </row>
    <row r="208" spans="1:11" x14ac:dyDescent="0.25">
      <c r="A208" s="130" t="s">
        <v>1193</v>
      </c>
      <c r="B208" s="133" t="s">
        <v>1238</v>
      </c>
      <c r="C208" s="144">
        <f>VLOOKUP(A208,Detail!$A$6:$F$326,6,0)</f>
        <v>4794193.5100000016</v>
      </c>
      <c r="D208" s="145">
        <v>4575932.6000000006</v>
      </c>
      <c r="E208" s="153">
        <f>VLOOKUP(A208,Enroll!$A$7:$C$350,3,0)</f>
        <v>225.8</v>
      </c>
      <c r="F208" s="154">
        <f t="shared" si="16"/>
        <v>21232.035031000891</v>
      </c>
      <c r="G208" s="160">
        <v>250.6</v>
      </c>
      <c r="H208" s="161">
        <v>18259.906624102157</v>
      </c>
      <c r="I208" s="160">
        <f t="shared" si="17"/>
        <v>1.0476975797239674</v>
      </c>
      <c r="J208" s="39">
        <f t="shared" si="18"/>
        <v>1.1627679959203994</v>
      </c>
      <c r="K208" s="170"/>
    </row>
    <row r="209" spans="1:11" x14ac:dyDescent="0.25">
      <c r="A209" s="129" t="s">
        <v>514</v>
      </c>
      <c r="B209" s="129" t="s">
        <v>1018</v>
      </c>
      <c r="C209" s="144">
        <f>VLOOKUP(A209,Detail!$A$6:$F$326,6,0)</f>
        <v>3814578.19</v>
      </c>
      <c r="D209" s="145">
        <v>3304831.0300000003</v>
      </c>
      <c r="E209" s="153">
        <f>VLOOKUP(A209,Enroll!$A$7:$C$350,3,0)</f>
        <v>102.4</v>
      </c>
      <c r="F209" s="154">
        <f t="shared" si="16"/>
        <v>37251.740136718749</v>
      </c>
      <c r="G209" s="160">
        <v>153.19999999999999</v>
      </c>
      <c r="H209" s="161">
        <v>21572.004112271545</v>
      </c>
      <c r="I209" s="160">
        <f t="shared" si="17"/>
        <v>1.1542430325098949</v>
      </c>
      <c r="J209" s="39">
        <f t="shared" si="18"/>
        <v>1.7268557869191004</v>
      </c>
      <c r="K209" s="170" t="str">
        <f t="shared" ref="K209:K253" si="19">IF(AND(I209&lt;0.9,J209&lt;0.9),"DNME"," ")</f>
        <v xml:space="preserve"> </v>
      </c>
    </row>
    <row r="210" spans="1:11" x14ac:dyDescent="0.25">
      <c r="A210" s="126" t="s">
        <v>608</v>
      </c>
      <c r="B210" s="126" t="s">
        <v>891</v>
      </c>
      <c r="C210" s="144">
        <f>VLOOKUP(A210,Detail!$A$6:$F$326,6,0)</f>
        <v>378176.33</v>
      </c>
      <c r="D210" s="145">
        <v>481256.55</v>
      </c>
      <c r="E210" s="153">
        <f>VLOOKUP(A210,Enroll!$A$7:$C$350,3,0)</f>
        <v>7.08</v>
      </c>
      <c r="F210" s="154">
        <f t="shared" si="16"/>
        <v>53414.735875706217</v>
      </c>
      <c r="G210" s="160">
        <v>9.9700000000000006</v>
      </c>
      <c r="H210" s="161">
        <v>48270.46639919759</v>
      </c>
      <c r="I210" s="160">
        <f t="shared" si="17"/>
        <v>0.78581025027087947</v>
      </c>
      <c r="J210" s="39">
        <f t="shared" si="18"/>
        <v>1.1065717789831453</v>
      </c>
      <c r="K210" s="170" t="str">
        <f t="shared" si="19"/>
        <v xml:space="preserve"> </v>
      </c>
    </row>
    <row r="211" spans="1:11" x14ac:dyDescent="0.25">
      <c r="A211" s="126" t="s">
        <v>328</v>
      </c>
      <c r="B211" s="126" t="s">
        <v>1019</v>
      </c>
      <c r="C211" s="144">
        <f>VLOOKUP(A211,Detail!$A$6:$F$326,6,0)</f>
        <v>14835290.450000001</v>
      </c>
      <c r="D211" s="145">
        <v>12698422.060000001</v>
      </c>
      <c r="E211" s="153">
        <f>VLOOKUP(A211,Enroll!$A$7:$C$350,3,0)</f>
        <v>785.6</v>
      </c>
      <c r="F211" s="154">
        <f t="shared" si="16"/>
        <v>18884.025521894095</v>
      </c>
      <c r="G211" s="160">
        <v>763.71</v>
      </c>
      <c r="H211" s="161">
        <v>16627.282685836246</v>
      </c>
      <c r="I211" s="160">
        <f t="shared" si="17"/>
        <v>1.1682782616535585</v>
      </c>
      <c r="J211" s="39">
        <f t="shared" si="18"/>
        <v>1.1357252943068219</v>
      </c>
      <c r="K211" s="170" t="str">
        <f t="shared" si="19"/>
        <v xml:space="preserve"> </v>
      </c>
    </row>
    <row r="212" spans="1:11" x14ac:dyDescent="0.25">
      <c r="A212" s="126" t="s">
        <v>450</v>
      </c>
      <c r="B212" s="126" t="s">
        <v>1020</v>
      </c>
      <c r="C212" s="144">
        <f>VLOOKUP(A212,Detail!$A$6:$F$326,6,0)</f>
        <v>6460351.6199999992</v>
      </c>
      <c r="D212" s="145">
        <v>5952564.0699999994</v>
      </c>
      <c r="E212" s="153">
        <f>VLOOKUP(A212,Enroll!$A$7:$C$350,3,0)</f>
        <v>202.04000000000005</v>
      </c>
      <c r="F212" s="154">
        <f t="shared" si="16"/>
        <v>31975.606909522856</v>
      </c>
      <c r="G212" s="160">
        <v>221.71</v>
      </c>
      <c r="H212" s="161">
        <v>26848.423932163634</v>
      </c>
      <c r="I212" s="160">
        <f t="shared" si="17"/>
        <v>1.0853056840764084</v>
      </c>
      <c r="J212" s="39">
        <f t="shared" si="18"/>
        <v>1.1909677450830551</v>
      </c>
      <c r="K212" s="170" t="str">
        <f t="shared" si="19"/>
        <v xml:space="preserve"> </v>
      </c>
    </row>
    <row r="213" spans="1:11" x14ac:dyDescent="0.25">
      <c r="A213" s="126" t="s">
        <v>320</v>
      </c>
      <c r="B213" s="126" t="s">
        <v>892</v>
      </c>
      <c r="C213" s="144">
        <f>VLOOKUP(A213,Detail!$A$6:$F$326,6,0)</f>
        <v>15922212.760000004</v>
      </c>
      <c r="D213" s="145">
        <v>13886504.75</v>
      </c>
      <c r="E213" s="153">
        <f>VLOOKUP(A213,Enroll!$A$7:$C$350,3,0)</f>
        <v>802.58000000000015</v>
      </c>
      <c r="F213" s="154">
        <f t="shared" si="16"/>
        <v>19838.785865583493</v>
      </c>
      <c r="G213" s="160">
        <v>792.31999999999994</v>
      </c>
      <c r="H213" s="161">
        <v>17526.384226070277</v>
      </c>
      <c r="I213" s="160">
        <f t="shared" si="17"/>
        <v>1.1465961411203927</v>
      </c>
      <c r="J213" s="39">
        <f t="shared" si="18"/>
        <v>1.1319383170930115</v>
      </c>
      <c r="K213" s="170" t="str">
        <f t="shared" si="19"/>
        <v xml:space="preserve"> </v>
      </c>
    </row>
    <row r="214" spans="1:11" x14ac:dyDescent="0.25">
      <c r="A214" s="126" t="s">
        <v>380</v>
      </c>
      <c r="B214" s="126" t="s">
        <v>893</v>
      </c>
      <c r="C214" s="144">
        <f>VLOOKUP(A214,Detail!$A$6:$F$326,6,0)</f>
        <v>11229223.65</v>
      </c>
      <c r="D214" s="145">
        <v>10300901.059999999</v>
      </c>
      <c r="E214" s="153">
        <f>VLOOKUP(A214,Enroll!$A$7:$C$350,3,0)</f>
        <v>513.11</v>
      </c>
      <c r="F214" s="154">
        <f t="shared" si="16"/>
        <v>21884.632242599055</v>
      </c>
      <c r="G214" s="160">
        <v>531.5</v>
      </c>
      <c r="H214" s="161">
        <v>19380.811025399809</v>
      </c>
      <c r="I214" s="160">
        <f t="shared" si="17"/>
        <v>1.0901205229127793</v>
      </c>
      <c r="J214" s="39">
        <f t="shared" si="18"/>
        <v>1.1291907347900882</v>
      </c>
      <c r="K214" s="170" t="str">
        <f t="shared" si="19"/>
        <v xml:space="preserve"> </v>
      </c>
    </row>
    <row r="215" spans="1:11" x14ac:dyDescent="0.25">
      <c r="A215" s="126" t="s">
        <v>154</v>
      </c>
      <c r="B215" s="126" t="s">
        <v>1021</v>
      </c>
      <c r="C215" s="144">
        <f>VLOOKUP(A215,Detail!$A$6:$F$326,6,0)</f>
        <v>63399947.469999984</v>
      </c>
      <c r="D215" s="145">
        <v>60448391.360000007</v>
      </c>
      <c r="E215" s="153">
        <f>VLOOKUP(A215,Enroll!$A$7:$C$350,3,0)</f>
        <v>2920.2400000000002</v>
      </c>
      <c r="F215" s="154">
        <f t="shared" si="16"/>
        <v>21710.526350573917</v>
      </c>
      <c r="G215" s="160">
        <v>3316.45</v>
      </c>
      <c r="H215" s="161">
        <v>18226.836334031876</v>
      </c>
      <c r="I215" s="160">
        <f t="shared" si="17"/>
        <v>1.048827703162885</v>
      </c>
      <c r="J215" s="39">
        <f t="shared" si="18"/>
        <v>1.1911297140490331</v>
      </c>
      <c r="K215" s="170" t="str">
        <f t="shared" si="19"/>
        <v xml:space="preserve"> </v>
      </c>
    </row>
    <row r="216" spans="1:11" x14ac:dyDescent="0.25">
      <c r="A216" s="126" t="s">
        <v>136</v>
      </c>
      <c r="B216" s="126" t="s">
        <v>894</v>
      </c>
      <c r="C216" s="144">
        <f>VLOOKUP(A216,Detail!$A$6:$F$326,6,0)</f>
        <v>83422909.530000001</v>
      </c>
      <c r="D216" s="145">
        <v>78193349.299999997</v>
      </c>
      <c r="E216" s="153">
        <f>VLOOKUP(A216,Enroll!$A$7:$C$350,3,0)</f>
        <v>4499.4800000000005</v>
      </c>
      <c r="F216" s="154">
        <f t="shared" si="16"/>
        <v>18540.566805497521</v>
      </c>
      <c r="G216" s="160">
        <v>4392.2800000000007</v>
      </c>
      <c r="H216" s="161">
        <v>17802.450959410598</v>
      </c>
      <c r="I216" s="160">
        <f t="shared" si="17"/>
        <v>1.0668798596915967</v>
      </c>
      <c r="J216" s="39">
        <f t="shared" si="18"/>
        <v>1.0414614733538556</v>
      </c>
      <c r="K216" s="170" t="str">
        <f t="shared" si="19"/>
        <v xml:space="preserve"> </v>
      </c>
    </row>
    <row r="217" spans="1:11" x14ac:dyDescent="0.25">
      <c r="A217" s="126" t="s">
        <v>190</v>
      </c>
      <c r="B217" s="126" t="s">
        <v>895</v>
      </c>
      <c r="C217" s="144">
        <f>VLOOKUP(A217,Detail!$A$6:$F$326,6,0)</f>
        <v>47691022.86999999</v>
      </c>
      <c r="D217" s="145">
        <v>45118957.150000006</v>
      </c>
      <c r="E217" s="153">
        <f>VLOOKUP(A217,Enroll!$A$7:$C$350,3,0)</f>
        <v>2583.6099999999997</v>
      </c>
      <c r="F217" s="154">
        <f t="shared" si="16"/>
        <v>18459.06420473678</v>
      </c>
      <c r="G217" s="160">
        <v>2583.81</v>
      </c>
      <c r="H217" s="161">
        <v>17462.180713752176</v>
      </c>
      <c r="I217" s="160">
        <f t="shared" si="17"/>
        <v>1.0570063202358386</v>
      </c>
      <c r="J217" s="39">
        <f t="shared" si="18"/>
        <v>1.057088144220127</v>
      </c>
      <c r="K217" s="170" t="str">
        <f t="shared" si="19"/>
        <v xml:space="preserve"> </v>
      </c>
    </row>
    <row r="218" spans="1:11" x14ac:dyDescent="0.25">
      <c r="A218" s="126" t="s">
        <v>378</v>
      </c>
      <c r="B218" s="126" t="s">
        <v>896</v>
      </c>
      <c r="C218" s="144">
        <f>VLOOKUP(A218,Detail!$A$6:$F$326,6,0)</f>
        <v>10064763.450000001</v>
      </c>
      <c r="D218" s="145">
        <v>8520261.290000001</v>
      </c>
      <c r="E218" s="153">
        <f>VLOOKUP(A218,Enroll!$A$7:$C$350,3,0)</f>
        <v>474.58</v>
      </c>
      <c r="F218" s="154">
        <f t="shared" si="16"/>
        <v>21207.727780353158</v>
      </c>
      <c r="G218" s="160">
        <v>507</v>
      </c>
      <c r="H218" s="161">
        <v>16805.249092702172</v>
      </c>
      <c r="I218" s="160">
        <f t="shared" si="17"/>
        <v>1.1812740369609016</v>
      </c>
      <c r="J218" s="39">
        <f t="shared" si="18"/>
        <v>1.2619704512182923</v>
      </c>
      <c r="K218" s="170" t="str">
        <f t="shared" si="19"/>
        <v xml:space="preserve"> </v>
      </c>
    </row>
    <row r="219" spans="1:11" x14ac:dyDescent="0.25">
      <c r="A219" s="126" t="s">
        <v>396</v>
      </c>
      <c r="B219" s="126" t="s">
        <v>897</v>
      </c>
      <c r="C219" s="144">
        <f>VLOOKUP(A219,Detail!$A$6:$F$326,6,0)</f>
        <v>7861730.3900000006</v>
      </c>
      <c r="D219" s="145">
        <v>7078196.7300000014</v>
      </c>
      <c r="E219" s="153">
        <f>VLOOKUP(A219,Enroll!$A$7:$C$350,3,0)</f>
        <v>423.85</v>
      </c>
      <c r="F219" s="154">
        <f t="shared" si="16"/>
        <v>18548.378884039164</v>
      </c>
      <c r="G219" s="160">
        <v>426.64</v>
      </c>
      <c r="H219" s="161">
        <v>16590.560495968501</v>
      </c>
      <c r="I219" s="160">
        <f t="shared" si="17"/>
        <v>1.1106967904239078</v>
      </c>
      <c r="J219" s="39">
        <f t="shared" si="18"/>
        <v>1.1180079713730233</v>
      </c>
      <c r="K219" s="170" t="str">
        <f t="shared" si="19"/>
        <v xml:space="preserve"> </v>
      </c>
    </row>
    <row r="220" spans="1:11" x14ac:dyDescent="0.25">
      <c r="A220" s="126" t="s">
        <v>94</v>
      </c>
      <c r="B220" s="126" t="s">
        <v>898</v>
      </c>
      <c r="C220" s="144">
        <f>VLOOKUP(A220,Detail!$A$6:$F$326,6,0)</f>
        <v>128766267.76000002</v>
      </c>
      <c r="D220" s="145">
        <v>118526471.38000003</v>
      </c>
      <c r="E220" s="153">
        <f>VLOOKUP(A220,Enroll!$A$7:$C$350,3,0)</f>
        <v>6656.4699999999975</v>
      </c>
      <c r="F220" s="154">
        <f t="shared" si="16"/>
        <v>19344.527618993259</v>
      </c>
      <c r="G220" s="160">
        <v>6765.1399999999994</v>
      </c>
      <c r="H220" s="161">
        <v>17520.180126353636</v>
      </c>
      <c r="I220" s="160">
        <f t="shared" si="17"/>
        <v>1.0863924848245152</v>
      </c>
      <c r="J220" s="39">
        <f t="shared" si="18"/>
        <v>1.1041283525330576</v>
      </c>
      <c r="K220" s="170" t="str">
        <f t="shared" si="19"/>
        <v xml:space="preserve"> </v>
      </c>
    </row>
    <row r="221" spans="1:11" x14ac:dyDescent="0.25">
      <c r="A221" s="126" t="s">
        <v>536</v>
      </c>
      <c r="B221" s="126" t="s">
        <v>899</v>
      </c>
      <c r="C221" s="144">
        <f>VLOOKUP(A221,Detail!$A$6:$F$326,6,0)</f>
        <v>1927016.25</v>
      </c>
      <c r="D221" s="146">
        <v>1419475.9800000004</v>
      </c>
      <c r="E221" s="153">
        <f>VLOOKUP(A221,Enroll!$A$7:$C$350,3,0)</f>
        <v>110.48</v>
      </c>
      <c r="F221" s="154">
        <f t="shared" si="16"/>
        <v>17442.21804851557</v>
      </c>
      <c r="G221" s="160">
        <v>82.14</v>
      </c>
      <c r="H221" s="161">
        <v>17281.178232286347</v>
      </c>
      <c r="I221" s="160">
        <f t="shared" si="17"/>
        <v>1.3575546730984482</v>
      </c>
      <c r="J221" s="39">
        <f t="shared" si="18"/>
        <v>1.009318798409726</v>
      </c>
      <c r="K221" s="170" t="str">
        <f t="shared" si="19"/>
        <v xml:space="preserve"> </v>
      </c>
    </row>
    <row r="222" spans="1:11" x14ac:dyDescent="0.25">
      <c r="A222" s="126" t="s">
        <v>560</v>
      </c>
      <c r="B222" s="126" t="s">
        <v>900</v>
      </c>
      <c r="C222" s="144">
        <f>VLOOKUP(A222,Detail!$A$6:$F$326,6,0)</f>
        <v>1322391.4100000001</v>
      </c>
      <c r="D222" s="146">
        <v>1029757.8</v>
      </c>
      <c r="E222" s="153">
        <f>VLOOKUP(A222,Enroll!$A$7:$C$350,3,0)</f>
        <v>71.819999999999993</v>
      </c>
      <c r="F222" s="154">
        <f t="shared" si="16"/>
        <v>18412.578808131442</v>
      </c>
      <c r="G222" s="160">
        <v>66</v>
      </c>
      <c r="H222" s="161">
        <v>15602.390909090909</v>
      </c>
      <c r="I222" s="160">
        <f t="shared" si="17"/>
        <v>1.2841771239800273</v>
      </c>
      <c r="J222" s="39">
        <f t="shared" si="18"/>
        <v>1.180112645261512</v>
      </c>
      <c r="K222" s="170" t="str">
        <f t="shared" si="19"/>
        <v xml:space="preserve"> </v>
      </c>
    </row>
    <row r="223" spans="1:11" x14ac:dyDescent="0.25">
      <c r="A223" s="126" t="s">
        <v>600</v>
      </c>
      <c r="B223" s="126" t="s">
        <v>901</v>
      </c>
      <c r="C223" s="144">
        <f>VLOOKUP(A223,Detail!$A$6:$F$326,6,0)</f>
        <v>2323902.040000001</v>
      </c>
      <c r="D223" s="146">
        <v>2014437.1399999997</v>
      </c>
      <c r="E223" s="153">
        <f>VLOOKUP(A223,Enroll!$A$7:$C$350,3,0)</f>
        <v>58.74</v>
      </c>
      <c r="F223" s="154">
        <f t="shared" si="16"/>
        <v>39562.513449097736</v>
      </c>
      <c r="G223" s="160">
        <v>67.739999999999995</v>
      </c>
      <c r="H223" s="161">
        <v>29737.77886034839</v>
      </c>
      <c r="I223" s="160">
        <f t="shared" si="17"/>
        <v>1.1536235079541879</v>
      </c>
      <c r="J223" s="39">
        <f t="shared" si="18"/>
        <v>1.3303788973240838</v>
      </c>
      <c r="K223" s="170" t="str">
        <f t="shared" si="19"/>
        <v xml:space="preserve"> </v>
      </c>
    </row>
    <row r="224" spans="1:11" x14ac:dyDescent="0.25">
      <c r="A224" s="126" t="s">
        <v>306</v>
      </c>
      <c r="B224" s="126" t="s">
        <v>902</v>
      </c>
      <c r="C224" s="144">
        <f>VLOOKUP(A224,Detail!$A$6:$F$326,6,0)</f>
        <v>14197791.59</v>
      </c>
      <c r="D224" s="146">
        <v>12581337.660000002</v>
      </c>
      <c r="E224" s="153">
        <f>VLOOKUP(A224,Enroll!$A$7:$C$350,3,0)</f>
        <v>743.12999999999988</v>
      </c>
      <c r="F224" s="154">
        <f t="shared" si="16"/>
        <v>19105.394197515914</v>
      </c>
      <c r="G224" s="160">
        <v>794.99</v>
      </c>
      <c r="H224" s="161">
        <v>15825.781028692187</v>
      </c>
      <c r="I224" s="160">
        <f t="shared" si="17"/>
        <v>1.1284802914986702</v>
      </c>
      <c r="J224" s="39">
        <f t="shared" si="18"/>
        <v>1.2072323105493359</v>
      </c>
      <c r="K224" s="170" t="str">
        <f t="shared" si="19"/>
        <v xml:space="preserve"> </v>
      </c>
    </row>
    <row r="225" spans="1:11" x14ac:dyDescent="0.25">
      <c r="A225" s="126" t="s">
        <v>30</v>
      </c>
      <c r="B225" s="126" t="s">
        <v>903</v>
      </c>
      <c r="C225" s="144">
        <f>VLOOKUP(A225,Detail!$A$6:$F$326,6,0)</f>
        <v>387008844.53999996</v>
      </c>
      <c r="D225" s="146">
        <v>354908736.89000005</v>
      </c>
      <c r="E225" s="153">
        <f>VLOOKUP(A225,Enroll!$A$7:$C$350,3,0)</f>
        <v>20228.390000000003</v>
      </c>
      <c r="F225" s="154">
        <f t="shared" si="16"/>
        <v>19131.964755474852</v>
      </c>
      <c r="G225" s="160">
        <v>20038.21</v>
      </c>
      <c r="H225" s="161">
        <v>17711.598834925877</v>
      </c>
      <c r="I225" s="160">
        <f t="shared" si="17"/>
        <v>1.0904460902577018</v>
      </c>
      <c r="J225" s="39">
        <f t="shared" si="18"/>
        <v>1.0801941108641262</v>
      </c>
      <c r="K225" s="170" t="str">
        <f t="shared" si="19"/>
        <v xml:space="preserve"> </v>
      </c>
    </row>
    <row r="226" spans="1:11" x14ac:dyDescent="0.25">
      <c r="A226" s="126" t="s">
        <v>78</v>
      </c>
      <c r="B226" s="126" t="s">
        <v>904</v>
      </c>
      <c r="C226" s="144">
        <f>VLOOKUP(A226,Detail!$A$6:$F$326,6,0)</f>
        <v>170563240.69999996</v>
      </c>
      <c r="D226" s="145">
        <v>155348336.32000002</v>
      </c>
      <c r="E226" s="153">
        <f>VLOOKUP(A226,Enroll!$A$7:$C$350,3,0)</f>
        <v>9984.82</v>
      </c>
      <c r="F226" s="154">
        <f t="shared" si="16"/>
        <v>17082.254932988271</v>
      </c>
      <c r="G226" s="160">
        <v>9633.33</v>
      </c>
      <c r="H226" s="161">
        <v>16126.130457484589</v>
      </c>
      <c r="I226" s="160">
        <f t="shared" si="17"/>
        <v>1.0979405685340522</v>
      </c>
      <c r="J226" s="39">
        <f t="shared" si="18"/>
        <v>1.0592903845113022</v>
      </c>
      <c r="K226" s="170" t="str">
        <f t="shared" si="19"/>
        <v xml:space="preserve"> </v>
      </c>
    </row>
    <row r="227" spans="1:11" x14ac:dyDescent="0.25">
      <c r="A227" s="126" t="s">
        <v>46</v>
      </c>
      <c r="B227" s="126" t="s">
        <v>905</v>
      </c>
      <c r="C227" s="144">
        <f>VLOOKUP(A227,Detail!$A$6:$F$326,6,0)</f>
        <v>298606044.3499999</v>
      </c>
      <c r="D227" s="145">
        <v>285818630.99000007</v>
      </c>
      <c r="E227" s="153">
        <f>VLOOKUP(A227,Enroll!$A$7:$C$350,3,0)</f>
        <v>15449.850000000002</v>
      </c>
      <c r="F227" s="154">
        <f t="shared" si="16"/>
        <v>19327.439706534358</v>
      </c>
      <c r="G227" s="160">
        <v>15498.019999999999</v>
      </c>
      <c r="H227" s="161">
        <v>18442.267527722903</v>
      </c>
      <c r="I227" s="160">
        <f t="shared" si="17"/>
        <v>1.0447396074766282</v>
      </c>
      <c r="J227" s="39">
        <f t="shared" si="18"/>
        <v>1.0479969275730785</v>
      </c>
      <c r="K227" s="170" t="str">
        <f t="shared" si="19"/>
        <v xml:space="preserve"> </v>
      </c>
    </row>
    <row r="228" spans="1:11" x14ac:dyDescent="0.25">
      <c r="A228" s="126" t="s">
        <v>24</v>
      </c>
      <c r="B228" s="126" t="s">
        <v>906</v>
      </c>
      <c r="C228" s="144">
        <f>VLOOKUP(A228,Detail!$A$6:$F$326,6,0)</f>
        <v>389248882.02999997</v>
      </c>
      <c r="D228" s="145">
        <v>369301228.29000002</v>
      </c>
      <c r="E228" s="153">
        <f>VLOOKUP(A228,Enroll!$A$7:$C$350,3,0)</f>
        <v>20578.53</v>
      </c>
      <c r="F228" s="154">
        <f t="shared" si="16"/>
        <v>18915.290938176826</v>
      </c>
      <c r="G228" s="160">
        <v>20442.95</v>
      </c>
      <c r="H228" s="161">
        <v>18064.96754577984</v>
      </c>
      <c r="I228" s="160">
        <f t="shared" si="17"/>
        <v>1.0540145881246181</v>
      </c>
      <c r="J228" s="39">
        <f t="shared" si="18"/>
        <v>1.047070297261377</v>
      </c>
      <c r="K228" s="170" t="str">
        <f t="shared" si="19"/>
        <v xml:space="preserve"> </v>
      </c>
    </row>
    <row r="229" spans="1:11" x14ac:dyDescent="0.25">
      <c r="A229" s="126" t="s">
        <v>114</v>
      </c>
      <c r="B229" s="126" t="s">
        <v>907</v>
      </c>
      <c r="C229" s="144">
        <f>VLOOKUP(A229,Detail!$A$6:$F$326,6,0)</f>
        <v>93383896.470000014</v>
      </c>
      <c r="D229" s="145">
        <v>89702832.489999995</v>
      </c>
      <c r="E229" s="153">
        <f>VLOOKUP(A229,Enroll!$A$7:$C$350,3,0)</f>
        <v>5645.4</v>
      </c>
      <c r="F229" s="154">
        <f t="shared" si="16"/>
        <v>16541.590758847917</v>
      </c>
      <c r="G229" s="160">
        <v>5549.32</v>
      </c>
      <c r="H229" s="161">
        <v>16164.653054788694</v>
      </c>
      <c r="I229" s="160">
        <f t="shared" si="17"/>
        <v>1.0410362067486596</v>
      </c>
      <c r="J229" s="39">
        <f t="shared" si="18"/>
        <v>1.023318638685385</v>
      </c>
      <c r="K229" s="170" t="str">
        <f t="shared" si="19"/>
        <v xml:space="preserve"> </v>
      </c>
    </row>
    <row r="230" spans="1:11" x14ac:dyDescent="0.25">
      <c r="A230" s="126" t="s">
        <v>62</v>
      </c>
      <c r="B230" s="126" t="s">
        <v>908</v>
      </c>
      <c r="C230" s="144">
        <f>VLOOKUP(A230,Detail!$A$6:$F$326,6,0)</f>
        <v>172856481.88000003</v>
      </c>
      <c r="D230" s="145">
        <v>170647509.44999996</v>
      </c>
      <c r="E230" s="153">
        <f>VLOOKUP(A230,Enroll!$A$7:$C$350,3,0)</f>
        <v>9395.2000000000007</v>
      </c>
      <c r="F230" s="154">
        <f t="shared" si="16"/>
        <v>18398.382352690736</v>
      </c>
      <c r="G230" s="160">
        <v>9596.130000000001</v>
      </c>
      <c r="H230" s="161">
        <v>17782.950986491422</v>
      </c>
      <c r="I230" s="160">
        <f t="shared" si="17"/>
        <v>1.0129446508602418</v>
      </c>
      <c r="J230" s="39">
        <f t="shared" si="18"/>
        <v>1.0346079436796973</v>
      </c>
      <c r="K230" s="170" t="str">
        <f t="shared" si="19"/>
        <v xml:space="preserve"> </v>
      </c>
    </row>
    <row r="231" spans="1:11" x14ac:dyDescent="0.25">
      <c r="A231" s="126" t="s">
        <v>582</v>
      </c>
      <c r="B231" s="126" t="s">
        <v>909</v>
      </c>
      <c r="C231" s="144">
        <f>VLOOKUP(A231,Detail!$A$6:$F$326,6,0)</f>
        <v>1014057.8400000001</v>
      </c>
      <c r="D231" s="145">
        <v>880507.15999999992</v>
      </c>
      <c r="E231" s="153">
        <f>VLOOKUP(A231,Enroll!$A$7:$C$350,3,0)</f>
        <v>32.93</v>
      </c>
      <c r="F231" s="154">
        <f t="shared" si="16"/>
        <v>30794.34679623444</v>
      </c>
      <c r="G231" s="160">
        <v>23.98</v>
      </c>
      <c r="H231" s="161">
        <v>36718.396997497912</v>
      </c>
      <c r="I231" s="160">
        <f t="shared" si="17"/>
        <v>1.1516747234627827</v>
      </c>
      <c r="J231" s="39">
        <f t="shared" si="18"/>
        <v>0.83866261368471096</v>
      </c>
      <c r="K231" s="170" t="str">
        <f t="shared" si="19"/>
        <v xml:space="preserve"> </v>
      </c>
    </row>
    <row r="232" spans="1:11" x14ac:dyDescent="0.25">
      <c r="A232" s="126" t="s">
        <v>96</v>
      </c>
      <c r="B232" s="126" t="s">
        <v>910</v>
      </c>
      <c r="C232" s="144">
        <f>VLOOKUP(A232,Detail!$A$6:$F$326,6,0)</f>
        <v>105214950.98999999</v>
      </c>
      <c r="D232" s="145">
        <v>96274770</v>
      </c>
      <c r="E232" s="153">
        <f>VLOOKUP(A232,Enroll!$A$7:$C$350,3,0)</f>
        <v>5710.0700000000006</v>
      </c>
      <c r="F232" s="154">
        <f t="shared" si="16"/>
        <v>18426.210359943045</v>
      </c>
      <c r="G232" s="160">
        <v>5554.29</v>
      </c>
      <c r="H232" s="161">
        <v>17333.407150148803</v>
      </c>
      <c r="I232" s="160">
        <f t="shared" si="17"/>
        <v>1.0928610994344623</v>
      </c>
      <c r="J232" s="39">
        <f t="shared" si="18"/>
        <v>1.0630460705346589</v>
      </c>
      <c r="K232" s="170" t="str">
        <f t="shared" si="19"/>
        <v xml:space="preserve"> </v>
      </c>
    </row>
    <row r="233" spans="1:11" x14ac:dyDescent="0.25">
      <c r="A233" s="126" t="s">
        <v>64</v>
      </c>
      <c r="B233" s="126" t="s">
        <v>911</v>
      </c>
      <c r="C233" s="144">
        <f>VLOOKUP(A233,Detail!$A$6:$F$326,6,0)</f>
        <v>175027115.23000002</v>
      </c>
      <c r="D233" s="145">
        <v>160839829.76000002</v>
      </c>
      <c r="E233" s="153">
        <f>VLOOKUP(A233,Enroll!$A$7:$C$350,3,0)</f>
        <v>9693.8799999999992</v>
      </c>
      <c r="F233" s="154">
        <f t="shared" si="16"/>
        <v>18055.42416761916</v>
      </c>
      <c r="G233" s="160">
        <v>9545.24</v>
      </c>
      <c r="H233" s="161">
        <v>16850.265657018579</v>
      </c>
      <c r="I233" s="160">
        <f t="shared" si="17"/>
        <v>1.088207538463388</v>
      </c>
      <c r="J233" s="39">
        <f t="shared" si="18"/>
        <v>1.0715216326633166</v>
      </c>
      <c r="K233" s="170" t="str">
        <f t="shared" si="19"/>
        <v xml:space="preserve"> </v>
      </c>
    </row>
    <row r="234" spans="1:11" x14ac:dyDescent="0.25">
      <c r="A234" s="126" t="s">
        <v>208</v>
      </c>
      <c r="B234" s="126" t="s">
        <v>912</v>
      </c>
      <c r="C234" s="144">
        <f>VLOOKUP(A234,Detail!$A$6:$F$326,6,0)</f>
        <v>47416441.18999999</v>
      </c>
      <c r="D234" s="145">
        <v>45150093.489999995</v>
      </c>
      <c r="E234" s="153">
        <f>VLOOKUP(A234,Enroll!$A$7:$C$350,3,0)</f>
        <v>2644.6899999999996</v>
      </c>
      <c r="F234" s="154">
        <f t="shared" si="16"/>
        <v>17928.922176134063</v>
      </c>
      <c r="G234" s="160">
        <v>2616.9499999999998</v>
      </c>
      <c r="H234" s="161">
        <v>17252.944645484247</v>
      </c>
      <c r="I234" s="160">
        <f t="shared" si="17"/>
        <v>1.0501958584095059</v>
      </c>
      <c r="J234" s="39">
        <f t="shared" si="18"/>
        <v>1.0391804149691481</v>
      </c>
      <c r="K234" s="170" t="str">
        <f t="shared" si="19"/>
        <v xml:space="preserve"> </v>
      </c>
    </row>
    <row r="235" spans="1:11" x14ac:dyDescent="0.25">
      <c r="A235" s="126" t="s">
        <v>220</v>
      </c>
      <c r="B235" s="126" t="s">
        <v>913</v>
      </c>
      <c r="C235" s="144">
        <f>VLOOKUP(A235,Detail!$A$6:$F$326,6,0)</f>
        <v>39809485</v>
      </c>
      <c r="D235" s="145">
        <v>36372706.549999997</v>
      </c>
      <c r="E235" s="153">
        <f>VLOOKUP(A235,Enroll!$A$7:$C$350,3,0)</f>
        <v>2195.6099999999997</v>
      </c>
      <c r="F235" s="154">
        <f t="shared" si="16"/>
        <v>18131.400840768627</v>
      </c>
      <c r="G235" s="160">
        <v>2079.5</v>
      </c>
      <c r="H235" s="161">
        <v>17491.082736234672</v>
      </c>
      <c r="I235" s="160">
        <f t="shared" si="17"/>
        <v>1.0944878392614421</v>
      </c>
      <c r="J235" s="39">
        <f t="shared" si="18"/>
        <v>1.0366082600025364</v>
      </c>
      <c r="K235" s="170" t="str">
        <f t="shared" si="19"/>
        <v xml:space="preserve"> </v>
      </c>
    </row>
    <row r="236" spans="1:11" x14ac:dyDescent="0.25">
      <c r="A236" s="126" t="s">
        <v>406</v>
      </c>
      <c r="B236" s="126" t="s">
        <v>914</v>
      </c>
      <c r="C236" s="144">
        <f>VLOOKUP(A236,Detail!$A$6:$F$326,6,0)</f>
        <v>9387774.2500000019</v>
      </c>
      <c r="D236" s="145">
        <v>8246277.3100000015</v>
      </c>
      <c r="E236" s="153">
        <f>VLOOKUP(A236,Enroll!$A$7:$C$350,3,0)</f>
        <v>429.26000000000005</v>
      </c>
      <c r="F236" s="154">
        <f t="shared" si="16"/>
        <v>21869.669314634488</v>
      </c>
      <c r="G236" s="160">
        <v>441.27000000000004</v>
      </c>
      <c r="H236" s="161">
        <v>18687.600131438805</v>
      </c>
      <c r="I236" s="160">
        <f t="shared" si="17"/>
        <v>1.1384257280088972</v>
      </c>
      <c r="J236" s="39">
        <f t="shared" si="18"/>
        <v>1.1702770372233284</v>
      </c>
      <c r="K236" s="170" t="str">
        <f t="shared" si="19"/>
        <v xml:space="preserve"> </v>
      </c>
    </row>
    <row r="237" spans="1:11" x14ac:dyDescent="0.25">
      <c r="A237" s="126" t="s">
        <v>218</v>
      </c>
      <c r="B237" s="126" t="s">
        <v>915</v>
      </c>
      <c r="C237" s="144">
        <f>VLOOKUP(A237,Detail!$A$6:$F$326,6,0)</f>
        <v>41257779.269999988</v>
      </c>
      <c r="D237" s="145">
        <v>39001745.640000001</v>
      </c>
      <c r="E237" s="153">
        <f>VLOOKUP(A237,Enroll!$A$7:$C$350,3,0)</f>
        <v>2295.59</v>
      </c>
      <c r="F237" s="154">
        <f t="shared" si="16"/>
        <v>17972.625455765177</v>
      </c>
      <c r="G237" s="160">
        <v>2304.5300000000002</v>
      </c>
      <c r="H237" s="161">
        <v>16923.94789393065</v>
      </c>
      <c r="I237" s="160">
        <f t="shared" si="17"/>
        <v>1.0578444270372918</v>
      </c>
      <c r="J237" s="39">
        <f t="shared" si="18"/>
        <v>1.0619641213980935</v>
      </c>
      <c r="K237" s="170" t="str">
        <f t="shared" si="19"/>
        <v xml:space="preserve"> </v>
      </c>
    </row>
    <row r="238" spans="1:11" x14ac:dyDescent="0.25">
      <c r="A238" s="126" t="s">
        <v>128</v>
      </c>
      <c r="B238" s="126" t="s">
        <v>916</v>
      </c>
      <c r="C238" s="144">
        <f>VLOOKUP(A238,Detail!$A$6:$F$326,6,0)</f>
        <v>87280626.400000021</v>
      </c>
      <c r="D238" s="145">
        <v>82391504.860000014</v>
      </c>
      <c r="E238" s="153">
        <f>VLOOKUP(A238,Enroll!$A$7:$C$350,3,0)</f>
        <v>4853.6699999999983</v>
      </c>
      <c r="F238" s="154">
        <f t="shared" si="16"/>
        <v>17982.398144084797</v>
      </c>
      <c r="G238" s="160">
        <v>4809.6100000000006</v>
      </c>
      <c r="H238" s="161">
        <v>17130.599957169085</v>
      </c>
      <c r="I238" s="160">
        <f t="shared" si="17"/>
        <v>1.0593401170218655</v>
      </c>
      <c r="J238" s="39">
        <f t="shared" si="18"/>
        <v>1.0497237801971575</v>
      </c>
      <c r="K238" s="170" t="str">
        <f t="shared" si="19"/>
        <v xml:space="preserve"> </v>
      </c>
    </row>
    <row r="239" spans="1:11" x14ac:dyDescent="0.25">
      <c r="A239" s="126" t="s">
        <v>6</v>
      </c>
      <c r="B239" s="126" t="s">
        <v>917</v>
      </c>
      <c r="C239" s="144">
        <f>VLOOKUP(A239,Detail!$A$6:$F$326,6,0)</f>
        <v>497630235.14999998</v>
      </c>
      <c r="D239" s="145">
        <v>455699390.00999993</v>
      </c>
      <c r="E239" s="153">
        <f>VLOOKUP(A239,Enroll!$A$7:$C$350,3,0)</f>
        <v>29229.69</v>
      </c>
      <c r="F239" s="154">
        <f t="shared" si="16"/>
        <v>17024.820829437467</v>
      </c>
      <c r="G239" s="160">
        <v>29024.989999999998</v>
      </c>
      <c r="H239" s="161">
        <v>15700.242791125853</v>
      </c>
      <c r="I239" s="160">
        <f t="shared" si="17"/>
        <v>1.0920142665520793</v>
      </c>
      <c r="J239" s="39">
        <f t="shared" si="18"/>
        <v>1.0843667232369361</v>
      </c>
      <c r="K239" s="170" t="str">
        <f t="shared" si="19"/>
        <v xml:space="preserve"> </v>
      </c>
    </row>
    <row r="240" spans="1:11" x14ac:dyDescent="0.25">
      <c r="A240" s="126" t="s">
        <v>540</v>
      </c>
      <c r="B240" s="126" t="s">
        <v>918</v>
      </c>
      <c r="C240" s="144">
        <f>VLOOKUP(A240,Detail!$A$6:$F$326,6,0)</f>
        <v>1399130.5899999999</v>
      </c>
      <c r="D240" s="145">
        <v>1262739.19</v>
      </c>
      <c r="E240" s="153">
        <f>VLOOKUP(A240,Enroll!$A$7:$C$350,3,0)</f>
        <v>76.8</v>
      </c>
      <c r="F240" s="154">
        <f t="shared" si="16"/>
        <v>18217.846223958331</v>
      </c>
      <c r="G240" s="160">
        <v>72.599999999999994</v>
      </c>
      <c r="H240" s="161">
        <v>17393.101790633609</v>
      </c>
      <c r="I240" s="160">
        <f t="shared" si="17"/>
        <v>1.1080123283415317</v>
      </c>
      <c r="J240" s="39">
        <f t="shared" si="18"/>
        <v>1.0474179041353542</v>
      </c>
      <c r="K240" s="170" t="str">
        <f t="shared" si="19"/>
        <v xml:space="preserve"> </v>
      </c>
    </row>
    <row r="241" spans="1:11" x14ac:dyDescent="0.25">
      <c r="A241" s="126" t="s">
        <v>572</v>
      </c>
      <c r="B241" s="126" t="s">
        <v>919</v>
      </c>
      <c r="C241" s="144">
        <f>VLOOKUP(A241,Detail!$A$6:$F$326,6,0)</f>
        <v>954176.87999999989</v>
      </c>
      <c r="D241" s="145">
        <v>773175.22000000009</v>
      </c>
      <c r="E241" s="153">
        <f>VLOOKUP(A241,Enroll!$A$7:$C$350,3,0)</f>
        <v>41.2</v>
      </c>
      <c r="F241" s="154">
        <f t="shared" si="16"/>
        <v>23159.633009708734</v>
      </c>
      <c r="G241" s="160">
        <v>37.6</v>
      </c>
      <c r="H241" s="161">
        <v>20563.170744680854</v>
      </c>
      <c r="I241" s="160">
        <f t="shared" si="17"/>
        <v>1.2341017344037484</v>
      </c>
      <c r="J241" s="39">
        <f t="shared" si="18"/>
        <v>1.126267602271382</v>
      </c>
      <c r="K241" s="170" t="str">
        <f t="shared" si="19"/>
        <v xml:space="preserve"> </v>
      </c>
    </row>
    <row r="242" spans="1:11" x14ac:dyDescent="0.25">
      <c r="A242" s="126" t="s">
        <v>258</v>
      </c>
      <c r="B242" s="126" t="s">
        <v>920</v>
      </c>
      <c r="C242" s="144">
        <f>VLOOKUP(A242,Detail!$A$6:$F$326,6,0)</f>
        <v>23190536.610000003</v>
      </c>
      <c r="D242" s="145">
        <v>20996098.060000002</v>
      </c>
      <c r="E242" s="153">
        <f>VLOOKUP(A242,Enroll!$A$7:$C$350,3,0)</f>
        <v>1415.3200000000002</v>
      </c>
      <c r="F242" s="154">
        <f t="shared" si="16"/>
        <v>16385.366284656473</v>
      </c>
      <c r="G242" s="160">
        <v>1422.52</v>
      </c>
      <c r="H242" s="161">
        <v>14759.791117172344</v>
      </c>
      <c r="I242" s="160">
        <f t="shared" si="17"/>
        <v>1.1045164936708245</v>
      </c>
      <c r="J242" s="39">
        <f t="shared" si="18"/>
        <v>1.1101353775659362</v>
      </c>
      <c r="K242" s="170" t="str">
        <f t="shared" si="19"/>
        <v xml:space="preserve"> </v>
      </c>
    </row>
    <row r="243" spans="1:11" x14ac:dyDescent="0.25">
      <c r="A243" s="126" t="s">
        <v>226</v>
      </c>
      <c r="B243" s="126" t="s">
        <v>921</v>
      </c>
      <c r="C243" s="144">
        <f>VLOOKUP(A243,Detail!$A$6:$F$326,6,0)</f>
        <v>26504725.369999997</v>
      </c>
      <c r="D243" s="145">
        <v>24712003.840000004</v>
      </c>
      <c r="E243" s="153">
        <f>VLOOKUP(A243,Enroll!$A$7:$C$350,3,0)</f>
        <v>1760.52</v>
      </c>
      <c r="F243" s="154">
        <f t="shared" si="16"/>
        <v>15055.054966714379</v>
      </c>
      <c r="G243" s="160">
        <v>1758.79</v>
      </c>
      <c r="H243" s="161">
        <v>14050.571040317493</v>
      </c>
      <c r="I243" s="160">
        <f t="shared" si="17"/>
        <v>1.0725445634278437</v>
      </c>
      <c r="J243" s="39">
        <f t="shared" si="18"/>
        <v>1.0714906122686803</v>
      </c>
      <c r="K243" s="170" t="str">
        <f t="shared" si="19"/>
        <v xml:space="preserve"> </v>
      </c>
    </row>
    <row r="244" spans="1:11" x14ac:dyDescent="0.25">
      <c r="A244" s="126" t="s">
        <v>70</v>
      </c>
      <c r="B244" s="126" t="s">
        <v>922</v>
      </c>
      <c r="C244" s="144">
        <f>VLOOKUP(A244,Detail!$A$6:$F$326,6,0)</f>
        <v>164964434.71000001</v>
      </c>
      <c r="D244" s="145">
        <v>151900558.12999997</v>
      </c>
      <c r="E244" s="153">
        <f>VLOOKUP(A244,Enroll!$A$7:$C$350,3,0)</f>
        <v>10501.81</v>
      </c>
      <c r="F244" s="154">
        <f t="shared" si="16"/>
        <v>15708.190750927699</v>
      </c>
      <c r="G244" s="160">
        <v>10376.98</v>
      </c>
      <c r="H244" s="161">
        <v>14638.224043026003</v>
      </c>
      <c r="I244" s="160">
        <f t="shared" si="17"/>
        <v>1.0860028214565194</v>
      </c>
      <c r="J244" s="39">
        <f t="shared" si="18"/>
        <v>1.0730940245727045</v>
      </c>
      <c r="K244" s="170" t="str">
        <f t="shared" si="19"/>
        <v xml:space="preserve"> </v>
      </c>
    </row>
    <row r="245" spans="1:11" x14ac:dyDescent="0.25">
      <c r="A245" s="126" t="s">
        <v>50</v>
      </c>
      <c r="B245" s="126" t="s">
        <v>923</v>
      </c>
      <c r="C245" s="144">
        <f>VLOOKUP(A245,Detail!$A$6:$F$326,6,0)</f>
        <v>231939392.27999997</v>
      </c>
      <c r="D245" s="145">
        <v>214143533.43999997</v>
      </c>
      <c r="E245" s="153">
        <f>VLOOKUP(A245,Enroll!$A$7:$C$350,3,0)</f>
        <v>14708.41</v>
      </c>
      <c r="F245" s="154">
        <f t="shared" si="16"/>
        <v>15769.168270397682</v>
      </c>
      <c r="G245" s="160">
        <v>14415.83</v>
      </c>
      <c r="H245" s="161">
        <v>14854.74880322534</v>
      </c>
      <c r="I245" s="160">
        <f t="shared" si="17"/>
        <v>1.0831024806312266</v>
      </c>
      <c r="J245" s="39">
        <f t="shared" si="18"/>
        <v>1.0615573833852914</v>
      </c>
      <c r="K245" s="170" t="str">
        <f t="shared" si="19"/>
        <v xml:space="preserve"> </v>
      </c>
    </row>
    <row r="246" spans="1:11" x14ac:dyDescent="0.25">
      <c r="A246" s="126" t="s">
        <v>312</v>
      </c>
      <c r="B246" s="126" t="s">
        <v>924</v>
      </c>
      <c r="C246" s="144">
        <f>VLOOKUP(A246,Detail!$A$6:$F$326,6,0)</f>
        <v>13233946.140000001</v>
      </c>
      <c r="D246" s="145">
        <v>13051411.719999997</v>
      </c>
      <c r="E246" s="153">
        <f>VLOOKUP(A246,Enroll!$A$7:$C$350,3,0)</f>
        <v>878.03</v>
      </c>
      <c r="F246" s="154">
        <f t="shared" si="16"/>
        <v>15072.316595104952</v>
      </c>
      <c r="G246" s="160">
        <v>875.43999999999994</v>
      </c>
      <c r="H246" s="161">
        <v>14908.402311980259</v>
      </c>
      <c r="I246" s="160">
        <f t="shared" si="17"/>
        <v>1.0139857989247467</v>
      </c>
      <c r="J246" s="39">
        <f t="shared" si="18"/>
        <v>1.0109947585056096</v>
      </c>
      <c r="K246" s="170" t="str">
        <f t="shared" si="19"/>
        <v xml:space="preserve"> </v>
      </c>
    </row>
    <row r="247" spans="1:11" x14ac:dyDescent="0.25">
      <c r="A247" s="126" t="s">
        <v>126</v>
      </c>
      <c r="B247" s="126" t="s">
        <v>925</v>
      </c>
      <c r="C247" s="144">
        <f>VLOOKUP(A247,Detail!$A$6:$F$326,6,0)</f>
        <v>85164129.469999999</v>
      </c>
      <c r="D247" s="145">
        <v>76573449.439999983</v>
      </c>
      <c r="E247" s="153">
        <f>VLOOKUP(A247,Enroll!$A$7:$C$350,3,0)</f>
        <v>5572.7000000000007</v>
      </c>
      <c r="F247" s="154">
        <f t="shared" si="16"/>
        <v>15282.381874136412</v>
      </c>
      <c r="G247" s="160">
        <v>5486.62</v>
      </c>
      <c r="H247" s="161">
        <v>13956.397461460787</v>
      </c>
      <c r="I247" s="160">
        <f t="shared" si="17"/>
        <v>1.1121887559307531</v>
      </c>
      <c r="J247" s="39">
        <f t="shared" si="18"/>
        <v>1.0950090749663157</v>
      </c>
      <c r="K247" s="170" t="str">
        <f t="shared" si="19"/>
        <v xml:space="preserve"> </v>
      </c>
    </row>
    <row r="248" spans="1:11" x14ac:dyDescent="0.25">
      <c r="A248" s="126" t="s">
        <v>140</v>
      </c>
      <c r="B248" s="126" t="s">
        <v>1022</v>
      </c>
      <c r="C248" s="144">
        <f>VLOOKUP(A248,Detail!$A$6:$F$326,6,0)</f>
        <v>62342040.749999978</v>
      </c>
      <c r="D248" s="145">
        <v>58567869.550000004</v>
      </c>
      <c r="E248" s="153">
        <f>VLOOKUP(A248,Enroll!$A$7:$C$350,3,0)</f>
        <v>3454.0699999999997</v>
      </c>
      <c r="F248" s="154">
        <f t="shared" si="16"/>
        <v>18048.864310798559</v>
      </c>
      <c r="G248" s="160">
        <v>3496.8999999999996</v>
      </c>
      <c r="H248" s="161">
        <v>16748.511410106097</v>
      </c>
      <c r="I248" s="160">
        <f t="shared" si="17"/>
        <v>1.0644409849461558</v>
      </c>
      <c r="J248" s="39">
        <f t="shared" si="18"/>
        <v>1.0776399089358966</v>
      </c>
      <c r="K248" s="170" t="str">
        <f t="shared" si="19"/>
        <v xml:space="preserve"> </v>
      </c>
    </row>
    <row r="249" spans="1:11" x14ac:dyDescent="0.25">
      <c r="A249" s="126" t="s">
        <v>390</v>
      </c>
      <c r="B249" s="126" t="s">
        <v>926</v>
      </c>
      <c r="C249" s="144">
        <f>VLOOKUP(A249,Detail!$A$6:$F$326,6,0)</f>
        <v>10078015.059999999</v>
      </c>
      <c r="D249" s="145">
        <v>9559870.6499999985</v>
      </c>
      <c r="E249" s="153">
        <f>VLOOKUP(A249,Enroll!$A$7:$C$350,3,0)</f>
        <v>601.35</v>
      </c>
      <c r="F249" s="154">
        <f t="shared" si="16"/>
        <v>16758.984052548429</v>
      </c>
      <c r="G249" s="160">
        <v>594.29</v>
      </c>
      <c r="H249" s="161">
        <v>16086.204799003852</v>
      </c>
      <c r="I249" s="160">
        <f t="shared" si="17"/>
        <v>1.0541999394102681</v>
      </c>
      <c r="J249" s="39">
        <f t="shared" si="18"/>
        <v>1.0418233674102073</v>
      </c>
      <c r="K249" s="170" t="str">
        <f t="shared" si="19"/>
        <v xml:space="preserve"> </v>
      </c>
    </row>
    <row r="250" spans="1:11" x14ac:dyDescent="0.25">
      <c r="A250" s="126" t="s">
        <v>150</v>
      </c>
      <c r="B250" s="126" t="s">
        <v>1023</v>
      </c>
      <c r="C250" s="144">
        <f>VLOOKUP(A250,Detail!$A$6:$F$326,6,0)</f>
        <v>54743093.319999993</v>
      </c>
      <c r="D250" s="145">
        <v>49830988.019999996</v>
      </c>
      <c r="E250" s="153">
        <f>VLOOKUP(A250,Enroll!$A$7:$C$350,3,0)</f>
        <v>3445.8600000000006</v>
      </c>
      <c r="F250" s="154">
        <f t="shared" si="16"/>
        <v>15886.627233840023</v>
      </c>
      <c r="G250" s="160">
        <v>3414.19</v>
      </c>
      <c r="H250" s="161">
        <v>14595.259203500682</v>
      </c>
      <c r="I250" s="160">
        <f t="shared" si="17"/>
        <v>1.0985753141805756</v>
      </c>
      <c r="J250" s="39">
        <f t="shared" si="18"/>
        <v>1.0884785951612017</v>
      </c>
      <c r="K250" s="170" t="str">
        <f t="shared" si="19"/>
        <v xml:space="preserve"> </v>
      </c>
    </row>
    <row r="251" spans="1:11" x14ac:dyDescent="0.25">
      <c r="A251" s="126" t="s">
        <v>202</v>
      </c>
      <c r="B251" s="126" t="s">
        <v>927</v>
      </c>
      <c r="C251" s="144">
        <f>VLOOKUP(A251,Detail!$A$6:$F$326,6,0)</f>
        <v>38510043.220000006</v>
      </c>
      <c r="D251" s="145">
        <v>36273429.169999994</v>
      </c>
      <c r="E251" s="153">
        <f>VLOOKUP(A251,Enroll!$A$7:$C$350,3,0)</f>
        <v>2680.96</v>
      </c>
      <c r="F251" s="154">
        <f t="shared" si="16"/>
        <v>14364.273700465506</v>
      </c>
      <c r="G251" s="160">
        <v>2680.62</v>
      </c>
      <c r="H251" s="161">
        <v>13531.731155478954</v>
      </c>
      <c r="I251" s="160">
        <f t="shared" si="17"/>
        <v>1.0616598458204169</v>
      </c>
      <c r="J251" s="39">
        <f t="shared" si="18"/>
        <v>1.0615252058602611</v>
      </c>
      <c r="K251" s="170" t="str">
        <f t="shared" si="19"/>
        <v xml:space="preserve"> </v>
      </c>
    </row>
    <row r="252" spans="1:11" x14ac:dyDescent="0.25">
      <c r="A252" s="126" t="s">
        <v>250</v>
      </c>
      <c r="B252" s="126" t="s">
        <v>928</v>
      </c>
      <c r="C252" s="144">
        <f>VLOOKUP(A252,Detail!$A$6:$F$326,6,0)</f>
        <v>23005079.319999997</v>
      </c>
      <c r="D252" s="145">
        <v>22209165.91</v>
      </c>
      <c r="E252" s="153">
        <f>VLOOKUP(A252,Enroll!$A$7:$C$350,3,0)</f>
        <v>1478.8799999999999</v>
      </c>
      <c r="F252" s="154">
        <f t="shared" si="16"/>
        <v>15555.744428215947</v>
      </c>
      <c r="G252" s="160">
        <v>1515.75</v>
      </c>
      <c r="H252" s="161">
        <v>14652.261857166419</v>
      </c>
      <c r="I252" s="160">
        <f t="shared" si="17"/>
        <v>1.0358371590011684</v>
      </c>
      <c r="J252" s="39">
        <f t="shared" si="18"/>
        <v>1.0616616451341698</v>
      </c>
      <c r="K252" s="170" t="str">
        <f t="shared" si="19"/>
        <v xml:space="preserve"> </v>
      </c>
    </row>
    <row r="253" spans="1:11" x14ac:dyDescent="0.25">
      <c r="A253" s="129" t="s">
        <v>442</v>
      </c>
      <c r="B253" s="129" t="s">
        <v>929</v>
      </c>
      <c r="C253" s="144">
        <f>VLOOKUP(A253,Detail!$A$6:$F$326,6,0)</f>
        <v>12657165.289999999</v>
      </c>
      <c r="D253" s="145">
        <v>10954275.83</v>
      </c>
      <c r="E253" s="153">
        <f>VLOOKUP(A253,Enroll!$A$7:$C$350,3,0)</f>
        <v>826.18999999999983</v>
      </c>
      <c r="F253" s="154">
        <f t="shared" si="16"/>
        <v>15319.920708311649</v>
      </c>
      <c r="G253" s="160">
        <v>761.33</v>
      </c>
      <c r="H253" s="161">
        <v>14388.341231791732</v>
      </c>
      <c r="I253" s="160">
        <f t="shared" si="17"/>
        <v>1.1554543163260842</v>
      </c>
      <c r="J253" s="39">
        <f t="shared" si="18"/>
        <v>1.0647454394855154</v>
      </c>
      <c r="K253" s="170" t="str">
        <f t="shared" si="19"/>
        <v xml:space="preserve"> </v>
      </c>
    </row>
    <row r="254" spans="1:11" x14ac:dyDescent="0.25">
      <c r="A254" s="129" t="s">
        <v>1160</v>
      </c>
      <c r="B254" s="129" t="s">
        <v>1172</v>
      </c>
      <c r="C254" s="144">
        <f>VLOOKUP(A254,Detail!$A$6:$F$326,6,0)</f>
        <v>1746636.6699999997</v>
      </c>
      <c r="D254" s="145">
        <v>1477455.7000000002</v>
      </c>
      <c r="E254" s="153">
        <f>VLOOKUP(A254,Enroll!$A$7:$C$350,3,0)</f>
        <v>28.560000000000002</v>
      </c>
      <c r="F254" s="154">
        <f t="shared" si="16"/>
        <v>61156.746148459366</v>
      </c>
      <c r="G254" s="160">
        <v>27.689999999999998</v>
      </c>
      <c r="H254" s="161">
        <v>53357.013362224643</v>
      </c>
      <c r="I254" s="160">
        <f t="shared" si="17"/>
        <v>1.1821922444104411</v>
      </c>
      <c r="J254" s="39">
        <f t="shared" si="18"/>
        <v>1.1461800857046607</v>
      </c>
      <c r="K254" s="170"/>
    </row>
    <row r="255" spans="1:11" x14ac:dyDescent="0.25">
      <c r="A255" s="129" t="s">
        <v>448</v>
      </c>
      <c r="B255" s="129" t="s">
        <v>930</v>
      </c>
      <c r="C255" s="144">
        <f>VLOOKUP(A255,Detail!$A$6:$F$326,6,0)</f>
        <v>4197949.2300000004</v>
      </c>
      <c r="D255" s="145">
        <v>5410340.7199999997</v>
      </c>
      <c r="E255" s="153">
        <f>VLOOKUP(A255,Enroll!$A$7:$C$350,3,0)</f>
        <v>230.26</v>
      </c>
      <c r="F255" s="154">
        <f t="shared" si="16"/>
        <v>18231.343828715369</v>
      </c>
      <c r="G255" s="160">
        <v>426.99</v>
      </c>
      <c r="H255" s="161">
        <v>12670.88390828825</v>
      </c>
      <c r="I255" s="160">
        <f t="shared" si="17"/>
        <v>0.77591217397487688</v>
      </c>
      <c r="J255" s="39">
        <f t="shared" si="18"/>
        <v>1.4388375712912913</v>
      </c>
      <c r="K255" s="170" t="str">
        <f t="shared" ref="K255:K291" si="20">IF(AND(I255&lt;0.9,J255&lt;0.9),"DNME"," ")</f>
        <v xml:space="preserve"> </v>
      </c>
    </row>
    <row r="256" spans="1:11" x14ac:dyDescent="0.25">
      <c r="A256" s="126" t="s">
        <v>578</v>
      </c>
      <c r="B256" s="126" t="s">
        <v>931</v>
      </c>
      <c r="C256" s="144">
        <f>VLOOKUP(A256,Detail!$A$6:$F$326,6,0)</f>
        <v>1073078.8700000001</v>
      </c>
      <c r="D256" s="145">
        <v>916277.09</v>
      </c>
      <c r="E256" s="153">
        <f>VLOOKUP(A256,Enroll!$A$7:$C$350,3,0)</f>
        <v>41.100000000000009</v>
      </c>
      <c r="F256" s="154">
        <f t="shared" si="16"/>
        <v>26108.974939172746</v>
      </c>
      <c r="G256" s="160">
        <v>39.5</v>
      </c>
      <c r="H256" s="161">
        <v>23196.888354430379</v>
      </c>
      <c r="I256" s="160">
        <f t="shared" si="17"/>
        <v>1.1711292159449278</v>
      </c>
      <c r="J256" s="39">
        <f t="shared" si="18"/>
        <v>1.1255378109446386</v>
      </c>
      <c r="K256" s="170" t="str">
        <f t="shared" si="20"/>
        <v xml:space="preserve"> </v>
      </c>
    </row>
    <row r="257" spans="1:11" x14ac:dyDescent="0.25">
      <c r="A257" s="129" t="s">
        <v>326</v>
      </c>
      <c r="B257" s="126" t="s">
        <v>932</v>
      </c>
      <c r="C257" s="144">
        <f>VLOOKUP(A257,Detail!$A$6:$F$326,6,0)</f>
        <v>13104467.090000002</v>
      </c>
      <c r="D257" s="145">
        <v>11822780.480000002</v>
      </c>
      <c r="E257" s="153">
        <f>VLOOKUP(A257,Enroll!$A$7:$C$350,3,0)</f>
        <v>787.6</v>
      </c>
      <c r="F257" s="154">
        <f t="shared" si="16"/>
        <v>16638.480307262573</v>
      </c>
      <c r="G257" s="160">
        <v>832.59</v>
      </c>
      <c r="H257" s="161">
        <v>14200.002978656965</v>
      </c>
      <c r="I257" s="160">
        <f t="shared" si="17"/>
        <v>1.1084082219210756</v>
      </c>
      <c r="J257" s="39">
        <f t="shared" si="18"/>
        <v>1.1717237195140531</v>
      </c>
      <c r="K257" s="170" t="str">
        <f t="shared" si="20"/>
        <v xml:space="preserve"> </v>
      </c>
    </row>
    <row r="258" spans="1:11" x14ac:dyDescent="0.25">
      <c r="A258" s="126" t="s">
        <v>404</v>
      </c>
      <c r="B258" s="126" t="s">
        <v>933</v>
      </c>
      <c r="C258" s="144">
        <f>VLOOKUP(A258,Detail!$A$6:$F$326,6,0)</f>
        <v>8236621.3299999991</v>
      </c>
      <c r="D258" s="145">
        <v>7648692.5899999989</v>
      </c>
      <c r="E258" s="153">
        <f>VLOOKUP(A258,Enroll!$A$7:$C$350,3,0)</f>
        <v>422.21999999999997</v>
      </c>
      <c r="F258" s="154">
        <f t="shared" si="16"/>
        <v>19507.890033631757</v>
      </c>
      <c r="G258" s="160">
        <v>417.48999999999995</v>
      </c>
      <c r="H258" s="161">
        <v>18320.660590672829</v>
      </c>
      <c r="I258" s="160">
        <f t="shared" si="17"/>
        <v>1.0768665668128257</v>
      </c>
      <c r="J258" s="39">
        <f t="shared" si="18"/>
        <v>1.0648027639114364</v>
      </c>
      <c r="K258" s="170" t="str">
        <f t="shared" si="20"/>
        <v xml:space="preserve"> </v>
      </c>
    </row>
    <row r="259" spans="1:11" x14ac:dyDescent="0.25">
      <c r="A259" s="126" t="s">
        <v>338</v>
      </c>
      <c r="B259" s="126" t="s">
        <v>934</v>
      </c>
      <c r="C259" s="144">
        <f>VLOOKUP(A259,Detail!$A$6:$F$326,6,0)</f>
        <v>15755219.859999996</v>
      </c>
      <c r="D259" s="145">
        <v>13906158.329999996</v>
      </c>
      <c r="E259" s="153">
        <f>VLOOKUP(A259,Enroll!$A$7:$C$350,3,0)</f>
        <v>1021.61</v>
      </c>
      <c r="F259" s="154">
        <f t="shared" si="16"/>
        <v>15421.951488337032</v>
      </c>
      <c r="G259" s="160">
        <v>1017.2499999999999</v>
      </c>
      <c r="H259" s="161">
        <v>13670.344880806093</v>
      </c>
      <c r="I259" s="160">
        <f t="shared" si="17"/>
        <v>1.1329670989011384</v>
      </c>
      <c r="J259" s="39">
        <f t="shared" si="18"/>
        <v>1.1281318520347128</v>
      </c>
      <c r="K259" s="170" t="str">
        <f t="shared" si="20"/>
        <v xml:space="preserve"> </v>
      </c>
    </row>
    <row r="260" spans="1:11" x14ac:dyDescent="0.25">
      <c r="A260" s="126" t="s">
        <v>230</v>
      </c>
      <c r="B260" s="126" t="s">
        <v>935</v>
      </c>
      <c r="C260" s="144">
        <f>VLOOKUP(A260,Detail!$A$6:$F$326,6,0)</f>
        <v>28293698.430000003</v>
      </c>
      <c r="D260" s="145">
        <v>24592158.620000001</v>
      </c>
      <c r="E260" s="153">
        <f>VLOOKUP(A260,Enroll!$A$7:$C$350,3,0)</f>
        <v>1749.79</v>
      </c>
      <c r="F260" s="154">
        <f t="shared" si="16"/>
        <v>16169.768046451291</v>
      </c>
      <c r="G260" s="160">
        <v>1725.26</v>
      </c>
      <c r="H260" s="161">
        <v>14254.175382261225</v>
      </c>
      <c r="I260" s="160">
        <f t="shared" si="17"/>
        <v>1.150517076080896</v>
      </c>
      <c r="J260" s="39">
        <f t="shared" si="18"/>
        <v>1.134388178398166</v>
      </c>
      <c r="K260" s="170" t="str">
        <f t="shared" si="20"/>
        <v xml:space="preserve"> </v>
      </c>
    </row>
    <row r="261" spans="1:11" x14ac:dyDescent="0.25">
      <c r="A261" s="126" t="s">
        <v>474</v>
      </c>
      <c r="B261" s="126" t="s">
        <v>936</v>
      </c>
      <c r="C261" s="144">
        <f>VLOOKUP(A261,Detail!$A$6:$F$326,6,0)</f>
        <v>3205460.97</v>
      </c>
      <c r="D261" s="145">
        <v>3104744.0100000002</v>
      </c>
      <c r="E261" s="153">
        <f>VLOOKUP(A261,Enroll!$A$7:$C$350,3,0)</f>
        <v>258.13</v>
      </c>
      <c r="F261" s="154">
        <f t="shared" si="16"/>
        <v>12418.010188664628</v>
      </c>
      <c r="G261" s="160">
        <v>246.89999999999998</v>
      </c>
      <c r="H261" s="161">
        <v>12574.904860267317</v>
      </c>
      <c r="I261" s="160">
        <f t="shared" si="17"/>
        <v>1.0324396986275206</v>
      </c>
      <c r="J261" s="39">
        <f t="shared" si="18"/>
        <v>0.987523192155638</v>
      </c>
      <c r="K261" s="170" t="str">
        <f t="shared" si="20"/>
        <v xml:space="preserve"> </v>
      </c>
    </row>
    <row r="262" spans="1:11" x14ac:dyDescent="0.25">
      <c r="A262" s="126" t="s">
        <v>554</v>
      </c>
      <c r="B262" s="126" t="s">
        <v>937</v>
      </c>
      <c r="C262" s="144">
        <f>VLOOKUP(A262,Detail!$A$6:$F$326,6,0)</f>
        <v>1322337.71</v>
      </c>
      <c r="D262" s="145">
        <v>1131891.8899999999</v>
      </c>
      <c r="E262" s="153">
        <f>VLOOKUP(A262,Enroll!$A$7:$C$350,3,0)</f>
        <v>96.14</v>
      </c>
      <c r="F262" s="154">
        <f t="shared" si="16"/>
        <v>13754.292802163511</v>
      </c>
      <c r="G262" s="160">
        <v>82</v>
      </c>
      <c r="H262" s="161">
        <v>13803.559634146341</v>
      </c>
      <c r="I262" s="160">
        <f t="shared" si="17"/>
        <v>1.1682544257826604</v>
      </c>
      <c r="J262" s="39">
        <f t="shared" si="18"/>
        <v>0.99643086035134321</v>
      </c>
      <c r="K262" s="170" t="str">
        <f t="shared" si="20"/>
        <v xml:space="preserve"> </v>
      </c>
    </row>
    <row r="263" spans="1:11" x14ac:dyDescent="0.25">
      <c r="A263" s="126" t="s">
        <v>590</v>
      </c>
      <c r="B263" s="126" t="s">
        <v>1006</v>
      </c>
      <c r="C263" s="144">
        <f>VLOOKUP(A263,Detail!$A$6:$F$326,6,0)</f>
        <v>641031.59</v>
      </c>
      <c r="D263" s="145">
        <v>558124.02</v>
      </c>
      <c r="E263" s="153">
        <f>VLOOKUP(A263,Enroll!$A$7:$C$350,3,0)</f>
        <v>38.400000000000006</v>
      </c>
      <c r="F263" s="154">
        <f t="shared" ref="F263:F322" si="21">C263/E263</f>
        <v>16693.530989583331</v>
      </c>
      <c r="G263" s="160">
        <v>34.799999999999997</v>
      </c>
      <c r="H263" s="161">
        <v>16038.046551724139</v>
      </c>
      <c r="I263" s="160">
        <f t="shared" ref="I263:I322" si="22">SUM(C263/D263)</f>
        <v>1.1485468588146412</v>
      </c>
      <c r="J263" s="39">
        <f t="shared" ref="J263:J322" si="23">F263/H263</f>
        <v>1.0408705908007683</v>
      </c>
      <c r="K263" s="170" t="str">
        <f t="shared" si="20"/>
        <v xml:space="preserve"> </v>
      </c>
    </row>
    <row r="264" spans="1:11" x14ac:dyDescent="0.25">
      <c r="A264" s="126" t="s">
        <v>500</v>
      </c>
      <c r="B264" s="126" t="s">
        <v>1024</v>
      </c>
      <c r="C264" s="144">
        <f>VLOOKUP(A264,Detail!$A$6:$F$326,6,0)</f>
        <v>3056187.85</v>
      </c>
      <c r="D264" s="145">
        <v>2477419.8000000003</v>
      </c>
      <c r="E264" s="153">
        <f>VLOOKUP(A264,Enroll!$A$7:$C$350,3,0)</f>
        <v>112.38000000000001</v>
      </c>
      <c r="F264" s="154">
        <f t="shared" si="21"/>
        <v>27195.1223527318</v>
      </c>
      <c r="G264" s="160">
        <v>112.36</v>
      </c>
      <c r="H264" s="161">
        <v>22048.948024207904</v>
      </c>
      <c r="I264" s="160">
        <f t="shared" si="22"/>
        <v>1.233617269870855</v>
      </c>
      <c r="J264" s="39">
        <f t="shared" si="23"/>
        <v>1.2333977259538109</v>
      </c>
      <c r="K264" s="170" t="str">
        <f t="shared" si="20"/>
        <v xml:space="preserve"> </v>
      </c>
    </row>
    <row r="265" spans="1:11" x14ac:dyDescent="0.25">
      <c r="A265" s="126" t="s">
        <v>382</v>
      </c>
      <c r="B265" s="126" t="s">
        <v>938</v>
      </c>
      <c r="C265" s="144">
        <f>VLOOKUP(A265,Detail!$A$6:$F$326,6,0)</f>
        <v>7944756.5499999998</v>
      </c>
      <c r="D265" s="145">
        <v>7449789.9800000004</v>
      </c>
      <c r="E265" s="153">
        <f>VLOOKUP(A265,Enroll!$A$7:$C$350,3,0)</f>
        <v>531.77000000000021</v>
      </c>
      <c r="F265" s="154">
        <f t="shared" si="21"/>
        <v>14940.212027756355</v>
      </c>
      <c r="G265" s="160">
        <v>502.62</v>
      </c>
      <c r="H265" s="161">
        <v>14821.913135171701</v>
      </c>
      <c r="I265" s="160">
        <f t="shared" si="22"/>
        <v>1.0664403387650936</v>
      </c>
      <c r="J265" s="39">
        <f t="shared" si="23"/>
        <v>1.0079813510918463</v>
      </c>
      <c r="K265" s="170" t="str">
        <f t="shared" si="20"/>
        <v xml:space="preserve"> </v>
      </c>
    </row>
    <row r="266" spans="1:11" x14ac:dyDescent="0.25">
      <c r="A266" s="126" t="s">
        <v>454</v>
      </c>
      <c r="B266" s="126" t="s">
        <v>939</v>
      </c>
      <c r="C266" s="144">
        <f>VLOOKUP(A266,Detail!$A$6:$F$326,6,0)</f>
        <v>5845520.2199999997</v>
      </c>
      <c r="D266" s="145">
        <v>4974014.2100000009</v>
      </c>
      <c r="E266" s="153">
        <f>VLOOKUP(A266,Enroll!$A$7:$C$350,3,0)</f>
        <v>270.95</v>
      </c>
      <c r="F266" s="154">
        <f t="shared" si="21"/>
        <v>21574.165787045582</v>
      </c>
      <c r="G266" s="160">
        <v>264.71000000000004</v>
      </c>
      <c r="H266" s="161">
        <v>18790.428053341395</v>
      </c>
      <c r="I266" s="160">
        <f t="shared" si="22"/>
        <v>1.1752118054363176</v>
      </c>
      <c r="J266" s="39">
        <f t="shared" si="23"/>
        <v>1.148146584303553</v>
      </c>
      <c r="K266" s="170" t="str">
        <f t="shared" si="20"/>
        <v xml:space="preserve"> </v>
      </c>
    </row>
    <row r="267" spans="1:11" x14ac:dyDescent="0.25">
      <c r="A267" s="126" t="s">
        <v>298</v>
      </c>
      <c r="B267" s="126" t="s">
        <v>940</v>
      </c>
      <c r="C267" s="144">
        <f>VLOOKUP(A267,Detail!$A$6:$F$326,6,0)</f>
        <v>17173804.690000001</v>
      </c>
      <c r="D267" s="145">
        <v>15429088.519999996</v>
      </c>
      <c r="E267" s="153">
        <f>VLOOKUP(A267,Enroll!$A$7:$C$350,3,0)</f>
        <v>1092.22</v>
      </c>
      <c r="F267" s="154">
        <f t="shared" si="21"/>
        <v>15723.759581403016</v>
      </c>
      <c r="G267" s="160">
        <v>1105.2800000000002</v>
      </c>
      <c r="H267" s="161">
        <v>13959.438802837283</v>
      </c>
      <c r="I267" s="160">
        <f t="shared" si="22"/>
        <v>1.1130796655770308</v>
      </c>
      <c r="J267" s="39">
        <f t="shared" si="23"/>
        <v>1.1263890908141043</v>
      </c>
      <c r="K267" s="170" t="str">
        <f t="shared" si="20"/>
        <v xml:space="preserve"> </v>
      </c>
    </row>
    <row r="268" spans="1:11" x14ac:dyDescent="0.25">
      <c r="A268" s="126" t="s">
        <v>110</v>
      </c>
      <c r="B268" s="126" t="s">
        <v>1025</v>
      </c>
      <c r="C268" s="144">
        <f>VLOOKUP(A268,Detail!$A$6:$F$326,6,0)</f>
        <v>84603420.689999983</v>
      </c>
      <c r="D268" s="145">
        <v>91773272.909999996</v>
      </c>
      <c r="E268" s="153">
        <f>VLOOKUP(A268,Enroll!$A$7:$C$350,3,0)</f>
        <v>5639.05</v>
      </c>
      <c r="F268" s="154">
        <f t="shared" si="21"/>
        <v>15003.133628891388</v>
      </c>
      <c r="G268" s="160">
        <v>5769.8</v>
      </c>
      <c r="H268" s="161">
        <v>15905.797932337342</v>
      </c>
      <c r="I268" s="160">
        <f t="shared" si="22"/>
        <v>0.92187428874819222</v>
      </c>
      <c r="J268" s="39">
        <f t="shared" si="23"/>
        <v>0.94324935427409218</v>
      </c>
      <c r="K268" s="170" t="str">
        <f t="shared" si="20"/>
        <v xml:space="preserve"> </v>
      </c>
    </row>
    <row r="269" spans="1:11" x14ac:dyDescent="0.25">
      <c r="A269" s="126" t="s">
        <v>48</v>
      </c>
      <c r="B269" s="126" t="s">
        <v>941</v>
      </c>
      <c r="C269" s="144">
        <f>VLOOKUP(A269,Detail!$A$6:$F$326,6,0)</f>
        <v>262658441.66999996</v>
      </c>
      <c r="D269" s="145">
        <v>239988580.16</v>
      </c>
      <c r="E269" s="153">
        <f>VLOOKUP(A269,Enroll!$A$7:$C$350,3,0)</f>
        <v>15236.000000000002</v>
      </c>
      <c r="F269" s="154">
        <f t="shared" si="21"/>
        <v>17239.330642557095</v>
      </c>
      <c r="G269" s="160">
        <v>15136.36</v>
      </c>
      <c r="H269" s="161">
        <v>15855.105200986234</v>
      </c>
      <c r="I269" s="160">
        <f t="shared" si="22"/>
        <v>1.0944622510574711</v>
      </c>
      <c r="J269" s="39">
        <f t="shared" si="23"/>
        <v>1.0873047150443858</v>
      </c>
      <c r="K269" s="170" t="str">
        <f t="shared" si="20"/>
        <v xml:space="preserve"> </v>
      </c>
    </row>
    <row r="270" spans="1:11" x14ac:dyDescent="0.25">
      <c r="A270" s="126" t="s">
        <v>92</v>
      </c>
      <c r="B270" s="126" t="s">
        <v>942</v>
      </c>
      <c r="C270" s="144">
        <f>VLOOKUP(A270,Detail!$A$6:$F$326,6,0)</f>
        <v>114067245.48</v>
      </c>
      <c r="D270" s="145">
        <v>107756071.33000003</v>
      </c>
      <c r="E270" s="153">
        <f>VLOOKUP(A270,Enroll!$A$7:$C$350,3,0)</f>
        <v>6791.7500000000009</v>
      </c>
      <c r="F270" s="154">
        <f t="shared" si="21"/>
        <v>16794.971175323</v>
      </c>
      <c r="G270" s="160">
        <v>6699.8399999999992</v>
      </c>
      <c r="H270" s="161">
        <v>16083.379801607209</v>
      </c>
      <c r="I270" s="160">
        <f t="shared" si="22"/>
        <v>1.0585690817427091</v>
      </c>
      <c r="J270" s="39">
        <f t="shared" si="23"/>
        <v>1.0442438954059072</v>
      </c>
      <c r="K270" s="170" t="str">
        <f t="shared" si="20"/>
        <v xml:space="preserve"> </v>
      </c>
    </row>
    <row r="271" spans="1:11" x14ac:dyDescent="0.25">
      <c r="A271" s="126" t="s">
        <v>66</v>
      </c>
      <c r="B271" s="126" t="s">
        <v>943</v>
      </c>
      <c r="C271" s="144">
        <f>VLOOKUP(A271,Detail!$A$6:$F$326,6,0)</f>
        <v>164960685.45000002</v>
      </c>
      <c r="D271" s="145">
        <v>154056800.82999998</v>
      </c>
      <c r="E271" s="153">
        <f>VLOOKUP(A271,Enroll!$A$7:$C$350,3,0)</f>
        <v>9674.6699999999983</v>
      </c>
      <c r="F271" s="154">
        <f t="shared" si="21"/>
        <v>17050.781623559258</v>
      </c>
      <c r="G271" s="160">
        <v>9619.4500000000007</v>
      </c>
      <c r="H271" s="161">
        <v>16015.136086782506</v>
      </c>
      <c r="I271" s="160">
        <f t="shared" si="22"/>
        <v>1.0707783399450983</v>
      </c>
      <c r="J271" s="39">
        <f t="shared" si="23"/>
        <v>1.0646666710270094</v>
      </c>
      <c r="K271" s="170" t="str">
        <f t="shared" si="20"/>
        <v xml:space="preserve"> </v>
      </c>
    </row>
    <row r="272" spans="1:11" x14ac:dyDescent="0.25">
      <c r="A272" s="126" t="s">
        <v>318</v>
      </c>
      <c r="B272" s="126" t="s">
        <v>944</v>
      </c>
      <c r="C272" s="144">
        <f>VLOOKUP(A272,Detail!$A$6:$F$326,6,0)</f>
        <v>15051231.489999998</v>
      </c>
      <c r="D272" s="145">
        <v>13741428.210000001</v>
      </c>
      <c r="E272" s="153">
        <f>VLOOKUP(A272,Enroll!$A$7:$C$350,3,0)</f>
        <v>978.25999999999988</v>
      </c>
      <c r="F272" s="154">
        <f t="shared" si="21"/>
        <v>15385.716977081758</v>
      </c>
      <c r="G272" s="160">
        <v>945.4</v>
      </c>
      <c r="H272" s="161">
        <v>14535.041474508145</v>
      </c>
      <c r="I272" s="160">
        <f t="shared" si="22"/>
        <v>1.0953178417834923</v>
      </c>
      <c r="J272" s="39">
        <f t="shared" si="23"/>
        <v>1.0585258393700179</v>
      </c>
      <c r="K272" s="170" t="str">
        <f t="shared" si="20"/>
        <v xml:space="preserve"> </v>
      </c>
    </row>
    <row r="273" spans="1:11" x14ac:dyDescent="0.25">
      <c r="A273" s="126" t="s">
        <v>352</v>
      </c>
      <c r="B273" s="126" t="s">
        <v>945</v>
      </c>
      <c r="C273" s="144">
        <f>VLOOKUP(A273,Detail!$A$6:$F$326,6,0)</f>
        <v>11303109.469999999</v>
      </c>
      <c r="D273" s="145">
        <v>11038081.43</v>
      </c>
      <c r="E273" s="153">
        <f>VLOOKUP(A273,Enroll!$A$7:$C$350,3,0)</f>
        <v>588.51999999999987</v>
      </c>
      <c r="F273" s="154">
        <f t="shared" si="21"/>
        <v>19205.990399646573</v>
      </c>
      <c r="G273" s="160">
        <v>573.44000000000005</v>
      </c>
      <c r="H273" s="161">
        <v>19248.886422293523</v>
      </c>
      <c r="I273" s="160">
        <f t="shared" si="22"/>
        <v>1.0240103356439905</v>
      </c>
      <c r="J273" s="39">
        <f t="shared" si="23"/>
        <v>0.99777150627283717</v>
      </c>
      <c r="K273" s="170" t="str">
        <f t="shared" si="20"/>
        <v xml:space="preserve"> </v>
      </c>
    </row>
    <row r="274" spans="1:11" x14ac:dyDescent="0.25">
      <c r="A274" s="126" t="s">
        <v>210</v>
      </c>
      <c r="B274" s="126" t="s">
        <v>946</v>
      </c>
      <c r="C274" s="144">
        <f>VLOOKUP(A274,Detail!$A$6:$F$326,6,0)</f>
        <v>36712160.609999999</v>
      </c>
      <c r="D274" s="145">
        <v>33239806.720000003</v>
      </c>
      <c r="E274" s="153">
        <f>VLOOKUP(A274,Enroll!$A$7:$C$350,3,0)</f>
        <v>2133.86</v>
      </c>
      <c r="F274" s="154">
        <f t="shared" si="21"/>
        <v>17204.577905767012</v>
      </c>
      <c r="G274" s="160">
        <v>2138.4899999999998</v>
      </c>
      <c r="H274" s="161">
        <v>15543.587634265303</v>
      </c>
      <c r="I274" s="160">
        <f t="shared" si="22"/>
        <v>1.104463720840793</v>
      </c>
      <c r="J274" s="39">
        <f t="shared" si="23"/>
        <v>1.1068601606388548</v>
      </c>
      <c r="K274" s="170" t="str">
        <f t="shared" si="20"/>
        <v xml:space="preserve"> </v>
      </c>
    </row>
    <row r="275" spans="1:11" x14ac:dyDescent="0.25">
      <c r="A275" s="126" t="s">
        <v>276</v>
      </c>
      <c r="B275" s="126" t="s">
        <v>947</v>
      </c>
      <c r="C275" s="144">
        <f>VLOOKUP(A275,Detail!$A$6:$F$326,6,0)</f>
        <v>21169483.399999999</v>
      </c>
      <c r="D275" s="145">
        <v>20543683.040000003</v>
      </c>
      <c r="E275" s="153">
        <f>VLOOKUP(A275,Enroll!$A$7:$C$350,3,0)</f>
        <v>1276.9899999999998</v>
      </c>
      <c r="F275" s="154">
        <f t="shared" si="21"/>
        <v>16577.642268146188</v>
      </c>
      <c r="G275" s="160">
        <v>1266.6500000000001</v>
      </c>
      <c r="H275" s="161">
        <v>16218.910543559785</v>
      </c>
      <c r="I275" s="160">
        <f t="shared" si="22"/>
        <v>1.0304619360988736</v>
      </c>
      <c r="J275" s="39">
        <f t="shared" si="23"/>
        <v>1.0221181147539438</v>
      </c>
      <c r="K275" s="170" t="str">
        <f t="shared" si="20"/>
        <v xml:space="preserve"> </v>
      </c>
    </row>
    <row r="276" spans="1:11" x14ac:dyDescent="0.25">
      <c r="A276" s="129" t="s">
        <v>1000</v>
      </c>
      <c r="B276" s="129" t="s">
        <v>1026</v>
      </c>
      <c r="C276" s="144">
        <f>VLOOKUP(A276,Detail!$A$6:$F$326,6,0)</f>
        <v>1904588.9300000002</v>
      </c>
      <c r="D276" s="145">
        <v>1952677.52</v>
      </c>
      <c r="E276" s="153">
        <f>VLOOKUP(A276,Enroll!$A$7:$C$350,3,0)</f>
        <v>135.1</v>
      </c>
      <c r="F276" s="154">
        <f t="shared" si="21"/>
        <v>14097.623464100669</v>
      </c>
      <c r="G276" s="160">
        <v>131.4</v>
      </c>
      <c r="H276" s="161">
        <v>14860.559512937594</v>
      </c>
      <c r="I276" s="160">
        <f t="shared" si="22"/>
        <v>0.97537299963385671</v>
      </c>
      <c r="J276" s="39">
        <f t="shared" si="23"/>
        <v>0.94866034161279633</v>
      </c>
      <c r="K276" s="170" t="str">
        <f t="shared" si="20"/>
        <v xml:space="preserve"> </v>
      </c>
    </row>
    <row r="277" spans="1:11" x14ac:dyDescent="0.25">
      <c r="A277" s="126" t="s">
        <v>398</v>
      </c>
      <c r="B277" s="126" t="s">
        <v>948</v>
      </c>
      <c r="C277" s="144">
        <f>VLOOKUP(A277,Detail!$A$6:$F$326,6,0)</f>
        <v>6783705.7599999998</v>
      </c>
      <c r="D277" s="145">
        <v>7350817.4200000009</v>
      </c>
      <c r="E277" s="153">
        <f>VLOOKUP(A277,Enroll!$A$7:$C$350,3,0)</f>
        <v>403.80000000000007</v>
      </c>
      <c r="F277" s="154">
        <f t="shared" si="21"/>
        <v>16799.667558197125</v>
      </c>
      <c r="G277" s="160">
        <v>410.06</v>
      </c>
      <c r="H277" s="161">
        <v>17926.199629322538</v>
      </c>
      <c r="I277" s="160">
        <f t="shared" si="22"/>
        <v>0.92285053109100335</v>
      </c>
      <c r="J277" s="39">
        <f t="shared" si="23"/>
        <v>0.93715722827928882</v>
      </c>
      <c r="K277" s="170" t="str">
        <f t="shared" si="20"/>
        <v xml:space="preserve"> </v>
      </c>
    </row>
    <row r="278" spans="1:11" x14ac:dyDescent="0.25">
      <c r="A278" s="126" t="s">
        <v>602</v>
      </c>
      <c r="B278" s="126" t="s">
        <v>949</v>
      </c>
      <c r="C278" s="144">
        <f>VLOOKUP(A278,Detail!$A$6:$F$326,6,0)</f>
        <v>680661.64</v>
      </c>
      <c r="D278" s="145">
        <v>785796.1399999999</v>
      </c>
      <c r="E278" s="153">
        <f>VLOOKUP(A278,Enroll!$A$7:$C$350,3,0)</f>
        <v>14.3</v>
      </c>
      <c r="F278" s="154">
        <f t="shared" si="21"/>
        <v>47598.716083916086</v>
      </c>
      <c r="G278" s="160">
        <v>19</v>
      </c>
      <c r="H278" s="161">
        <v>41357.691578947364</v>
      </c>
      <c r="I278" s="160">
        <f t="shared" si="22"/>
        <v>0.8662063929201792</v>
      </c>
      <c r="J278" s="39">
        <f t="shared" si="23"/>
        <v>1.1509035989848535</v>
      </c>
      <c r="K278" s="170" t="str">
        <f t="shared" si="20"/>
        <v xml:space="preserve"> </v>
      </c>
    </row>
    <row r="279" spans="1:11" x14ac:dyDescent="0.25">
      <c r="A279" s="126" t="s">
        <v>108</v>
      </c>
      <c r="B279" s="126" t="s">
        <v>950</v>
      </c>
      <c r="C279" s="144">
        <f>VLOOKUP(A279,Detail!$A$6:$F$326,6,0)</f>
        <v>89164774.899999991</v>
      </c>
      <c r="D279" s="145">
        <v>83662750.600000009</v>
      </c>
      <c r="E279" s="153">
        <f>VLOOKUP(A279,Enroll!$A$7:$C$350,3,0)</f>
        <v>5395.0999999999995</v>
      </c>
      <c r="F279" s="154">
        <f t="shared" si="21"/>
        <v>16526.992066875497</v>
      </c>
      <c r="G279" s="160">
        <v>5440.9499999999989</v>
      </c>
      <c r="H279" s="161">
        <v>15376.496861761278</v>
      </c>
      <c r="I279" s="160">
        <f t="shared" si="22"/>
        <v>1.0657643247507569</v>
      </c>
      <c r="J279" s="39">
        <f t="shared" si="23"/>
        <v>1.0748216720269559</v>
      </c>
      <c r="K279" s="170" t="str">
        <f t="shared" si="20"/>
        <v xml:space="preserve"> </v>
      </c>
    </row>
    <row r="280" spans="1:11" x14ac:dyDescent="0.25">
      <c r="A280" s="126" t="s">
        <v>264</v>
      </c>
      <c r="B280" s="126" t="s">
        <v>951</v>
      </c>
      <c r="C280" s="144">
        <f>VLOOKUP(A280,Detail!$A$6:$F$326,6,0)</f>
        <v>26187312.150000002</v>
      </c>
      <c r="D280" s="145">
        <v>24141182.159999996</v>
      </c>
      <c r="E280" s="153">
        <f>VLOOKUP(A280,Enroll!$A$7:$C$350,3,0)</f>
        <v>1495.04</v>
      </c>
      <c r="F280" s="154">
        <f t="shared" si="21"/>
        <v>17516.128096907109</v>
      </c>
      <c r="G280" s="160">
        <v>1517.81</v>
      </c>
      <c r="H280" s="161">
        <v>15905.272833885663</v>
      </c>
      <c r="I280" s="160">
        <f t="shared" si="22"/>
        <v>1.0847568265894734</v>
      </c>
      <c r="J280" s="39">
        <f t="shared" si="23"/>
        <v>1.1012780654469234</v>
      </c>
      <c r="K280" s="170" t="str">
        <f t="shared" si="20"/>
        <v xml:space="preserve"> </v>
      </c>
    </row>
    <row r="281" spans="1:11" x14ac:dyDescent="0.25">
      <c r="A281" s="126" t="s">
        <v>468</v>
      </c>
      <c r="B281" s="126" t="s">
        <v>952</v>
      </c>
      <c r="C281" s="144">
        <f>VLOOKUP(A281,Detail!$A$6:$F$326,6,0)</f>
        <v>4620724.8</v>
      </c>
      <c r="D281" s="145">
        <v>4666372.0100000007</v>
      </c>
      <c r="E281" s="153">
        <f>VLOOKUP(A281,Enroll!$A$7:$C$350,3,0)</f>
        <v>248.06</v>
      </c>
      <c r="F281" s="154">
        <f t="shared" si="21"/>
        <v>18627.448198016609</v>
      </c>
      <c r="G281" s="160">
        <v>236.85999999999999</v>
      </c>
      <c r="H281" s="161">
        <v>19700.971079962852</v>
      </c>
      <c r="I281" s="160">
        <f t="shared" si="22"/>
        <v>0.99021783734726265</v>
      </c>
      <c r="J281" s="39">
        <f t="shared" si="23"/>
        <v>0.94550913873285747</v>
      </c>
      <c r="K281" s="170" t="str">
        <f t="shared" si="20"/>
        <v xml:space="preserve"> </v>
      </c>
    </row>
    <row r="282" spans="1:11" x14ac:dyDescent="0.25">
      <c r="A282" s="126" t="s">
        <v>332</v>
      </c>
      <c r="B282" s="126" t="s">
        <v>1027</v>
      </c>
      <c r="C282" s="144">
        <f>VLOOKUP(A282,Detail!$A$6:$F$326,6,0)</f>
        <v>13869963.909999998</v>
      </c>
      <c r="D282" s="145">
        <v>12622236.720000001</v>
      </c>
      <c r="E282" s="153">
        <f>VLOOKUP(A282,Enroll!$A$7:$C$350,3,0)</f>
        <v>791.49999999999989</v>
      </c>
      <c r="F282" s="154">
        <f t="shared" si="21"/>
        <v>17523.643600758056</v>
      </c>
      <c r="G282" s="160">
        <v>786.7299999999999</v>
      </c>
      <c r="H282" s="161">
        <v>16043.92449760401</v>
      </c>
      <c r="I282" s="160">
        <f t="shared" si="22"/>
        <v>1.0988515124282978</v>
      </c>
      <c r="J282" s="39">
        <f t="shared" si="23"/>
        <v>1.0922292487336889</v>
      </c>
      <c r="K282" s="170" t="str">
        <f t="shared" si="20"/>
        <v xml:space="preserve"> </v>
      </c>
    </row>
    <row r="283" spans="1:11" x14ac:dyDescent="0.25">
      <c r="A283" s="126" t="s">
        <v>430</v>
      </c>
      <c r="B283" s="126" t="s">
        <v>953</v>
      </c>
      <c r="C283" s="144">
        <f>VLOOKUP(A283,Detail!$A$6:$F$326,6,0)</f>
        <v>5019848.2200000007</v>
      </c>
      <c r="D283" s="145">
        <v>4781274.0599999996</v>
      </c>
      <c r="E283" s="153">
        <f>VLOOKUP(A283,Enroll!$A$7:$C$350,3,0)</f>
        <v>282.31</v>
      </c>
      <c r="F283" s="154">
        <f t="shared" si="21"/>
        <v>17781.333356948038</v>
      </c>
      <c r="G283" s="160">
        <v>283.07</v>
      </c>
      <c r="H283" s="161">
        <v>16890.783410463842</v>
      </c>
      <c r="I283" s="160">
        <f t="shared" si="22"/>
        <v>1.0498976124367991</v>
      </c>
      <c r="J283" s="39">
        <f t="shared" si="23"/>
        <v>1.0527240166925886</v>
      </c>
      <c r="K283" s="170" t="str">
        <f t="shared" si="20"/>
        <v xml:space="preserve"> </v>
      </c>
    </row>
    <row r="284" spans="1:11" x14ac:dyDescent="0.25">
      <c r="A284" s="126" t="s">
        <v>434</v>
      </c>
      <c r="B284" s="126" t="s">
        <v>954</v>
      </c>
      <c r="C284" s="144">
        <f>VLOOKUP(A284,Detail!$A$6:$F$326,6,0)</f>
        <v>5984095.21</v>
      </c>
      <c r="D284" s="145">
        <v>6191102.1600000011</v>
      </c>
      <c r="E284" s="153">
        <f>VLOOKUP(A284,Enroll!$A$7:$C$350,3,0)</f>
        <v>271.04000000000002</v>
      </c>
      <c r="F284" s="154">
        <f t="shared" si="21"/>
        <v>22078.27335448642</v>
      </c>
      <c r="G284" s="160">
        <v>265.58</v>
      </c>
      <c r="H284" s="161">
        <v>23311.627984034949</v>
      </c>
      <c r="I284" s="160">
        <f t="shared" si="22"/>
        <v>0.96656379677637216</v>
      </c>
      <c r="J284" s="39">
        <f t="shared" si="23"/>
        <v>0.94709272855618687</v>
      </c>
      <c r="K284" s="170" t="str">
        <f t="shared" si="20"/>
        <v xml:space="preserve"> </v>
      </c>
    </row>
    <row r="285" spans="1:11" x14ac:dyDescent="0.25">
      <c r="A285" s="126" t="s">
        <v>58</v>
      </c>
      <c r="B285" s="126" t="s">
        <v>955</v>
      </c>
      <c r="C285" s="144">
        <f>VLOOKUP(A285,Detail!$A$6:$F$326,6,0)</f>
        <v>206341832.12</v>
      </c>
      <c r="D285" s="145">
        <v>192400565.25999999</v>
      </c>
      <c r="E285" s="153">
        <f>VLOOKUP(A285,Enroll!$A$7:$C$350,3,0)</f>
        <v>11164.02</v>
      </c>
      <c r="F285" s="154">
        <f t="shared" si="21"/>
        <v>18482.753714163893</v>
      </c>
      <c r="G285" s="160">
        <v>11236.68</v>
      </c>
      <c r="H285" s="161">
        <v>17122.54556150037</v>
      </c>
      <c r="I285" s="160">
        <f t="shared" si="22"/>
        <v>1.0724595940825876</v>
      </c>
      <c r="J285" s="39">
        <f t="shared" si="23"/>
        <v>1.0794395989648828</v>
      </c>
      <c r="K285" s="170" t="str">
        <f t="shared" si="20"/>
        <v xml:space="preserve"> </v>
      </c>
    </row>
    <row r="286" spans="1:11" x14ac:dyDescent="0.25">
      <c r="A286" s="126" t="s">
        <v>124</v>
      </c>
      <c r="B286" s="126" t="s">
        <v>956</v>
      </c>
      <c r="C286" s="144">
        <f>VLOOKUP(A286,Detail!$A$6:$F$326,6,0)</f>
        <v>81303488.299999997</v>
      </c>
      <c r="D286" s="145">
        <v>79986095.329999998</v>
      </c>
      <c r="E286" s="153">
        <f>VLOOKUP(A286,Enroll!$A$7:$C$350,3,0)</f>
        <v>4749.4399999999996</v>
      </c>
      <c r="F286" s="154">
        <f t="shared" si="21"/>
        <v>17118.542038640346</v>
      </c>
      <c r="G286" s="160">
        <v>4670.9999999999991</v>
      </c>
      <c r="H286" s="161">
        <v>17123.976735174485</v>
      </c>
      <c r="I286" s="160">
        <f t="shared" si="22"/>
        <v>1.0164702747966983</v>
      </c>
      <c r="J286" s="39">
        <f t="shared" si="23"/>
        <v>0.99968262649393957</v>
      </c>
      <c r="K286" s="170" t="str">
        <f t="shared" si="20"/>
        <v xml:space="preserve"> </v>
      </c>
    </row>
    <row r="287" spans="1:11" x14ac:dyDescent="0.25">
      <c r="A287" s="126" t="s">
        <v>212</v>
      </c>
      <c r="B287" s="126" t="s">
        <v>957</v>
      </c>
      <c r="C287" s="144">
        <f>VLOOKUP(A287,Detail!$A$6:$F$326,6,0)</f>
        <v>36493963.560000002</v>
      </c>
      <c r="D287" s="145">
        <v>35739366.940000005</v>
      </c>
      <c r="E287" s="153">
        <f>VLOOKUP(A287,Enroll!$A$7:$C$350,3,0)</f>
        <v>1994.1299999999994</v>
      </c>
      <c r="F287" s="154">
        <f t="shared" si="21"/>
        <v>18300.694317822818</v>
      </c>
      <c r="G287" s="160">
        <v>2040.14</v>
      </c>
      <c r="H287" s="161">
        <v>17518.095297381555</v>
      </c>
      <c r="I287" s="160">
        <f t="shared" si="22"/>
        <v>1.0211138776259476</v>
      </c>
      <c r="J287" s="39">
        <f t="shared" si="23"/>
        <v>1.0446737506079351</v>
      </c>
      <c r="K287" s="170" t="str">
        <f t="shared" si="20"/>
        <v xml:space="preserve"> </v>
      </c>
    </row>
    <row r="288" spans="1:11" x14ac:dyDescent="0.25">
      <c r="A288" s="126" t="s">
        <v>172</v>
      </c>
      <c r="B288" s="126" t="s">
        <v>958</v>
      </c>
      <c r="C288" s="144">
        <f>VLOOKUP(A288,Detail!$A$6:$F$326,6,0)</f>
        <v>58785743.060000002</v>
      </c>
      <c r="D288" s="145">
        <v>52381989.640000001</v>
      </c>
      <c r="E288" s="153">
        <f>VLOOKUP(A288,Enroll!$A$7:$C$350,3,0)</f>
        <v>3608.3899999999994</v>
      </c>
      <c r="F288" s="154">
        <f t="shared" si="21"/>
        <v>16291.405047680548</v>
      </c>
      <c r="G288" s="160">
        <v>3541.65</v>
      </c>
      <c r="H288" s="161">
        <v>14790.278440839722</v>
      </c>
      <c r="I288" s="160">
        <f t="shared" si="22"/>
        <v>1.1222510535397832</v>
      </c>
      <c r="J288" s="39">
        <f t="shared" si="23"/>
        <v>1.1014941410903958</v>
      </c>
      <c r="K288" s="170" t="str">
        <f t="shared" si="20"/>
        <v xml:space="preserve"> </v>
      </c>
    </row>
    <row r="289" spans="1:13" x14ac:dyDescent="0.25">
      <c r="A289" s="126" t="s">
        <v>232</v>
      </c>
      <c r="B289" s="126" t="s">
        <v>959</v>
      </c>
      <c r="C289" s="144">
        <f>VLOOKUP(A289,Detail!$A$6:$F$326,6,0)</f>
        <v>32113550.709999997</v>
      </c>
      <c r="D289" s="145">
        <v>29717416.620000001</v>
      </c>
      <c r="E289" s="153">
        <f>VLOOKUP(A289,Enroll!$A$7:$C$350,3,0)</f>
        <v>1898.3600000000001</v>
      </c>
      <c r="F289" s="154">
        <f t="shared" si="21"/>
        <v>16916.470379696155</v>
      </c>
      <c r="G289" s="160">
        <v>1870.15</v>
      </c>
      <c r="H289" s="161">
        <v>15890.392011335989</v>
      </c>
      <c r="I289" s="160">
        <f t="shared" si="22"/>
        <v>1.0806306322194703</v>
      </c>
      <c r="J289" s="39">
        <f t="shared" si="23"/>
        <v>1.0645722501765957</v>
      </c>
      <c r="K289" s="170" t="str">
        <f t="shared" si="20"/>
        <v xml:space="preserve"> </v>
      </c>
    </row>
    <row r="290" spans="1:13" x14ac:dyDescent="0.25">
      <c r="A290" s="126" t="s">
        <v>236</v>
      </c>
      <c r="B290" s="126" t="s">
        <v>960</v>
      </c>
      <c r="C290" s="144">
        <f>VLOOKUP(A290,Detail!$A$6:$F$326,6,0)</f>
        <v>33701850.549999997</v>
      </c>
      <c r="D290" s="145">
        <v>30683003.77</v>
      </c>
      <c r="E290" s="153">
        <f>VLOOKUP(A290,Enroll!$A$7:$C$350,3,0)</f>
        <v>2024.4099999999999</v>
      </c>
      <c r="F290" s="154">
        <f t="shared" si="21"/>
        <v>16647.739613023052</v>
      </c>
      <c r="G290" s="160">
        <v>1953.8400000000001</v>
      </c>
      <c r="H290" s="161">
        <v>15703.949028579616</v>
      </c>
      <c r="I290" s="160">
        <f t="shared" si="22"/>
        <v>1.0983882413413397</v>
      </c>
      <c r="J290" s="39">
        <f t="shared" si="23"/>
        <v>1.060098933250855</v>
      </c>
      <c r="K290" s="170" t="str">
        <f t="shared" si="20"/>
        <v xml:space="preserve"> </v>
      </c>
    </row>
    <row r="291" spans="1:13" x14ac:dyDescent="0.25">
      <c r="A291" s="126" t="s">
        <v>224</v>
      </c>
      <c r="B291" s="126" t="s">
        <v>961</v>
      </c>
      <c r="C291" s="144">
        <f>VLOOKUP(A291,Detail!$A$6:$F$326,6,0)</f>
        <v>30268218.330000002</v>
      </c>
      <c r="D291" s="145">
        <v>30213068.039999995</v>
      </c>
      <c r="E291" s="153">
        <f>VLOOKUP(A291,Enroll!$A$7:$C$350,3,0)</f>
        <v>1572.8199999999997</v>
      </c>
      <c r="F291" s="154">
        <f t="shared" si="21"/>
        <v>19244.553305527657</v>
      </c>
      <c r="G291" s="160">
        <v>1598.2300000000002</v>
      </c>
      <c r="H291" s="161">
        <v>18904.080163681065</v>
      </c>
      <c r="I291" s="160">
        <f t="shared" si="22"/>
        <v>1.0018253786714739</v>
      </c>
      <c r="J291" s="39">
        <f t="shared" si="23"/>
        <v>1.0180105637988521</v>
      </c>
      <c r="K291" s="170" t="str">
        <f t="shared" si="20"/>
        <v xml:space="preserve"> </v>
      </c>
    </row>
    <row r="292" spans="1:13" x14ac:dyDescent="0.25">
      <c r="A292" s="126" t="s">
        <v>1187</v>
      </c>
      <c r="B292" s="126" t="s">
        <v>1240</v>
      </c>
      <c r="C292" s="144">
        <f>VLOOKUP(A292,Detail!$A$6:$F$326,6,0)</f>
        <v>2313080.7400000002</v>
      </c>
      <c r="D292" s="145">
        <v>1938459.0400000003</v>
      </c>
      <c r="E292" s="153">
        <f>VLOOKUP(A292,Enroll!$A$7:$C$350,3,0)</f>
        <v>100.14000000000001</v>
      </c>
      <c r="F292" s="154">
        <f t="shared" si="21"/>
        <v>23098.469542640301</v>
      </c>
      <c r="G292" s="160">
        <v>74.95</v>
      </c>
      <c r="H292" s="161">
        <v>25863.362775183457</v>
      </c>
      <c r="I292" s="160">
        <f t="shared" si="22"/>
        <v>1.1932574752778886</v>
      </c>
      <c r="J292" s="39">
        <f t="shared" si="23"/>
        <v>0.89309614312040897</v>
      </c>
      <c r="K292" s="170"/>
    </row>
    <row r="293" spans="1:13" x14ac:dyDescent="0.25">
      <c r="A293" s="126" t="s">
        <v>416</v>
      </c>
      <c r="B293" s="126" t="s">
        <v>962</v>
      </c>
      <c r="C293" s="144">
        <f>VLOOKUP(A293,Detail!$A$6:$F$326,6,0)</f>
        <v>0</v>
      </c>
      <c r="D293" s="145">
        <v>7176709.9499999993</v>
      </c>
      <c r="E293" s="153">
        <f>VLOOKUP(A293,Enroll!$A$7:$C$350,3,0)</f>
        <v>435.65000000000003</v>
      </c>
      <c r="F293" s="154">
        <f t="shared" si="21"/>
        <v>0</v>
      </c>
      <c r="G293" s="160">
        <v>418.22999999999996</v>
      </c>
      <c r="H293" s="161">
        <v>17159.720608277741</v>
      </c>
      <c r="I293" s="160">
        <f t="shared" si="22"/>
        <v>0</v>
      </c>
      <c r="J293" s="39">
        <f t="shared" si="23"/>
        <v>0</v>
      </c>
      <c r="K293" s="170" t="str">
        <f t="shared" ref="K293:K306" si="24">IF(AND(I293&lt;0.9,J293&lt;0.9),"DNME"," ")</f>
        <v>DNME</v>
      </c>
      <c r="M293" s="122" t="s">
        <v>1292</v>
      </c>
    </row>
    <row r="294" spans="1:13" x14ac:dyDescent="0.25">
      <c r="A294" s="126" t="s">
        <v>564</v>
      </c>
      <c r="B294" s="126" t="s">
        <v>1028</v>
      </c>
      <c r="C294" s="144">
        <f>VLOOKUP(A294,Detail!$A$6:$F$326,6,0)</f>
        <v>3098449.65</v>
      </c>
      <c r="D294" s="145">
        <v>3229303.19</v>
      </c>
      <c r="E294" s="153">
        <f>VLOOKUP(A294,Enroll!$A$7:$C$350,3,0)</f>
        <v>77.660000000000011</v>
      </c>
      <c r="F294" s="154">
        <f t="shared" si="21"/>
        <v>39897.626191089359</v>
      </c>
      <c r="G294" s="160">
        <v>77.070000000000007</v>
      </c>
      <c r="H294" s="161">
        <v>41900.910730504729</v>
      </c>
      <c r="I294" s="160">
        <f t="shared" si="22"/>
        <v>0.95947932656022927</v>
      </c>
      <c r="J294" s="39">
        <f t="shared" si="23"/>
        <v>0.95218995233063186</v>
      </c>
      <c r="K294" s="170" t="str">
        <f t="shared" si="24"/>
        <v xml:space="preserve"> </v>
      </c>
    </row>
    <row r="295" spans="1:13" x14ac:dyDescent="0.25">
      <c r="A295" s="126" t="s">
        <v>586</v>
      </c>
      <c r="B295" s="126" t="s">
        <v>963</v>
      </c>
      <c r="C295" s="144">
        <f>VLOOKUP(A295,Detail!$A$6:$F$326,6,0)</f>
        <v>1030290.2599999999</v>
      </c>
      <c r="D295" s="145">
        <v>1080311.9600000002</v>
      </c>
      <c r="E295" s="153">
        <f>VLOOKUP(A295,Enroll!$A$7:$C$350,3,0)</f>
        <v>30.89</v>
      </c>
      <c r="F295" s="154">
        <f t="shared" si="21"/>
        <v>33353.52088054386</v>
      </c>
      <c r="G295" s="160">
        <v>24.2</v>
      </c>
      <c r="H295" s="161">
        <v>44640.990082644639</v>
      </c>
      <c r="I295" s="160">
        <f t="shared" si="22"/>
        <v>0.95369698582250229</v>
      </c>
      <c r="J295" s="39">
        <f t="shared" si="23"/>
        <v>0.74715011514744423</v>
      </c>
      <c r="K295" s="170" t="str">
        <f t="shared" si="24"/>
        <v xml:space="preserve"> </v>
      </c>
    </row>
    <row r="296" spans="1:13" x14ac:dyDescent="0.25">
      <c r="A296" s="126" t="s">
        <v>470</v>
      </c>
      <c r="B296" s="126" t="s">
        <v>964</v>
      </c>
      <c r="C296" s="144">
        <f>VLOOKUP(A296,Detail!$A$6:$F$326,6,0)</f>
        <v>4525766.9799999986</v>
      </c>
      <c r="D296" s="145">
        <v>4265988.03</v>
      </c>
      <c r="E296" s="153">
        <f>VLOOKUP(A296,Enroll!$A$7:$C$350,3,0)</f>
        <v>194.01</v>
      </c>
      <c r="F296" s="154">
        <f t="shared" si="21"/>
        <v>23327.493325086329</v>
      </c>
      <c r="G296" s="160">
        <v>197.38</v>
      </c>
      <c r="H296" s="161">
        <v>21613.071385145406</v>
      </c>
      <c r="I296" s="160">
        <f t="shared" si="22"/>
        <v>1.0608953771490068</v>
      </c>
      <c r="J296" s="39">
        <f t="shared" si="23"/>
        <v>1.0793233830301066</v>
      </c>
      <c r="K296" s="170" t="str">
        <f t="shared" si="24"/>
        <v xml:space="preserve"> </v>
      </c>
    </row>
    <row r="297" spans="1:13" x14ac:dyDescent="0.25">
      <c r="A297" s="126" t="s">
        <v>186</v>
      </c>
      <c r="B297" s="126" t="s">
        <v>965</v>
      </c>
      <c r="C297" s="144">
        <f>VLOOKUP(A297,Detail!$A$6:$F$326,6,0)</f>
        <v>40983491.839999996</v>
      </c>
      <c r="D297" s="145">
        <v>40347901.539999999</v>
      </c>
      <c r="E297" s="153">
        <f>VLOOKUP(A297,Enroll!$A$7:$C$350,3,0)</f>
        <v>2695.0699999999997</v>
      </c>
      <c r="F297" s="154">
        <f t="shared" si="21"/>
        <v>15206.837610896935</v>
      </c>
      <c r="G297" s="160">
        <v>2656.82</v>
      </c>
      <c r="H297" s="161">
        <v>15186.539374139007</v>
      </c>
      <c r="I297" s="160">
        <f t="shared" si="22"/>
        <v>1.0157527473732404</v>
      </c>
      <c r="J297" s="39">
        <f t="shared" si="23"/>
        <v>1.0013365939571786</v>
      </c>
      <c r="K297" s="170" t="str">
        <f t="shared" si="24"/>
        <v xml:space="preserve"> </v>
      </c>
    </row>
    <row r="298" spans="1:13" x14ac:dyDescent="0.25">
      <c r="A298" s="126" t="s">
        <v>370</v>
      </c>
      <c r="B298" s="126" t="s">
        <v>966</v>
      </c>
      <c r="C298" s="144">
        <f>VLOOKUP(A298,Detail!$A$6:$F$326,6,0)</f>
        <v>9056235.3499999996</v>
      </c>
      <c r="D298" s="145">
        <v>7974275.3299999991</v>
      </c>
      <c r="E298" s="153">
        <f>VLOOKUP(A298,Enroll!$A$7:$C$350,3,0)</f>
        <v>540.77</v>
      </c>
      <c r="F298" s="154">
        <f t="shared" si="21"/>
        <v>16746.926327274072</v>
      </c>
      <c r="G298" s="160">
        <v>531.03000000000009</v>
      </c>
      <c r="H298" s="161">
        <v>15016.619268214597</v>
      </c>
      <c r="I298" s="160">
        <f t="shared" si="22"/>
        <v>1.1356812970740504</v>
      </c>
      <c r="J298" s="39">
        <f t="shared" si="23"/>
        <v>1.1152261389966771</v>
      </c>
      <c r="K298" s="170" t="str">
        <f t="shared" si="24"/>
        <v xml:space="preserve"> </v>
      </c>
    </row>
    <row r="299" spans="1:13" x14ac:dyDescent="0.25">
      <c r="A299" s="126" t="s">
        <v>476</v>
      </c>
      <c r="B299" s="126" t="s">
        <v>967</v>
      </c>
      <c r="C299" s="144">
        <f>VLOOKUP(A299,Detail!$A$6:$F$326,6,0)</f>
        <v>3855154.15</v>
      </c>
      <c r="D299" s="145">
        <v>3523697.54</v>
      </c>
      <c r="E299" s="153">
        <f>VLOOKUP(A299,Enroll!$A$7:$C$350,3,0)</f>
        <v>178.06</v>
      </c>
      <c r="F299" s="154">
        <f t="shared" si="21"/>
        <v>21650.871335504886</v>
      </c>
      <c r="G299" s="160">
        <v>171.75000000000003</v>
      </c>
      <c r="H299" s="161">
        <v>20516.434002911206</v>
      </c>
      <c r="I299" s="160">
        <f t="shared" si="22"/>
        <v>1.0940650002553851</v>
      </c>
      <c r="J299" s="39">
        <f t="shared" si="23"/>
        <v>1.0552940794892869</v>
      </c>
      <c r="K299" s="170" t="str">
        <f t="shared" si="24"/>
        <v xml:space="preserve"> </v>
      </c>
    </row>
    <row r="300" spans="1:13" x14ac:dyDescent="0.25">
      <c r="A300" s="126" t="s">
        <v>522</v>
      </c>
      <c r="B300" s="126" t="s">
        <v>968</v>
      </c>
      <c r="C300" s="144">
        <f>VLOOKUP(A300,Detail!$A$6:$F$326,6,0)</f>
        <v>3388059.24</v>
      </c>
      <c r="D300" s="145">
        <v>2838916.83</v>
      </c>
      <c r="E300" s="153">
        <f>VLOOKUP(A300,Enroll!$A$7:$C$350,3,0)</f>
        <v>117.15</v>
      </c>
      <c r="F300" s="154">
        <f t="shared" si="21"/>
        <v>28920.693469910373</v>
      </c>
      <c r="G300" s="160">
        <v>111.51</v>
      </c>
      <c r="H300" s="161">
        <v>25458.8541834813</v>
      </c>
      <c r="I300" s="160">
        <f t="shared" si="22"/>
        <v>1.1934337787556812</v>
      </c>
      <c r="J300" s="39">
        <f t="shared" si="23"/>
        <v>1.1359778119423478</v>
      </c>
      <c r="K300" s="170" t="str">
        <f t="shared" si="24"/>
        <v xml:space="preserve"> </v>
      </c>
    </row>
    <row r="301" spans="1:13" x14ac:dyDescent="0.25">
      <c r="A301" s="126" t="s">
        <v>584</v>
      </c>
      <c r="B301" s="126" t="s">
        <v>969</v>
      </c>
      <c r="C301" s="144">
        <f>VLOOKUP(A301,Detail!$A$6:$F$326,6,0)</f>
        <v>986071.07</v>
      </c>
      <c r="D301" s="145">
        <v>882969.55</v>
      </c>
      <c r="E301" s="153">
        <f>VLOOKUP(A301,Enroll!$A$7:$C$350,3,0)</f>
        <v>32.1</v>
      </c>
      <c r="F301" s="154">
        <f t="shared" si="21"/>
        <v>30718.724922118377</v>
      </c>
      <c r="G301" s="160">
        <v>30.3</v>
      </c>
      <c r="H301" s="161">
        <v>29140.909240924095</v>
      </c>
      <c r="I301" s="160">
        <f t="shared" si="22"/>
        <v>1.1167667899759397</v>
      </c>
      <c r="J301" s="39">
        <f t="shared" si="23"/>
        <v>1.0541443531548589</v>
      </c>
      <c r="K301" s="170" t="str">
        <f t="shared" si="24"/>
        <v xml:space="preserve"> </v>
      </c>
    </row>
    <row r="302" spans="1:13" x14ac:dyDescent="0.25">
      <c r="A302" s="126" t="s">
        <v>504</v>
      </c>
      <c r="B302" s="126" t="s">
        <v>970</v>
      </c>
      <c r="C302" s="144">
        <f>VLOOKUP(A302,Detail!$A$6:$F$326,6,0)</f>
        <v>3496699.9700000007</v>
      </c>
      <c r="D302" s="145">
        <v>3083886.6700000004</v>
      </c>
      <c r="E302" s="153">
        <f>VLOOKUP(A302,Enroll!$A$7:$C$350,3,0)</f>
        <v>155.09</v>
      </c>
      <c r="F302" s="154">
        <f t="shared" si="21"/>
        <v>22546.26326649043</v>
      </c>
      <c r="G302" s="160">
        <v>145.03</v>
      </c>
      <c r="H302" s="161">
        <v>21263.784527339172</v>
      </c>
      <c r="I302" s="160">
        <f t="shared" si="22"/>
        <v>1.1338613717604611</v>
      </c>
      <c r="J302" s="39">
        <f t="shared" si="23"/>
        <v>1.0603128167284781</v>
      </c>
      <c r="K302" s="170" t="str">
        <f t="shared" si="24"/>
        <v xml:space="preserve"> </v>
      </c>
    </row>
    <row r="303" spans="1:13" x14ac:dyDescent="0.25">
      <c r="A303" s="126" t="s">
        <v>532</v>
      </c>
      <c r="B303" s="126" t="s">
        <v>971</v>
      </c>
      <c r="C303" s="144">
        <f>VLOOKUP(A303,Detail!$A$6:$F$326,6,0)</f>
        <v>2888849.9700000007</v>
      </c>
      <c r="D303" s="145">
        <v>2918020.0900000003</v>
      </c>
      <c r="E303" s="153">
        <f>VLOOKUP(A303,Enroll!$A$7:$C$350,3,0)</f>
        <v>72.709999999999994</v>
      </c>
      <c r="F303" s="154">
        <f t="shared" si="21"/>
        <v>39731.123229266967</v>
      </c>
      <c r="G303" s="160">
        <v>77.47</v>
      </c>
      <c r="H303" s="161">
        <v>37666.4526913644</v>
      </c>
      <c r="I303" s="160">
        <f t="shared" si="22"/>
        <v>0.99000345470548157</v>
      </c>
      <c r="J303" s="39">
        <f t="shared" si="23"/>
        <v>1.054814573456659</v>
      </c>
      <c r="K303" s="170" t="str">
        <f t="shared" si="24"/>
        <v xml:space="preserve"> </v>
      </c>
    </row>
    <row r="304" spans="1:13" x14ac:dyDescent="0.25">
      <c r="A304" s="126" t="s">
        <v>486</v>
      </c>
      <c r="B304" s="126" t="s">
        <v>972</v>
      </c>
      <c r="C304" s="144">
        <f>VLOOKUP(A304,Detail!$A$6:$F$326,6,0)</f>
        <v>4139914.6899999995</v>
      </c>
      <c r="D304" s="145">
        <v>3985144.5400000005</v>
      </c>
      <c r="E304" s="153">
        <f>VLOOKUP(A304,Enroll!$A$7:$C$350,3,0)</f>
        <v>145.43</v>
      </c>
      <c r="F304" s="154">
        <f t="shared" si="21"/>
        <v>28466.717252286318</v>
      </c>
      <c r="G304" s="160">
        <v>147.32</v>
      </c>
      <c r="H304" s="161">
        <v>27050.940401846325</v>
      </c>
      <c r="I304" s="160">
        <f t="shared" si="22"/>
        <v>1.0388367720283489</v>
      </c>
      <c r="J304" s="39">
        <f t="shared" si="23"/>
        <v>1.0523374355718651</v>
      </c>
      <c r="K304" s="170" t="str">
        <f t="shared" si="24"/>
        <v xml:space="preserve"> </v>
      </c>
    </row>
    <row r="305" spans="1:11" x14ac:dyDescent="0.25">
      <c r="A305" s="126" t="s">
        <v>492</v>
      </c>
      <c r="B305" s="126" t="s">
        <v>1029</v>
      </c>
      <c r="C305" s="144">
        <f>VLOOKUP(A305,Detail!$A$6:$F$326,6,0)</f>
        <v>3672176.16</v>
      </c>
      <c r="D305" s="145">
        <v>3773831.73</v>
      </c>
      <c r="E305" s="153">
        <f>VLOOKUP(A305,Enroll!$A$7:$C$350,3,0)</f>
        <v>153.47000000000003</v>
      </c>
      <c r="F305" s="154">
        <f t="shared" si="21"/>
        <v>23927.648139701567</v>
      </c>
      <c r="G305" s="160">
        <v>132.85999999999999</v>
      </c>
      <c r="H305" s="161">
        <v>28404.574213457778</v>
      </c>
      <c r="I305" s="160">
        <f t="shared" si="22"/>
        <v>0.97306303585507248</v>
      </c>
      <c r="J305" s="39">
        <f t="shared" si="23"/>
        <v>0.84238714370042933</v>
      </c>
      <c r="K305" s="170" t="str">
        <f t="shared" si="24"/>
        <v xml:space="preserve"> </v>
      </c>
    </row>
    <row r="306" spans="1:11" x14ac:dyDescent="0.25">
      <c r="A306" s="126" t="s">
        <v>520</v>
      </c>
      <c r="B306" s="126" t="s">
        <v>973</v>
      </c>
      <c r="C306" s="144">
        <f>VLOOKUP(A306,Detail!$A$6:$F$326,6,0)</f>
        <v>3918899.3199999994</v>
      </c>
      <c r="D306" s="145">
        <v>3727782.1300000004</v>
      </c>
      <c r="E306" s="153">
        <f>VLOOKUP(A306,Enroll!$A$7:$C$350,3,0)</f>
        <v>147</v>
      </c>
      <c r="F306" s="154">
        <f t="shared" si="21"/>
        <v>26659.179047619044</v>
      </c>
      <c r="G306" s="160">
        <v>155.01999999999998</v>
      </c>
      <c r="H306" s="161">
        <v>24047.104438137019</v>
      </c>
      <c r="I306" s="160">
        <f t="shared" si="22"/>
        <v>1.0512683368649549</v>
      </c>
      <c r="J306" s="39">
        <f t="shared" si="23"/>
        <v>1.1086232488490155</v>
      </c>
      <c r="K306" s="170" t="str">
        <f t="shared" si="24"/>
        <v xml:space="preserve"> </v>
      </c>
    </row>
    <row r="307" spans="1:11" x14ac:dyDescent="0.25">
      <c r="A307" s="126" t="s">
        <v>356</v>
      </c>
      <c r="B307" s="126" t="s">
        <v>974</v>
      </c>
      <c r="C307" s="144">
        <f>VLOOKUP(A307,Detail!$A$6:$F$326,6,0)</f>
        <v>9514999.5800000019</v>
      </c>
      <c r="D307" s="145">
        <v>2061157.84</v>
      </c>
      <c r="E307" s="153">
        <f>VLOOKUP(A307,Enroll!$A$7:$C$350,3,0)</f>
        <v>552.87999999999988</v>
      </c>
      <c r="F307" s="154">
        <f t="shared" si="21"/>
        <v>17209.882035884828</v>
      </c>
      <c r="G307" s="160">
        <v>102.4</v>
      </c>
      <c r="H307" s="161">
        <v>20128.494531249999</v>
      </c>
      <c r="I307" s="160">
        <f t="shared" si="22"/>
        <v>4.6163371845408996</v>
      </c>
      <c r="J307" s="39">
        <f t="shared" si="23"/>
        <v>0.85500095445121593</v>
      </c>
      <c r="K307" s="170" t="str">
        <f t="shared" ref="K307:K322" si="25">IF(AND(I307&lt;0.9,J307&lt;0.9),"DNME"," ")</f>
        <v xml:space="preserve"> </v>
      </c>
    </row>
    <row r="308" spans="1:11" x14ac:dyDescent="0.25">
      <c r="A308" s="126" t="s">
        <v>266</v>
      </c>
      <c r="B308" s="126" t="s">
        <v>975</v>
      </c>
      <c r="C308" s="144">
        <f>VLOOKUP(A308,Detail!$A$6:$F$326,6,0)</f>
        <v>22692053.579999994</v>
      </c>
      <c r="D308" s="145">
        <v>8364540.330000001</v>
      </c>
      <c r="E308" s="153">
        <f>VLOOKUP(A308,Enroll!$A$7:$C$350,3,0)</f>
        <v>1305.2400000000002</v>
      </c>
      <c r="F308" s="154">
        <f t="shared" si="21"/>
        <v>17385.349498942716</v>
      </c>
      <c r="G308" s="160">
        <v>572.16999999999996</v>
      </c>
      <c r="H308" s="161">
        <v>14618.977454253109</v>
      </c>
      <c r="I308" s="160">
        <f t="shared" si="22"/>
        <v>2.7128871025480477</v>
      </c>
      <c r="J308" s="39">
        <f t="shared" si="23"/>
        <v>1.18923156926306</v>
      </c>
      <c r="K308" s="170" t="str">
        <f t="shared" si="25"/>
        <v xml:space="preserve"> </v>
      </c>
    </row>
    <row r="309" spans="1:11" x14ac:dyDescent="0.25">
      <c r="A309" s="126" t="s">
        <v>40</v>
      </c>
      <c r="B309" s="126" t="s">
        <v>976</v>
      </c>
      <c r="C309" s="144">
        <f>VLOOKUP(A309,Detail!$A$6:$F$326,6,0)</f>
        <v>249272016.18000001</v>
      </c>
      <c r="D309" s="145">
        <v>20750897.959999993</v>
      </c>
      <c r="E309" s="153">
        <f>VLOOKUP(A309,Enroll!$A$7:$C$350,3,0)</f>
        <v>15593.84</v>
      </c>
      <c r="F309" s="154">
        <f t="shared" si="21"/>
        <v>15985.287535334466</v>
      </c>
      <c r="G309" s="160">
        <v>1310.17</v>
      </c>
      <c r="H309" s="161">
        <v>15838.324767014961</v>
      </c>
      <c r="I309" s="160">
        <f t="shared" si="22"/>
        <v>12.012589366518194</v>
      </c>
      <c r="J309" s="39">
        <f t="shared" si="23"/>
        <v>1.0092789338822987</v>
      </c>
      <c r="K309" s="170" t="str">
        <f t="shared" si="25"/>
        <v xml:space="preserve"> </v>
      </c>
    </row>
    <row r="310" spans="1:11" x14ac:dyDescent="0.25">
      <c r="A310" s="126" t="s">
        <v>176</v>
      </c>
      <c r="B310" s="126" t="s">
        <v>1030</v>
      </c>
      <c r="C310" s="144">
        <f>VLOOKUP(A310,Detail!$A$6:$F$326,6,0)</f>
        <v>51780237.480000012</v>
      </c>
      <c r="D310" s="145">
        <v>249741761.65999997</v>
      </c>
      <c r="E310" s="153">
        <f>VLOOKUP(A310,Enroll!$A$7:$C$350,3,0)</f>
        <v>3396.6200000000003</v>
      </c>
      <c r="F310" s="154">
        <f t="shared" si="21"/>
        <v>15244.636574005925</v>
      </c>
      <c r="G310" s="160">
        <v>15619.59</v>
      </c>
      <c r="H310" s="161">
        <v>15989.008780640206</v>
      </c>
      <c r="I310" s="160">
        <f t="shared" si="22"/>
        <v>0.20733511742619146</v>
      </c>
      <c r="J310" s="39">
        <f t="shared" si="23"/>
        <v>0.9534447559040945</v>
      </c>
      <c r="K310" s="170" t="str">
        <f t="shared" si="25"/>
        <v xml:space="preserve"> </v>
      </c>
    </row>
    <row r="311" spans="1:11" x14ac:dyDescent="0.25">
      <c r="A311" s="126" t="s">
        <v>160</v>
      </c>
      <c r="B311" s="126" t="s">
        <v>977</v>
      </c>
      <c r="C311" s="144">
        <f>VLOOKUP(A311,Detail!$A$6:$F$326,6,0)</f>
        <v>59934961.099999994</v>
      </c>
      <c r="D311" s="145">
        <v>47963005.479999997</v>
      </c>
      <c r="E311" s="153">
        <f>VLOOKUP(A311,Enroll!$A$7:$C$350,3,0)</f>
        <v>3694.7900000000004</v>
      </c>
      <c r="F311" s="154">
        <f t="shared" si="21"/>
        <v>16221.479732271655</v>
      </c>
      <c r="G311" s="160">
        <v>3437.82</v>
      </c>
      <c r="H311" s="161">
        <v>13951.575556602729</v>
      </c>
      <c r="I311" s="160">
        <f t="shared" si="22"/>
        <v>1.2496081198454538</v>
      </c>
      <c r="J311" s="39">
        <f t="shared" si="23"/>
        <v>1.1626987695016762</v>
      </c>
      <c r="K311" s="170" t="str">
        <f t="shared" si="25"/>
        <v xml:space="preserve"> </v>
      </c>
    </row>
    <row r="312" spans="1:11" x14ac:dyDescent="0.25">
      <c r="A312" s="126" t="s">
        <v>310</v>
      </c>
      <c r="B312" s="126" t="s">
        <v>978</v>
      </c>
      <c r="C312" s="144">
        <f>VLOOKUP(A312,Detail!$A$6:$F$326,6,0)</f>
        <v>12174252.289999997</v>
      </c>
      <c r="D312" s="145">
        <v>56384822.480000004</v>
      </c>
      <c r="E312" s="153">
        <f>VLOOKUP(A312,Enroll!$A$7:$C$350,3,0)</f>
        <v>736.18000000000006</v>
      </c>
      <c r="F312" s="154">
        <f t="shared" si="21"/>
        <v>16537.059265397045</v>
      </c>
      <c r="G312" s="160">
        <v>3741.96</v>
      </c>
      <c r="H312" s="161">
        <v>15068.259008647876</v>
      </c>
      <c r="I312" s="160">
        <f t="shared" si="22"/>
        <v>0.21591364048930489</v>
      </c>
      <c r="J312" s="39">
        <f t="shared" si="23"/>
        <v>1.09747644076905</v>
      </c>
      <c r="K312" s="170" t="str">
        <f t="shared" si="25"/>
        <v xml:space="preserve"> </v>
      </c>
    </row>
    <row r="313" spans="1:11" x14ac:dyDescent="0.25">
      <c r="A313" s="126" t="s">
        <v>148</v>
      </c>
      <c r="B313" s="126" t="s">
        <v>979</v>
      </c>
      <c r="C313" s="144">
        <f>VLOOKUP(A313,Detail!$A$6:$F$326,6,0)</f>
        <v>56286958.980000004</v>
      </c>
      <c r="D313" s="145">
        <v>12775132.469999999</v>
      </c>
      <c r="E313" s="153">
        <f>VLOOKUP(A313,Enroll!$A$7:$C$350,3,0)</f>
        <v>3572.69</v>
      </c>
      <c r="F313" s="154">
        <f t="shared" si="21"/>
        <v>15754.783924717791</v>
      </c>
      <c r="G313" s="160">
        <v>761.32</v>
      </c>
      <c r="H313" s="161">
        <v>16780.240201229441</v>
      </c>
      <c r="I313" s="160">
        <f t="shared" si="22"/>
        <v>4.4059784986323516</v>
      </c>
      <c r="J313" s="39">
        <f t="shared" si="23"/>
        <v>0.93888905854658045</v>
      </c>
      <c r="K313" s="170" t="str">
        <f t="shared" si="25"/>
        <v xml:space="preserve"> </v>
      </c>
    </row>
    <row r="314" spans="1:11" x14ac:dyDescent="0.25">
      <c r="A314" s="126" t="s">
        <v>98</v>
      </c>
      <c r="B314" s="126" t="s">
        <v>980</v>
      </c>
      <c r="C314" s="144">
        <f>VLOOKUP(A314,Detail!$A$6:$F$326,6,0)</f>
        <v>97353317.74000001</v>
      </c>
      <c r="D314" s="145">
        <v>53485254.300000012</v>
      </c>
      <c r="E314" s="153">
        <f>VLOOKUP(A314,Enroll!$A$7:$C$350,3,0)</f>
        <v>6049.52</v>
      </c>
      <c r="F314" s="154">
        <f t="shared" si="21"/>
        <v>16092.734256602178</v>
      </c>
      <c r="G314" s="160">
        <v>3606.91</v>
      </c>
      <c r="H314" s="161">
        <v>14828.552500616875</v>
      </c>
      <c r="I314" s="160">
        <f t="shared" si="22"/>
        <v>1.8201898638070042</v>
      </c>
      <c r="J314" s="39">
        <f t="shared" si="23"/>
        <v>1.0852532137531774</v>
      </c>
      <c r="K314" s="170" t="str">
        <f t="shared" si="25"/>
        <v xml:space="preserve"> </v>
      </c>
    </row>
    <row r="315" spans="1:11" x14ac:dyDescent="0.25">
      <c r="A315" s="126" t="s">
        <v>138</v>
      </c>
      <c r="B315" s="126" t="s">
        <v>981</v>
      </c>
      <c r="C315" s="144">
        <f>VLOOKUP(A315,Detail!$A$6:$F$326,6,0)</f>
        <v>60552164.320000008</v>
      </c>
      <c r="D315" s="145">
        <v>94016564.320000008</v>
      </c>
      <c r="E315" s="153">
        <f>VLOOKUP(A315,Enroll!$A$7:$C$350,3,0)</f>
        <v>3903.7</v>
      </c>
      <c r="F315" s="154">
        <f t="shared" si="21"/>
        <v>15511.479960037916</v>
      </c>
      <c r="G315" s="160">
        <v>6186.4</v>
      </c>
      <c r="H315" s="161">
        <v>15197.297995603261</v>
      </c>
      <c r="I315" s="160">
        <f t="shared" si="22"/>
        <v>0.64405846733455707</v>
      </c>
      <c r="J315" s="39">
        <f t="shared" si="23"/>
        <v>1.0206735410811547</v>
      </c>
      <c r="K315" s="170" t="str">
        <f t="shared" si="25"/>
        <v xml:space="preserve"> </v>
      </c>
    </row>
    <row r="316" spans="1:11" x14ac:dyDescent="0.25">
      <c r="A316" s="126" t="s">
        <v>280</v>
      </c>
      <c r="B316" s="126" t="s">
        <v>982</v>
      </c>
      <c r="C316" s="144">
        <f>VLOOKUP(A316,Detail!$A$6:$F$326,6,0)</f>
        <v>17497360.849999998</v>
      </c>
      <c r="D316" s="145">
        <v>64584947.119999997</v>
      </c>
      <c r="E316" s="153">
        <f>VLOOKUP(A316,Enroll!$A$7:$C$350,3,0)</f>
        <v>1064.7</v>
      </c>
      <c r="F316" s="154">
        <f t="shared" si="21"/>
        <v>16434.076124729967</v>
      </c>
      <c r="G316" s="160">
        <v>3973.3</v>
      </c>
      <c r="H316" s="161">
        <v>16254.737150479448</v>
      </c>
      <c r="I316" s="160">
        <f t="shared" si="22"/>
        <v>0.27092010801664956</v>
      </c>
      <c r="J316" s="39">
        <f t="shared" si="23"/>
        <v>1.0110330282544882</v>
      </c>
      <c r="K316" s="170" t="str">
        <f t="shared" si="25"/>
        <v xml:space="preserve"> </v>
      </c>
    </row>
    <row r="317" spans="1:11" x14ac:dyDescent="0.25">
      <c r="A317" s="126" t="s">
        <v>246</v>
      </c>
      <c r="B317" s="126" t="s">
        <v>983</v>
      </c>
      <c r="C317" s="144">
        <f>VLOOKUP(A317,Detail!$A$6:$F$326,6,0)</f>
        <v>23043650.809999995</v>
      </c>
      <c r="D317" s="145">
        <v>16613580.73</v>
      </c>
      <c r="E317" s="153">
        <f>VLOOKUP(A317,Enroll!$A$7:$C$350,3,0)</f>
        <v>1402.69</v>
      </c>
      <c r="F317" s="154">
        <f t="shared" si="21"/>
        <v>16428.184994546191</v>
      </c>
      <c r="G317" s="160">
        <v>1095.6499999999999</v>
      </c>
      <c r="H317" s="161">
        <v>15163.218847259619</v>
      </c>
      <c r="I317" s="160">
        <f t="shared" si="22"/>
        <v>1.3870369780302019</v>
      </c>
      <c r="J317" s="39">
        <f t="shared" si="23"/>
        <v>1.0834233258801236</v>
      </c>
      <c r="K317" s="170" t="str">
        <f t="shared" si="25"/>
        <v xml:space="preserve"> </v>
      </c>
    </row>
    <row r="318" spans="1:11" x14ac:dyDescent="0.25">
      <c r="A318" s="126" t="s">
        <v>270</v>
      </c>
      <c r="B318" s="126" t="s">
        <v>984</v>
      </c>
      <c r="C318" s="144">
        <f>VLOOKUP(A318,Detail!$A$6:$F$326,6,0)</f>
        <v>21038789.069999997</v>
      </c>
      <c r="D318" s="145">
        <v>21793658.610000007</v>
      </c>
      <c r="E318" s="153">
        <f>VLOOKUP(A318,Enroll!$A$7:$C$350,3,0)</f>
        <v>1326.36</v>
      </c>
      <c r="F318" s="154">
        <f t="shared" si="21"/>
        <v>15862.050325703427</v>
      </c>
      <c r="G318" s="160">
        <v>1380.97</v>
      </c>
      <c r="H318" s="161">
        <v>15781.413506448371</v>
      </c>
      <c r="I318" s="160">
        <f t="shared" si="22"/>
        <v>0.96536288130834358</v>
      </c>
      <c r="J318" s="39">
        <f t="shared" si="23"/>
        <v>1.0051096068943448</v>
      </c>
      <c r="K318" s="170" t="str">
        <f t="shared" si="25"/>
        <v xml:space="preserve"> </v>
      </c>
    </row>
    <row r="319" spans="1:11" x14ac:dyDescent="0.25">
      <c r="A319" s="126" t="s">
        <v>164</v>
      </c>
      <c r="B319" s="126" t="s">
        <v>985</v>
      </c>
      <c r="C319" s="144">
        <f>VLOOKUP(A319,Detail!$A$6:$F$326,6,0)</f>
        <v>52151856.059999987</v>
      </c>
      <c r="D319" s="145">
        <v>18736666.889999997</v>
      </c>
      <c r="E319" s="153">
        <f>VLOOKUP(A319,Enroll!$A$7:$C$350,3,0)</f>
        <v>3137.64</v>
      </c>
      <c r="F319" s="154">
        <f t="shared" si="21"/>
        <v>16621.363846712811</v>
      </c>
      <c r="G319" s="160">
        <v>1342.93</v>
      </c>
      <c r="H319" s="161">
        <v>13952.080071187624</v>
      </c>
      <c r="I319" s="160">
        <f t="shared" si="22"/>
        <v>2.7834116049655617</v>
      </c>
      <c r="J319" s="39">
        <f t="shared" si="23"/>
        <v>1.1913179799646874</v>
      </c>
      <c r="K319" s="170" t="str">
        <f t="shared" si="25"/>
        <v xml:space="preserve"> </v>
      </c>
    </row>
    <row r="320" spans="1:11" x14ac:dyDescent="0.25">
      <c r="A320" s="126" t="s">
        <v>116</v>
      </c>
      <c r="B320" s="126" t="s">
        <v>1031</v>
      </c>
      <c r="C320" s="144">
        <f>VLOOKUP(A320,Detail!$A$6:$F$326,6,0)</f>
        <v>80893390.689999983</v>
      </c>
      <c r="D320" s="145">
        <v>45394083.979999997</v>
      </c>
      <c r="E320" s="153">
        <f>VLOOKUP(A320,Enroll!$A$7:$C$350,3,0)</f>
        <v>5408.18</v>
      </c>
      <c r="F320" s="154">
        <f t="shared" si="21"/>
        <v>14957.599541805188</v>
      </c>
      <c r="G320" s="160">
        <v>3155.3199999999997</v>
      </c>
      <c r="H320" s="161">
        <v>14386.523072144822</v>
      </c>
      <c r="I320" s="160">
        <f t="shared" si="22"/>
        <v>1.7820249600287228</v>
      </c>
      <c r="J320" s="39">
        <f t="shared" si="23"/>
        <v>1.0396952388562934</v>
      </c>
      <c r="K320" s="170" t="str">
        <f t="shared" si="25"/>
        <v xml:space="preserve"> </v>
      </c>
    </row>
    <row r="321" spans="1:11" x14ac:dyDescent="0.25">
      <c r="A321" s="126" t="s">
        <v>302</v>
      </c>
      <c r="B321" s="126" t="s">
        <v>986</v>
      </c>
      <c r="C321" s="144">
        <f>VLOOKUP(A321,Detail!$A$6:$F$326,6,0)</f>
        <v>14091054.330000002</v>
      </c>
      <c r="D321" s="145">
        <v>75289440.699999988</v>
      </c>
      <c r="E321" s="153">
        <f>VLOOKUP(A321,Enroll!$A$7:$C$350,3,0)</f>
        <v>829.19999999999993</v>
      </c>
      <c r="F321" s="154">
        <f t="shared" si="21"/>
        <v>16993.553219971061</v>
      </c>
      <c r="G321" s="160">
        <v>5474.05</v>
      </c>
      <c r="H321" s="161">
        <v>13753.882536695863</v>
      </c>
      <c r="I321" s="160">
        <f t="shared" si="22"/>
        <v>0.18715844079845853</v>
      </c>
      <c r="J321" s="39">
        <f t="shared" si="23"/>
        <v>1.2355459031027523</v>
      </c>
      <c r="K321" s="170" t="str">
        <f t="shared" si="25"/>
        <v xml:space="preserve"> </v>
      </c>
    </row>
    <row r="322" spans="1:11" x14ac:dyDescent="0.25">
      <c r="A322" s="126" t="s">
        <v>1165</v>
      </c>
      <c r="B322" s="126" t="s">
        <v>1166</v>
      </c>
      <c r="C322" s="147">
        <f>VLOOKUP(A322,Detail!$A$6:$F$326,6,0)</f>
        <v>1104631.29</v>
      </c>
      <c r="D322" s="148">
        <v>12081482.579999998</v>
      </c>
      <c r="E322" s="155">
        <f>VLOOKUP(A322,Enroll!$A$7:$C$350,3,0)</f>
        <v>132.20000000000002</v>
      </c>
      <c r="F322" s="156">
        <f t="shared" si="21"/>
        <v>8355.758623298032</v>
      </c>
      <c r="G322" s="162">
        <v>878.16</v>
      </c>
      <c r="H322" s="87">
        <v>13757.723626673953</v>
      </c>
      <c r="I322" s="162">
        <f t="shared" si="22"/>
        <v>9.1431766150011709E-2</v>
      </c>
      <c r="J322" s="171">
        <f t="shared" si="23"/>
        <v>0.60735037641674938</v>
      </c>
      <c r="K322" s="172" t="str">
        <f t="shared" si="25"/>
        <v>DNME</v>
      </c>
    </row>
  </sheetData>
  <phoneticPr fontId="21" type="noConversion"/>
  <conditionalFormatting sqref="E5:I5 J6:J306 G7:J322">
    <cfRule type="cellIs" dxfId="5" priority="8" stopIfTrue="1" operator="lessThan">
      <formula>0.9</formula>
    </cfRule>
  </conditionalFormatting>
  <conditionalFormatting sqref="I5:I118 G6:H6">
    <cfRule type="cellIs" dxfId="4" priority="12" stopIfTrue="1" operator="lessThan">
      <formula>0.9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EG327"/>
  <sheetViews>
    <sheetView zoomScaleNormal="100" workbookViewId="0">
      <pane ySplit="2" topLeftCell="A4" activePane="bottomLeft" state="frozen"/>
      <selection pane="bottomLeft" activeCell="D223" sqref="D223"/>
    </sheetView>
  </sheetViews>
  <sheetFormatPr defaultColWidth="9.140625" defaultRowHeight="15" x14ac:dyDescent="0.25"/>
  <cols>
    <col min="1" max="1" width="9.5703125" style="1" bestFit="1" customWidth="1"/>
    <col min="2" max="2" width="36.7109375" style="1" bestFit="1" customWidth="1"/>
    <col min="3" max="3" width="13.7109375" style="1" bestFit="1" customWidth="1"/>
    <col min="4" max="4" width="15.5703125" style="41" bestFit="1" customWidth="1"/>
    <col min="5" max="5" width="16.7109375" style="1" bestFit="1" customWidth="1"/>
    <col min="6" max="6" width="19" style="1" customWidth="1"/>
    <col min="7" max="7" width="17.5703125" style="1" customWidth="1"/>
    <col min="8" max="8" width="16.7109375" style="1" bestFit="1" customWidth="1"/>
    <col min="9" max="9" width="13.7109375" style="1" bestFit="1" customWidth="1"/>
    <col min="10" max="10" width="12.42578125" style="1" bestFit="1" customWidth="1"/>
    <col min="11" max="11" width="14.7109375" style="1" bestFit="1" customWidth="1"/>
    <col min="12" max="12" width="13.7109375" style="1" bestFit="1" customWidth="1"/>
    <col min="13" max="13" width="12.7109375" style="1" bestFit="1" customWidth="1"/>
    <col min="14" max="14" width="14.42578125" style="1" bestFit="1" customWidth="1"/>
    <col min="15" max="15" width="14.5703125" style="1" bestFit="1" customWidth="1"/>
    <col min="16" max="16" width="14.42578125" style="1" bestFit="1" customWidth="1"/>
    <col min="17" max="17" width="14.5703125" style="1" bestFit="1" customWidth="1"/>
    <col min="18" max="18" width="15.5703125" style="1" bestFit="1" customWidth="1"/>
    <col min="19" max="19" width="14.42578125" style="1" bestFit="1" customWidth="1"/>
    <col min="20" max="20" width="13.28515625" style="1" bestFit="1" customWidth="1"/>
    <col min="21" max="21" width="13" style="1" customWidth="1"/>
    <col min="22" max="22" width="13.28515625" style="1" bestFit="1" customWidth="1"/>
    <col min="23" max="23" width="12.42578125" style="1" customWidth="1"/>
    <col min="24" max="24" width="9.5703125" style="1" bestFit="1" customWidth="1"/>
    <col min="25" max="25" width="11.28515625" style="1" bestFit="1" customWidth="1"/>
    <col min="26" max="26" width="11.28515625" style="1" customWidth="1"/>
    <col min="27" max="27" width="11.42578125" style="1" customWidth="1"/>
    <col min="28" max="28" width="11" style="1" bestFit="1" customWidth="1"/>
    <col min="29" max="29" width="9.5703125" style="1" bestFit="1" customWidth="1"/>
    <col min="30" max="30" width="12" style="1" bestFit="1" customWidth="1"/>
    <col min="31" max="31" width="10" style="1" bestFit="1" customWidth="1"/>
    <col min="32" max="32" width="12" style="1" bestFit="1" customWidth="1"/>
    <col min="33" max="34" width="11" style="1" bestFit="1" customWidth="1"/>
    <col min="35" max="35" width="11.28515625" style="1" bestFit="1" customWidth="1"/>
    <col min="36" max="36" width="9.5703125" style="1" bestFit="1" customWidth="1"/>
    <col min="37" max="37" width="11" style="1" bestFit="1" customWidth="1"/>
    <col min="38" max="39" width="10" style="1" bestFit="1" customWidth="1"/>
    <col min="40" max="40" width="11.85546875" style="1" bestFit="1" customWidth="1"/>
    <col min="41" max="41" width="9.5703125" style="1" bestFit="1" customWidth="1"/>
    <col min="42" max="42" width="11" style="1" bestFit="1" customWidth="1"/>
    <col min="43" max="43" width="13.7109375" style="1" bestFit="1" customWidth="1"/>
    <col min="44" max="46" width="12" style="1" bestFit="1" customWidth="1"/>
    <col min="47" max="47" width="9.140625" style="1" customWidth="1"/>
    <col min="48" max="48" width="12.42578125" style="1" bestFit="1" customWidth="1"/>
    <col min="49" max="49" width="11" style="1" bestFit="1" customWidth="1"/>
    <col min="50" max="50" width="10.7109375" style="1" customWidth="1"/>
    <col min="51" max="51" width="13.7109375" style="1" bestFit="1" customWidth="1"/>
    <col min="52" max="52" width="12" style="1" bestFit="1" customWidth="1"/>
    <col min="53" max="53" width="12.42578125" style="1" bestFit="1" customWidth="1"/>
    <col min="54" max="54" width="13.28515625" style="1" bestFit="1" customWidth="1"/>
    <col min="55" max="55" width="14.7109375" style="1" bestFit="1" customWidth="1"/>
    <col min="56" max="56" width="13.7109375" style="1" bestFit="1" customWidth="1"/>
    <col min="57" max="57" width="12.42578125" style="1" bestFit="1" customWidth="1"/>
    <col min="58" max="58" width="13.7109375" style="1" bestFit="1" customWidth="1"/>
    <col min="59" max="60" width="14.7109375" style="1" bestFit="1" customWidth="1"/>
    <col min="61" max="61" width="11" style="1" bestFit="1" customWidth="1"/>
    <col min="62" max="62" width="13.7109375" style="1" bestFit="1" customWidth="1"/>
    <col min="63" max="63" width="14.7109375" style="1" bestFit="1" customWidth="1"/>
    <col min="64" max="64" width="14.7109375" style="1" customWidth="1"/>
    <col min="65" max="65" width="14.7109375" style="1" bestFit="1" customWidth="1"/>
    <col min="66" max="66" width="14.42578125" style="1" bestFit="1" customWidth="1"/>
    <col min="67" max="67" width="13.28515625" style="1" bestFit="1" customWidth="1"/>
    <col min="68" max="68" width="14" style="1" bestFit="1" customWidth="1"/>
    <col min="69" max="16384" width="9.140625" style="1"/>
  </cols>
  <sheetData>
    <row r="1" spans="1:68" x14ac:dyDescent="0.25">
      <c r="A1" s="51" t="s">
        <v>997</v>
      </c>
      <c r="B1" s="52"/>
      <c r="C1" s="53" t="s">
        <v>644</v>
      </c>
      <c r="D1" s="232" t="s">
        <v>645</v>
      </c>
      <c r="E1" s="54" t="s">
        <v>646</v>
      </c>
      <c r="F1" s="227" t="s">
        <v>647</v>
      </c>
      <c r="G1" s="54" t="s">
        <v>648</v>
      </c>
      <c r="H1" s="83" t="s">
        <v>649</v>
      </c>
      <c r="I1" s="216" t="s">
        <v>650</v>
      </c>
      <c r="J1" s="217"/>
      <c r="K1" s="217"/>
      <c r="L1" s="217"/>
      <c r="M1" s="226" t="s">
        <v>651</v>
      </c>
      <c r="N1" s="226" t="s">
        <v>652</v>
      </c>
      <c r="O1" s="226" t="s">
        <v>653</v>
      </c>
      <c r="P1" s="83" t="s">
        <v>654</v>
      </c>
      <c r="Q1" s="229" t="s">
        <v>655</v>
      </c>
      <c r="R1" s="229" t="s">
        <v>656</v>
      </c>
      <c r="S1" s="229" t="s">
        <v>657</v>
      </c>
      <c r="T1" s="214"/>
      <c r="U1" s="214"/>
      <c r="V1" s="214"/>
      <c r="W1" s="214"/>
      <c r="X1" s="214"/>
      <c r="Y1" s="214"/>
      <c r="Z1" s="214"/>
      <c r="AA1" s="215" t="s">
        <v>658</v>
      </c>
      <c r="AB1" s="216" t="s">
        <v>658</v>
      </c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8"/>
      <c r="AV1" s="217"/>
      <c r="AW1" s="217"/>
      <c r="AX1" s="217"/>
      <c r="AY1" s="217"/>
      <c r="AZ1" s="217"/>
      <c r="BA1" s="219"/>
      <c r="BB1" s="221" t="s">
        <v>659</v>
      </c>
      <c r="BC1" s="220" t="s">
        <v>660</v>
      </c>
      <c r="BD1" s="230" t="s">
        <v>638</v>
      </c>
      <c r="BE1" s="230" t="s">
        <v>639</v>
      </c>
      <c r="BF1" s="230" t="s">
        <v>640</v>
      </c>
      <c r="BG1" s="230" t="s">
        <v>615</v>
      </c>
      <c r="BH1" s="230" t="s">
        <v>616</v>
      </c>
      <c r="BI1" s="230" t="s">
        <v>617</v>
      </c>
      <c r="BJ1" s="230" t="s">
        <v>618</v>
      </c>
      <c r="BK1" s="230" t="s">
        <v>641</v>
      </c>
      <c r="BL1" s="230" t="s">
        <v>642</v>
      </c>
      <c r="BM1" s="231" t="s">
        <v>661</v>
      </c>
      <c r="BN1" s="222" t="s">
        <v>662</v>
      </c>
      <c r="BO1" s="222"/>
      <c r="BP1" s="222"/>
    </row>
    <row r="2" spans="1:68" ht="101.25" customHeight="1" x14ac:dyDescent="0.25">
      <c r="A2" s="56" t="s">
        <v>663</v>
      </c>
      <c r="B2" s="56" t="s">
        <v>664</v>
      </c>
      <c r="C2" s="57" t="s">
        <v>665</v>
      </c>
      <c r="D2" s="233"/>
      <c r="E2" s="59">
        <v>980</v>
      </c>
      <c r="F2" s="58" t="s">
        <v>666</v>
      </c>
      <c r="G2" s="58"/>
      <c r="H2" s="60">
        <v>532</v>
      </c>
      <c r="I2" s="55">
        <v>81</v>
      </c>
      <c r="J2" s="55">
        <v>86</v>
      </c>
      <c r="K2" s="55">
        <v>88</v>
      </c>
      <c r="L2" s="55">
        <v>89</v>
      </c>
      <c r="M2" s="56" t="s">
        <v>667</v>
      </c>
      <c r="N2" s="56" t="s">
        <v>668</v>
      </c>
      <c r="O2" s="56" t="s">
        <v>1290</v>
      </c>
      <c r="P2" s="60">
        <v>509</v>
      </c>
      <c r="Q2" s="61">
        <v>5000</v>
      </c>
      <c r="R2" s="62">
        <v>6000</v>
      </c>
      <c r="S2" s="62" t="s">
        <v>669</v>
      </c>
      <c r="T2" s="62" t="s">
        <v>670</v>
      </c>
      <c r="U2" s="62" t="s">
        <v>671</v>
      </c>
      <c r="V2" s="62" t="s">
        <v>672</v>
      </c>
      <c r="W2" s="62" t="s">
        <v>673</v>
      </c>
      <c r="X2" s="62" t="s">
        <v>674</v>
      </c>
      <c r="Y2" s="62" t="s">
        <v>675</v>
      </c>
      <c r="Z2" s="62" t="s">
        <v>1232</v>
      </c>
      <c r="AA2" s="55" t="s">
        <v>676</v>
      </c>
      <c r="AB2" s="55" t="s">
        <v>677</v>
      </c>
      <c r="AC2" s="55" t="s">
        <v>678</v>
      </c>
      <c r="AD2" s="55" t="s">
        <v>679</v>
      </c>
      <c r="AE2" s="55" t="s">
        <v>680</v>
      </c>
      <c r="AF2" s="55" t="s">
        <v>681</v>
      </c>
      <c r="AG2" s="55" t="s">
        <v>682</v>
      </c>
      <c r="AH2" s="55" t="s">
        <v>683</v>
      </c>
      <c r="AI2" s="55" t="s">
        <v>684</v>
      </c>
      <c r="AJ2" s="55" t="s">
        <v>685</v>
      </c>
      <c r="AK2" s="55" t="s">
        <v>686</v>
      </c>
      <c r="AL2" s="55" t="s">
        <v>687</v>
      </c>
      <c r="AM2" s="55" t="s">
        <v>688</v>
      </c>
      <c r="AN2" s="55" t="s">
        <v>689</v>
      </c>
      <c r="AO2" s="55" t="s">
        <v>690</v>
      </c>
      <c r="AP2" s="55" t="s">
        <v>691</v>
      </c>
      <c r="AQ2" s="55" t="s">
        <v>692</v>
      </c>
      <c r="AR2" s="55" t="s">
        <v>693</v>
      </c>
      <c r="AS2" s="55" t="s">
        <v>694</v>
      </c>
      <c r="AT2" s="55" t="s">
        <v>695</v>
      </c>
      <c r="AU2" s="63" t="s">
        <v>696</v>
      </c>
      <c r="AV2" s="55" t="s">
        <v>697</v>
      </c>
      <c r="AW2" s="55" t="s">
        <v>698</v>
      </c>
      <c r="AX2" s="55" t="s">
        <v>699</v>
      </c>
      <c r="AY2" s="55" t="s">
        <v>700</v>
      </c>
      <c r="AZ2" s="55" t="s">
        <v>701</v>
      </c>
      <c r="BA2" s="55" t="s">
        <v>702</v>
      </c>
      <c r="BB2" s="64" t="s">
        <v>703</v>
      </c>
      <c r="BC2" s="65" t="s">
        <v>704</v>
      </c>
      <c r="BD2" s="67"/>
      <c r="BE2" s="67"/>
      <c r="BF2" s="67"/>
      <c r="BG2" s="88" t="s">
        <v>705</v>
      </c>
      <c r="BH2" s="66"/>
      <c r="BI2" s="66"/>
      <c r="BJ2" s="66"/>
      <c r="BK2" s="67"/>
      <c r="BL2" s="67"/>
      <c r="BM2" s="67"/>
      <c r="BN2" s="68" t="s">
        <v>706</v>
      </c>
      <c r="BO2" s="69" t="s">
        <v>707</v>
      </c>
      <c r="BP2" s="69" t="s">
        <v>708</v>
      </c>
    </row>
    <row r="3" spans="1:68" s="85" customFormat="1" ht="15" hidden="1" customHeight="1" x14ac:dyDescent="0.25">
      <c r="A3" s="56">
        <v>1</v>
      </c>
      <c r="B3" s="56">
        <v>2</v>
      </c>
      <c r="C3" s="56">
        <v>3</v>
      </c>
      <c r="D3" s="234">
        <v>4</v>
      </c>
      <c r="E3" s="56">
        <v>5</v>
      </c>
      <c r="F3" s="56">
        <v>6</v>
      </c>
      <c r="G3" s="56">
        <v>7</v>
      </c>
      <c r="H3" s="56">
        <v>8</v>
      </c>
      <c r="I3" s="56">
        <v>9</v>
      </c>
      <c r="J3" s="84">
        <v>10</v>
      </c>
      <c r="K3" s="56">
        <v>11</v>
      </c>
      <c r="L3" s="56">
        <v>12</v>
      </c>
      <c r="M3" s="56">
        <v>13</v>
      </c>
      <c r="N3" s="56">
        <v>14</v>
      </c>
      <c r="O3" s="56">
        <v>15</v>
      </c>
      <c r="P3" s="84">
        <v>16</v>
      </c>
      <c r="Q3" s="56">
        <v>17</v>
      </c>
      <c r="R3" s="56">
        <v>18</v>
      </c>
      <c r="S3" s="56">
        <v>19</v>
      </c>
      <c r="T3" s="56">
        <v>20</v>
      </c>
      <c r="U3" s="56">
        <v>21</v>
      </c>
      <c r="V3" s="84">
        <v>22</v>
      </c>
      <c r="W3" s="56">
        <v>23</v>
      </c>
      <c r="X3" s="56">
        <v>24</v>
      </c>
      <c r="Y3" s="56">
        <v>25</v>
      </c>
      <c r="Z3" s="56">
        <v>26</v>
      </c>
      <c r="AA3" s="56">
        <v>27</v>
      </c>
      <c r="AB3" s="84">
        <v>28</v>
      </c>
      <c r="AC3" s="56">
        <v>29</v>
      </c>
      <c r="AD3" s="56">
        <v>30</v>
      </c>
      <c r="AE3" s="56">
        <v>31</v>
      </c>
      <c r="AF3" s="56">
        <v>32</v>
      </c>
      <c r="AG3" s="56">
        <v>33</v>
      </c>
      <c r="AH3" s="84">
        <v>34</v>
      </c>
      <c r="AI3" s="56">
        <v>35</v>
      </c>
      <c r="AJ3" s="56">
        <v>36</v>
      </c>
      <c r="AK3" s="56">
        <v>37</v>
      </c>
      <c r="AL3" s="56">
        <v>38</v>
      </c>
      <c r="AM3" s="56">
        <v>39</v>
      </c>
      <c r="AN3" s="84">
        <v>40</v>
      </c>
      <c r="AO3" s="56">
        <v>41</v>
      </c>
      <c r="AP3" s="56">
        <v>42</v>
      </c>
      <c r="AQ3" s="56">
        <v>43</v>
      </c>
      <c r="AR3" s="56">
        <v>44</v>
      </c>
      <c r="AS3" s="56">
        <v>45</v>
      </c>
      <c r="AT3" s="84">
        <v>46</v>
      </c>
      <c r="AU3" s="56">
        <v>47</v>
      </c>
      <c r="AV3" s="56">
        <v>48</v>
      </c>
      <c r="AW3" s="56">
        <v>49</v>
      </c>
      <c r="AX3" s="56">
        <v>50</v>
      </c>
      <c r="AY3" s="56">
        <v>51</v>
      </c>
      <c r="AZ3" s="84">
        <v>52</v>
      </c>
      <c r="BA3" s="56">
        <v>53</v>
      </c>
      <c r="BB3" s="56">
        <v>54</v>
      </c>
      <c r="BC3" s="56">
        <v>55</v>
      </c>
      <c r="BD3" s="56">
        <v>56</v>
      </c>
      <c r="BE3" s="56">
        <v>57</v>
      </c>
      <c r="BF3" s="84">
        <v>58</v>
      </c>
      <c r="BG3" s="56">
        <v>59</v>
      </c>
      <c r="BH3" s="56">
        <v>60</v>
      </c>
      <c r="BI3" s="56">
        <v>61</v>
      </c>
      <c r="BJ3" s="56">
        <v>62</v>
      </c>
      <c r="BK3" s="56">
        <v>63</v>
      </c>
      <c r="BL3" s="84">
        <v>64</v>
      </c>
      <c r="BM3" s="56">
        <v>65</v>
      </c>
      <c r="BN3" s="56">
        <v>66</v>
      </c>
      <c r="BO3" s="56">
        <v>67</v>
      </c>
      <c r="BP3" s="56">
        <v>68</v>
      </c>
    </row>
    <row r="4" spans="1:68" x14ac:dyDescent="0.25">
      <c r="A4" s="70"/>
      <c r="B4" s="71"/>
      <c r="C4" s="53"/>
      <c r="D4" s="235"/>
      <c r="E4" s="72"/>
      <c r="F4" s="71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101"/>
      <c r="BP4" s="101"/>
    </row>
    <row r="5" spans="1:68" x14ac:dyDescent="0.25">
      <c r="A5" s="73" t="s">
        <v>1245</v>
      </c>
      <c r="B5" s="74"/>
      <c r="C5" s="74">
        <f>SUM(C6:C326)</f>
        <v>212131.25</v>
      </c>
      <c r="D5" s="203">
        <f>SUM(E5-F5)</f>
        <v>212131.2500038147</v>
      </c>
      <c r="E5" s="75">
        <f>SUM(E6:E326)</f>
        <v>19290114013.360016</v>
      </c>
      <c r="F5" s="75">
        <f>SUM(F6:F326)</f>
        <v>19289901882.110012</v>
      </c>
      <c r="G5" s="75">
        <f>SUM(G7:G326)</f>
        <v>0</v>
      </c>
      <c r="H5" s="76">
        <f>SUM(H6:H326)</f>
        <v>21081063857.940002</v>
      </c>
      <c r="I5" s="76">
        <f t="shared" ref="I5:BA5" si="0">SUM(I6:I326)</f>
        <v>1164751.1400000004</v>
      </c>
      <c r="J5" s="76">
        <f t="shared" si="0"/>
        <v>2117261.73</v>
      </c>
      <c r="K5" s="76">
        <f t="shared" si="0"/>
        <v>122470326.81000003</v>
      </c>
      <c r="L5" s="76">
        <f t="shared" si="0"/>
        <v>55853549.599999994</v>
      </c>
      <c r="M5" s="76">
        <f t="shared" si="0"/>
        <v>7045941.7300000014</v>
      </c>
      <c r="N5" s="76">
        <f t="shared" si="0"/>
        <v>37919593.020000033</v>
      </c>
      <c r="O5" s="76">
        <f t="shared" si="0"/>
        <v>177157.86</v>
      </c>
      <c r="P5" s="76">
        <f t="shared" si="0"/>
        <v>95143715.599999979</v>
      </c>
      <c r="Q5" s="76">
        <f t="shared" si="0"/>
        <v>71355102.450000018</v>
      </c>
      <c r="R5" s="76">
        <f t="shared" si="0"/>
        <v>1244209248.8699992</v>
      </c>
      <c r="S5" s="76">
        <f t="shared" si="0"/>
        <v>212131.25</v>
      </c>
      <c r="T5" s="76">
        <f t="shared" si="0"/>
        <v>146729.69</v>
      </c>
      <c r="U5" s="76">
        <f t="shared" si="0"/>
        <v>0</v>
      </c>
      <c r="V5" s="76">
        <f t="shared" si="0"/>
        <v>1025687.33</v>
      </c>
      <c r="W5" s="76">
        <f t="shared" si="0"/>
        <v>12322.14</v>
      </c>
      <c r="X5" s="76">
        <f t="shared" si="0"/>
        <v>0</v>
      </c>
      <c r="Y5" s="76">
        <f t="shared" si="0"/>
        <v>0</v>
      </c>
      <c r="Z5" s="76">
        <f t="shared" si="0"/>
        <v>0</v>
      </c>
      <c r="AA5" s="76">
        <f t="shared" si="0"/>
        <v>21464</v>
      </c>
      <c r="AB5" s="76">
        <f t="shared" si="0"/>
        <v>0</v>
      </c>
      <c r="AC5" s="76">
        <f t="shared" si="0"/>
        <v>0</v>
      </c>
      <c r="AD5" s="76">
        <f t="shared" si="0"/>
        <v>433090.54999999987</v>
      </c>
      <c r="AE5" s="76">
        <f t="shared" si="0"/>
        <v>8657.9500000000007</v>
      </c>
      <c r="AF5" s="76">
        <f t="shared" si="0"/>
        <v>43159.93</v>
      </c>
      <c r="AG5" s="76">
        <f t="shared" si="0"/>
        <v>30261.83</v>
      </c>
      <c r="AH5" s="76">
        <f t="shared" si="0"/>
        <v>37895.42</v>
      </c>
      <c r="AI5" s="76">
        <f t="shared" si="0"/>
        <v>140402.27000000002</v>
      </c>
      <c r="AJ5" s="76">
        <f t="shared" si="0"/>
        <v>0</v>
      </c>
      <c r="AK5" s="76">
        <f t="shared" si="0"/>
        <v>68720.13</v>
      </c>
      <c r="AL5" s="76">
        <f t="shared" si="0"/>
        <v>0</v>
      </c>
      <c r="AM5" s="76">
        <f t="shared" si="0"/>
        <v>0</v>
      </c>
      <c r="AN5" s="76">
        <f t="shared" si="0"/>
        <v>0</v>
      </c>
      <c r="AO5" s="76">
        <f t="shared" si="0"/>
        <v>0</v>
      </c>
      <c r="AP5" s="76">
        <f t="shared" si="0"/>
        <v>0</v>
      </c>
      <c r="AQ5" s="76">
        <f t="shared" si="0"/>
        <v>0</v>
      </c>
      <c r="AR5" s="76">
        <f t="shared" si="0"/>
        <v>0</v>
      </c>
      <c r="AS5" s="76">
        <f t="shared" si="0"/>
        <v>91882.73000000001</v>
      </c>
      <c r="AT5" s="76">
        <f t="shared" si="0"/>
        <v>0</v>
      </c>
      <c r="AU5" s="76">
        <f t="shared" si="0"/>
        <v>0</v>
      </c>
      <c r="AV5" s="76">
        <f t="shared" si="0"/>
        <v>2786916.76</v>
      </c>
      <c r="AW5" s="76">
        <f t="shared" si="0"/>
        <v>0</v>
      </c>
      <c r="AX5" s="76">
        <f t="shared" si="0"/>
        <v>18935.580000000002</v>
      </c>
      <c r="AY5" s="76">
        <f t="shared" si="0"/>
        <v>355137.68</v>
      </c>
      <c r="AZ5" s="76">
        <f t="shared" si="0"/>
        <v>286897.90000000002</v>
      </c>
      <c r="BA5" s="76">
        <f t="shared" si="0"/>
        <v>6321966.0599999996</v>
      </c>
      <c r="BB5" s="76">
        <f t="shared" ref="BB5:BP5" si="1">SUM(BB6:BB326)</f>
        <v>44485027.099999987</v>
      </c>
      <c r="BC5" s="76">
        <f t="shared" si="1"/>
        <v>636542599.33000004</v>
      </c>
      <c r="BD5" s="76">
        <f t="shared" si="1"/>
        <v>70541106.170000002</v>
      </c>
      <c r="BE5" s="76">
        <f t="shared" si="1"/>
        <v>115534382.90000001</v>
      </c>
      <c r="BF5" s="76">
        <f t="shared" si="1"/>
        <v>273548.65999999997</v>
      </c>
      <c r="BG5" s="76">
        <f t="shared" si="1"/>
        <v>384713547.26999974</v>
      </c>
      <c r="BH5" s="76">
        <f t="shared" si="1"/>
        <v>207667.4</v>
      </c>
      <c r="BI5" s="76">
        <f t="shared" si="1"/>
        <v>1112030.72</v>
      </c>
      <c r="BJ5" s="76">
        <f t="shared" si="1"/>
        <v>40701003.120000005</v>
      </c>
      <c r="BK5" s="76">
        <f t="shared" si="1"/>
        <v>225532.05</v>
      </c>
      <c r="BL5" s="76">
        <f t="shared" si="1"/>
        <v>544721.84</v>
      </c>
      <c r="BM5" s="76">
        <f t="shared" si="1"/>
        <v>613853540.13000023</v>
      </c>
      <c r="BN5" s="76">
        <f t="shared" si="1"/>
        <v>22689059.200000029</v>
      </c>
      <c r="BO5" s="76">
        <f t="shared" si="1"/>
        <v>44184799.219999984</v>
      </c>
      <c r="BP5" s="76">
        <f t="shared" si="1"/>
        <v>-21795967.899999972</v>
      </c>
    </row>
    <row r="6" spans="1:68" x14ac:dyDescent="0.25">
      <c r="A6" s="40" t="s">
        <v>574</v>
      </c>
      <c r="B6" s="40" t="s">
        <v>709</v>
      </c>
      <c r="D6" s="203">
        <f>SUM(E6-F6)</f>
        <v>0</v>
      </c>
      <c r="E6" s="41">
        <f>IFERROR(VLOOKUP(A6,Items[],5,0),0)</f>
        <v>2753912.82</v>
      </c>
      <c r="F6" s="42">
        <f>H6-I6-J6-K6-L6-M6-N6-O6-P6-Q6-R6-S6+T6+U6+V6+W6+X6+Y6+Z6+AA6+AB6+AC6+AD6+AE6+AF6+AG6+AH6+AI6+AJ6+AK6+AL6+AM6+AN6+AO6+AP6+AQ6+AR6+AS6+AT6+AU6+AV6+AW6+AX6+AY6+AZ6+BA6+BB6-BC6+BG6+BH6+BI6+BJ6+G6</f>
        <v>2753912.82</v>
      </c>
      <c r="G6" s="41"/>
      <c r="H6" s="41">
        <f>IFERROR(VLOOKUP(A6,Items[],4,0),0)</f>
        <v>2940519.66</v>
      </c>
      <c r="I6" s="41">
        <f>IFERROR(VLOOKUP(A6,Community[],4,0),0)</f>
        <v>0</v>
      </c>
      <c r="J6" s="41">
        <f>IFERROR(VLOOKUP(A6,Community[],5,0),0)</f>
        <v>0</v>
      </c>
      <c r="K6" s="41">
        <f>IFERROR(VLOOKUP(A6,Community[],6,0),0)</f>
        <v>35402.58</v>
      </c>
      <c r="L6" s="41">
        <f>IFERROR(VLOOKUP(A6,Community[],7,0),0)</f>
        <v>17334.43</v>
      </c>
      <c r="M6" s="41">
        <f>IFERROR(VLOOKUP(A6,Debt[],3,0),0)</f>
        <v>0</v>
      </c>
      <c r="N6" s="41">
        <f>IFERROR(VLOOKUP(A6,Debt[],4,0),0)</f>
        <v>0</v>
      </c>
      <c r="O6" s="41">
        <f>IFERROR(VLOOKUP(A6,Debt[],5,0),0)</f>
        <v>0</v>
      </c>
      <c r="P6" s="41">
        <f>IFERROR(VLOOKUP(A6,Items[],3,0),0)</f>
        <v>26438.400000000001</v>
      </c>
      <c r="Q6" s="41">
        <f>IFERROR(VLOOKUP($A6,Federal[],2,0),0)</f>
        <v>0</v>
      </c>
      <c r="R6" s="41">
        <f>IFERROR(VLOOKUP($A6,Federal[],4,0),0)</f>
        <v>101206.17</v>
      </c>
      <c r="S6" s="41"/>
      <c r="T6" s="47">
        <f>IFERROR(VLOOKUP($A6,Program[],3,0),0)</f>
        <v>0</v>
      </c>
      <c r="U6" s="47"/>
      <c r="V6" s="41">
        <f>IFERROR(VLOOKUP($A6,Program[],4,0),0)</f>
        <v>0</v>
      </c>
      <c r="W6" s="41">
        <f>IFERROR(VLOOKUP($A6,Program[],5,0),0)</f>
        <v>0</v>
      </c>
      <c r="X6" s="41"/>
      <c r="Y6" s="41"/>
      <c r="Z6" s="41"/>
      <c r="AA6" s="41">
        <f>IFERROR(VLOOKUP($A6,Program[],6,0),0)</f>
        <v>0</v>
      </c>
      <c r="AB6" s="41"/>
      <c r="AC6" s="41"/>
      <c r="AD6" s="41">
        <f>IFERROR(VLOOKUP($A6,Program[],7,0),0)</f>
        <v>0</v>
      </c>
      <c r="AE6" s="41">
        <f>IFERROR(VLOOKUP($A6,Program[],8,0),0)</f>
        <v>0</v>
      </c>
      <c r="AF6" s="41">
        <f>IFERROR(VLOOKUP($A6,Program[],9,0),0)</f>
        <v>0</v>
      </c>
      <c r="AG6" s="41">
        <f>IFERROR(VLOOKUP($A6,Program[],10,0),0)</f>
        <v>0</v>
      </c>
      <c r="AH6" s="41">
        <f>IFERROR(VLOOKUP($A6,Program[],11,0),0)</f>
        <v>0</v>
      </c>
      <c r="AI6" s="41">
        <f>IFERROR(VLOOKUP($A6,Program[],12,0),0)</f>
        <v>0</v>
      </c>
      <c r="AJ6" s="41"/>
      <c r="AK6" s="41">
        <f>IFERROR(VLOOKUP($A6,Program[],13,0),0)</f>
        <v>0</v>
      </c>
      <c r="AL6" s="41"/>
      <c r="AM6" s="41"/>
      <c r="AN6" s="41"/>
      <c r="AO6" s="41"/>
      <c r="AP6" s="41"/>
      <c r="AQ6" s="41"/>
      <c r="AR6" s="41"/>
      <c r="AS6" s="41">
        <f>IFERROR(VLOOKUP($A6,Program[],14,0),0)</f>
        <v>0</v>
      </c>
      <c r="AT6" s="41"/>
      <c r="AU6" s="41"/>
      <c r="AV6" s="41">
        <f>IFERROR(VLOOKUP($A6,Program[],15,0),0)</f>
        <v>0</v>
      </c>
      <c r="AW6" s="41"/>
      <c r="AX6" s="41">
        <f>IFERROR(VLOOKUP($A6,Program[],16,0),0)</f>
        <v>0</v>
      </c>
      <c r="AY6" s="41">
        <f>IFERROR(VLOOKUP($A6,Program[],17,0),0)</f>
        <v>0</v>
      </c>
      <c r="AZ6" s="41">
        <f>IFERROR(VLOOKUP($A6,Program[],18,0),0)</f>
        <v>0</v>
      </c>
      <c r="BA6" s="41">
        <f>IFERROR(VLOOKUP($A6,Program[],19,0),0)</f>
        <v>0</v>
      </c>
      <c r="BB6" s="77">
        <f>IF(BN6&gt;0,BN6,0)</f>
        <v>31318.049999999988</v>
      </c>
      <c r="BC6" s="41">
        <f>IFERROR(VLOOKUP(A6,Food[],3,0),0)</f>
        <v>95336.79</v>
      </c>
      <c r="BD6" s="41">
        <f>IFERROR(VLOOKUP($A6,FoodRev[],2,0),0)</f>
        <v>2025.02</v>
      </c>
      <c r="BE6" s="41">
        <f>IFERROR(VLOOKUP($A6,FoodRev[],3,0),0)</f>
        <v>4200.24</v>
      </c>
      <c r="BF6" s="41">
        <f>IFERROR(VLOOKUP($A6,FoodRev[],4,0),0)</f>
        <v>0</v>
      </c>
      <c r="BG6" s="41">
        <f>IFERROR(VLOOKUP($A6,FoodRev[],5,0),0)</f>
        <v>49444.63</v>
      </c>
      <c r="BH6" s="41">
        <f>IFERROR(VLOOKUP($A6,FoodRev[],6,0),0)</f>
        <v>0</v>
      </c>
      <c r="BI6" s="41">
        <f>IFERROR(VLOOKUP($A6,FoodRev[],7,0),0)</f>
        <v>0</v>
      </c>
      <c r="BJ6" s="41">
        <f>IFERROR(VLOOKUP($A6,FoodRev[],8,0),0)</f>
        <v>8348.85</v>
      </c>
      <c r="BK6" s="41">
        <f>IFERROR(VLOOKUP($A6,FoodRev[],9,0),0)</f>
        <v>0</v>
      </c>
      <c r="BL6" s="41">
        <f>IFERROR(VLOOKUP($A6,FoodRev[],10,0),0)</f>
        <v>0</v>
      </c>
      <c r="BM6" s="41">
        <f>SUM(BD6:BL6)</f>
        <v>64018.74</v>
      </c>
      <c r="BN6" s="42">
        <f t="shared" ref="BN6:BN38" si="2">BC6-BD6-BE6-BF6-BG6-BH6-BI6-BJ6-BK6-BL6</f>
        <v>31318.049999999988</v>
      </c>
      <c r="BO6" s="78">
        <f>IF(BN6&lt;0,0,BN6)</f>
        <v>31318.049999999988</v>
      </c>
      <c r="BP6" s="78">
        <f t="shared" ref="BP6:BP38" si="3">IF(BN6&lt;0,BN6,0)</f>
        <v>0</v>
      </c>
    </row>
    <row r="7" spans="1:68" x14ac:dyDescent="0.25">
      <c r="A7" s="40" t="s">
        <v>604</v>
      </c>
      <c r="B7" s="40" t="s">
        <v>710</v>
      </c>
      <c r="C7" s="202"/>
      <c r="D7" s="203">
        <f t="shared" ref="D7:D70" si="4">SUM(E7-F7)</f>
        <v>0</v>
      </c>
      <c r="E7" s="41">
        <f>IFERROR(VLOOKUP(A7,Items[],5,0),0)</f>
        <v>526327.53</v>
      </c>
      <c r="F7" s="42">
        <f t="shared" ref="F7:F71" si="5">H7-I7-J7-K7-L7-M7-N7-O7-P7-Q7-R7-S7+T7+U7+V7+W7+X7+Y7+Z7+AA7+AB7+AC7+AD7+AE7+AF7+AG7+AH7+AI7+AJ7+AK7+AL7+AM7+AN7+AO7+AP7+AQ7+AR7+AS7+AT7+AU7+AV7+AW7+AX7+AY7+AZ7+BA7+BB7-BC7+BG7+BH7+BI7+BJ7+G7</f>
        <v>526327.53</v>
      </c>
      <c r="G7" s="41">
        <v>0</v>
      </c>
      <c r="H7" s="41">
        <f>IFERROR(VLOOKUP(A7,Items[],4,0),0)</f>
        <v>559913.15</v>
      </c>
      <c r="I7" s="41">
        <f>IFERROR(VLOOKUP(A7,Community[],4,0),0)</f>
        <v>0</v>
      </c>
      <c r="J7" s="41">
        <f>IFERROR(VLOOKUP(A7,Community[],5,0),0)</f>
        <v>0</v>
      </c>
      <c r="K7" s="41">
        <f>IFERROR(VLOOKUP(A7,Community[],6,0),0)</f>
        <v>0</v>
      </c>
      <c r="L7" s="41">
        <f>IFERROR(VLOOKUP(A7,Community[],7,0),0)</f>
        <v>0</v>
      </c>
      <c r="M7" s="41">
        <f>IFERROR(VLOOKUP(A7,Debt[],3,0),0)</f>
        <v>0</v>
      </c>
      <c r="N7" s="41">
        <f>IFERROR(VLOOKUP(A7,Debt[],4,0),0)</f>
        <v>0</v>
      </c>
      <c r="O7" s="41">
        <f>IFERROR(VLOOKUP(A7,Debt[],5,0),0)</f>
        <v>0</v>
      </c>
      <c r="P7" s="41">
        <f>IFERROR(VLOOKUP(A7,Items[],3,0),0)</f>
        <v>14639.65</v>
      </c>
      <c r="Q7" s="41">
        <f>IFERROR(VLOOKUP($A7,Federal[],2,0),0)</f>
        <v>0</v>
      </c>
      <c r="R7" s="41">
        <f>IFERROR(VLOOKUP($A7,Federal[],4,0),0)</f>
        <v>32198.12</v>
      </c>
      <c r="S7" s="41"/>
      <c r="T7" s="47">
        <f>IFERROR(VLOOKUP($A7,Program[],3,0),0)</f>
        <v>0</v>
      </c>
      <c r="U7" s="47"/>
      <c r="V7" s="41">
        <f>IFERROR(VLOOKUP($A7,Program[],4,0),0)</f>
        <v>0</v>
      </c>
      <c r="W7" s="41">
        <f>IFERROR(VLOOKUP($A7,Program[],5,0),0)</f>
        <v>0</v>
      </c>
      <c r="X7" s="41"/>
      <c r="Y7" s="41"/>
      <c r="Z7" s="41"/>
      <c r="AA7" s="41">
        <f>IFERROR(VLOOKUP($A7,Program[],6,0),0)</f>
        <v>0</v>
      </c>
      <c r="AB7" s="41"/>
      <c r="AC7" s="41"/>
      <c r="AD7" s="41">
        <f>IFERROR(VLOOKUP($A7,Program[],7,0),0)</f>
        <v>0</v>
      </c>
      <c r="AE7" s="41">
        <f>IFERROR(VLOOKUP($A7,Program[],8,0),0)</f>
        <v>0</v>
      </c>
      <c r="AF7" s="41">
        <f>IFERROR(VLOOKUP($A7,Program[],9,0),0)</f>
        <v>0</v>
      </c>
      <c r="AG7" s="41">
        <f>IFERROR(VLOOKUP($A7,Program[],10,0),0)</f>
        <v>0</v>
      </c>
      <c r="AH7" s="41">
        <f>IFERROR(VLOOKUP($A7,Program[],11,0),0)</f>
        <v>14639.65</v>
      </c>
      <c r="AI7" s="41">
        <f>IFERROR(VLOOKUP($A7,Program[],12,0),0)</f>
        <v>0</v>
      </c>
      <c r="AJ7" s="41"/>
      <c r="AK7" s="41">
        <f>IFERROR(VLOOKUP($A7,Program[],13,0),0)</f>
        <v>0</v>
      </c>
      <c r="AL7" s="41"/>
      <c r="AM7" s="41"/>
      <c r="AN7" s="41"/>
      <c r="AO7" s="41"/>
      <c r="AP7" s="41"/>
      <c r="AQ7" s="41"/>
      <c r="AR7" s="41"/>
      <c r="AS7" s="41">
        <f>IFERROR(VLOOKUP($A7,Program[],14,0),0)</f>
        <v>0</v>
      </c>
      <c r="AT7" s="41"/>
      <c r="AU7" s="41"/>
      <c r="AV7" s="41">
        <f>IFERROR(VLOOKUP($A7,Program[],15,0),0)</f>
        <v>0</v>
      </c>
      <c r="AW7" s="41"/>
      <c r="AX7" s="41">
        <f>IFERROR(VLOOKUP($A7,Program[],16,0),0)</f>
        <v>0</v>
      </c>
      <c r="AY7" s="41">
        <f>IFERROR(VLOOKUP($A7,Program[],17,0),0)</f>
        <v>0</v>
      </c>
      <c r="AZ7" s="41">
        <f>IFERROR(VLOOKUP($A7,Program[],18,0),0)</f>
        <v>0</v>
      </c>
      <c r="BA7" s="41">
        <f>IFERROR(VLOOKUP($A7,Program[],19,0),0)</f>
        <v>0</v>
      </c>
      <c r="BB7" s="77">
        <f>IF(BN7&gt;0,BN7,0)</f>
        <v>24757.99</v>
      </c>
      <c r="BC7" s="41">
        <f>IFERROR(VLOOKUP(A7,Food[],3,0),0)</f>
        <v>26145.49</v>
      </c>
      <c r="BD7" s="41">
        <f>IFERROR(VLOOKUP($A7,FoodRev[],2,0),0)</f>
        <v>1387.5</v>
      </c>
      <c r="BE7" s="41">
        <f>IFERROR(VLOOKUP($A7,FoodRev[],3,0),0)</f>
        <v>0</v>
      </c>
      <c r="BF7" s="41">
        <f>IFERROR(VLOOKUP($A7,FoodRev[],4,0),0)</f>
        <v>0</v>
      </c>
      <c r="BG7" s="41">
        <f>IFERROR(VLOOKUP($A7,FoodRev[],5,0),0)</f>
        <v>0</v>
      </c>
      <c r="BH7" s="41">
        <f>IFERROR(VLOOKUP($A7,FoodRev[],6,0),0)</f>
        <v>0</v>
      </c>
      <c r="BI7" s="41">
        <f>IFERROR(VLOOKUP($A7,FoodRev[],7,0),0)</f>
        <v>0</v>
      </c>
      <c r="BJ7" s="41">
        <f>IFERROR(VLOOKUP($A7,FoodRev[],8,0),0)</f>
        <v>0</v>
      </c>
      <c r="BK7" s="41">
        <f>IFERROR(VLOOKUP($A7,FoodRev[],9,0),0)</f>
        <v>0</v>
      </c>
      <c r="BL7" s="41">
        <f>IFERROR(VLOOKUP($A7,FoodRev[],10,0),0)</f>
        <v>0</v>
      </c>
      <c r="BM7" s="41">
        <f t="shared" ref="BM7:BM72" si="6">SUM(BD7:BL7)</f>
        <v>1387.5</v>
      </c>
      <c r="BN7" s="42">
        <f t="shared" si="2"/>
        <v>24757.99</v>
      </c>
      <c r="BO7" s="78">
        <f t="shared" ref="BO7:BO38" si="7">IF(BN7&lt;0,0,BN7)</f>
        <v>24757.99</v>
      </c>
      <c r="BP7" s="78">
        <f t="shared" si="3"/>
        <v>0</v>
      </c>
    </row>
    <row r="8" spans="1:68" x14ac:dyDescent="0.25">
      <c r="A8" s="40" t="s">
        <v>134</v>
      </c>
      <c r="B8" s="40" t="s">
        <v>711</v>
      </c>
      <c r="C8" s="202"/>
      <c r="D8" s="203">
        <f t="shared" si="4"/>
        <v>0</v>
      </c>
      <c r="E8" s="41">
        <f>IFERROR(VLOOKUP(A8,Items[],5,0),0)</f>
        <v>71986146.400000006</v>
      </c>
      <c r="F8" s="42">
        <f t="shared" si="5"/>
        <v>71986146.400000006</v>
      </c>
      <c r="G8" s="41">
        <v>0</v>
      </c>
      <c r="H8" s="41">
        <f>IFERROR(VLOOKUP(A8,Items[],4,0),0)</f>
        <v>81567922.599999994</v>
      </c>
      <c r="I8" s="41">
        <f>IFERROR(VLOOKUP(A8,Community[],4,0),0)</f>
        <v>0</v>
      </c>
      <c r="J8" s="41">
        <f>IFERROR(VLOOKUP(A8,Community[],5,0),0)</f>
        <v>0</v>
      </c>
      <c r="K8" s="41">
        <f>IFERROR(VLOOKUP(A8,Community[],6,0),0)</f>
        <v>265020.58999999997</v>
      </c>
      <c r="L8" s="41">
        <f>IFERROR(VLOOKUP(A8,Community[],7,0),0)</f>
        <v>40927.01999999999</v>
      </c>
      <c r="M8" s="41">
        <f>IFERROR(VLOOKUP(A8,Debt[],3,0),0)</f>
        <v>0</v>
      </c>
      <c r="N8" s="41">
        <f>IFERROR(VLOOKUP(A8,Debt[],4,0),0)</f>
        <v>0</v>
      </c>
      <c r="O8" s="41">
        <f>IFERROR(VLOOKUP(A8,Debt[],5,0),0)</f>
        <v>0</v>
      </c>
      <c r="P8" s="41">
        <f>IFERROR(VLOOKUP(A8,Items[],3,0),0)</f>
        <v>717712.6</v>
      </c>
      <c r="Q8" s="41">
        <f>IFERROR(VLOOKUP($A8,Federal[],2,0),0)</f>
        <v>0</v>
      </c>
      <c r="R8" s="41">
        <f>IFERROR(VLOOKUP($A8,Federal[],4,0),0)</f>
        <v>8816440.6899999995</v>
      </c>
      <c r="S8" s="41"/>
      <c r="T8" s="47">
        <f>IFERROR(VLOOKUP($A8,Program[],3,0),0)</f>
        <v>0</v>
      </c>
      <c r="U8" s="47"/>
      <c r="V8" s="41">
        <f>IFERROR(VLOOKUP($A8,Program[],4,0),0)</f>
        <v>0</v>
      </c>
      <c r="W8" s="41">
        <f>IFERROR(VLOOKUP($A8,Program[],5,0),0)</f>
        <v>0</v>
      </c>
      <c r="X8" s="41"/>
      <c r="Y8" s="41"/>
      <c r="Z8" s="41"/>
      <c r="AA8" s="41">
        <f>IFERROR(VLOOKUP($A8,Program[],6,0),0)</f>
        <v>0</v>
      </c>
      <c r="AB8" s="41"/>
      <c r="AC8" s="41"/>
      <c r="AD8" s="41">
        <f>IFERROR(VLOOKUP($A8,Program[],7,0),0)</f>
        <v>21916.13</v>
      </c>
      <c r="AE8" s="41">
        <f>IFERROR(VLOOKUP($A8,Program[],8,0),0)</f>
        <v>0</v>
      </c>
      <c r="AF8" s="41">
        <f>IFERROR(VLOOKUP($A8,Program[],9,0),0)</f>
        <v>0</v>
      </c>
      <c r="AG8" s="41">
        <f>IFERROR(VLOOKUP($A8,Program[],10,0),0)</f>
        <v>0</v>
      </c>
      <c r="AH8" s="41">
        <f>IFERROR(VLOOKUP($A8,Program[],11,0),0)</f>
        <v>0</v>
      </c>
      <c r="AI8" s="41">
        <f>IFERROR(VLOOKUP($A8,Program[],12,0),0)</f>
        <v>0</v>
      </c>
      <c r="AJ8" s="41"/>
      <c r="AK8" s="41">
        <f>IFERROR(VLOOKUP($A8,Program[],13,0),0)</f>
        <v>0</v>
      </c>
      <c r="AL8" s="41"/>
      <c r="AM8" s="41"/>
      <c r="AN8" s="41"/>
      <c r="AO8" s="41"/>
      <c r="AP8" s="41"/>
      <c r="AQ8" s="41"/>
      <c r="AR8" s="41"/>
      <c r="AS8" s="41">
        <f>IFERROR(VLOOKUP($A8,Program[],14,0),0)</f>
        <v>0</v>
      </c>
      <c r="AT8" s="41"/>
      <c r="AU8" s="41"/>
      <c r="AV8" s="41">
        <f>IFERROR(VLOOKUP($A8,Program[],15,0),0)</f>
        <v>0</v>
      </c>
      <c r="AW8" s="41"/>
      <c r="AX8" s="41">
        <f>IFERROR(VLOOKUP($A8,Program[],16,0),0)</f>
        <v>0</v>
      </c>
      <c r="AY8" s="41">
        <f>IFERROR(VLOOKUP($A8,Program[],17,0),0)</f>
        <v>0</v>
      </c>
      <c r="AZ8" s="41">
        <f>IFERROR(VLOOKUP($A8,Program[],18,0),0)</f>
        <v>0</v>
      </c>
      <c r="BA8" s="41">
        <f>IFERROR(VLOOKUP($A8,Program[],19,0),0)</f>
        <v>0</v>
      </c>
      <c r="BB8" s="77">
        <f t="shared" ref="BB8:BB72" si="8">IF(BN8&gt;0,BN8,0)</f>
        <v>0</v>
      </c>
      <c r="BC8" s="41">
        <f>IFERROR(VLOOKUP(A8,Food[],3,0),0)</f>
        <v>3758999.58</v>
      </c>
      <c r="BD8" s="41">
        <f>IFERROR(VLOOKUP($A8,FoodRev[],2,0),0)</f>
        <v>10310.6</v>
      </c>
      <c r="BE8" s="41">
        <f>IFERROR(VLOOKUP($A8,FoodRev[],3,0),0)</f>
        <v>132196.45000000001</v>
      </c>
      <c r="BF8" s="41">
        <f>IFERROR(VLOOKUP($A8,FoodRev[],4,0),0)</f>
        <v>0</v>
      </c>
      <c r="BG8" s="41">
        <f>IFERROR(VLOOKUP($A8,FoodRev[],5,0),0)</f>
        <v>3768153.15</v>
      </c>
      <c r="BH8" s="41">
        <f>IFERROR(VLOOKUP($A8,FoodRev[],6,0),0)</f>
        <v>0</v>
      </c>
      <c r="BI8" s="41">
        <f>IFERROR(VLOOKUP($A8,FoodRev[],7,0),0)</f>
        <v>0</v>
      </c>
      <c r="BJ8" s="41">
        <f>IFERROR(VLOOKUP($A8,FoodRev[],8,0),0)</f>
        <v>227255</v>
      </c>
      <c r="BK8" s="41">
        <f>IFERROR(VLOOKUP($A8,FoodRev[],9,0),0)</f>
        <v>0</v>
      </c>
      <c r="BL8" s="41">
        <f>IFERROR(VLOOKUP($A8,FoodRev[],10,0),0)</f>
        <v>0</v>
      </c>
      <c r="BM8" s="41">
        <f t="shared" si="6"/>
        <v>4137915.1999999997</v>
      </c>
      <c r="BN8" s="42">
        <f t="shared" si="2"/>
        <v>-378915.62000000011</v>
      </c>
      <c r="BO8" s="78">
        <f t="shared" si="7"/>
        <v>0</v>
      </c>
      <c r="BP8" s="78">
        <f t="shared" si="3"/>
        <v>-378915.62000000011</v>
      </c>
    </row>
    <row r="9" spans="1:68" x14ac:dyDescent="0.25">
      <c r="A9" s="40" t="s">
        <v>478</v>
      </c>
      <c r="B9" s="40" t="s">
        <v>712</v>
      </c>
      <c r="D9" s="203">
        <f t="shared" si="4"/>
        <v>-9.3132257461547852E-10</v>
      </c>
      <c r="E9" s="41">
        <f>IFERROR(VLOOKUP(A9,Items[],5,0),0)</f>
        <v>5301864.28</v>
      </c>
      <c r="F9" s="42">
        <f t="shared" si="5"/>
        <v>5301864.2800000012</v>
      </c>
      <c r="G9" s="41">
        <v>0</v>
      </c>
      <c r="H9" s="41">
        <f>IFERROR(VLOOKUP(A9,Items[],4,0),0)</f>
        <v>5852340.6500000004</v>
      </c>
      <c r="I9" s="41">
        <f>IFERROR(VLOOKUP(A9,Community[],4,0),0)</f>
        <v>0</v>
      </c>
      <c r="J9" s="41">
        <f>IFERROR(VLOOKUP(A9,Community[],5,0),0)</f>
        <v>0</v>
      </c>
      <c r="K9" s="41">
        <f>IFERROR(VLOOKUP(A9,Community[],6,0),0)</f>
        <v>79333.679999999993</v>
      </c>
      <c r="L9" s="41">
        <f>IFERROR(VLOOKUP(A9,Community[],7,0),0)</f>
        <v>0</v>
      </c>
      <c r="M9" s="41">
        <f>IFERROR(VLOOKUP(A9,Debt[],3,0),0)</f>
        <v>0</v>
      </c>
      <c r="N9" s="41">
        <f>IFERROR(VLOOKUP(A9,Debt[],4,0),0)</f>
        <v>0</v>
      </c>
      <c r="O9" s="41">
        <f>IFERROR(VLOOKUP(A9,Debt[],5,0),0)</f>
        <v>0</v>
      </c>
      <c r="P9" s="41">
        <f>IFERROR(VLOOKUP(A9,Items[],3,0),0)</f>
        <v>15359.28</v>
      </c>
      <c r="Q9" s="41">
        <f>IFERROR(VLOOKUP($A9,Federal[],2,0),0)</f>
        <v>0</v>
      </c>
      <c r="R9" s="41">
        <f>IFERROR(VLOOKUP($A9,Federal[],4,0),0)</f>
        <v>417493.59</v>
      </c>
      <c r="S9" s="41"/>
      <c r="T9" s="47">
        <f>IFERROR(VLOOKUP($A9,Program[],3,0),0)</f>
        <v>0</v>
      </c>
      <c r="U9" s="47"/>
      <c r="V9" s="41">
        <f>IFERROR(VLOOKUP($A9,Program[],4,0),0)</f>
        <v>0</v>
      </c>
      <c r="W9" s="41">
        <f>IFERROR(VLOOKUP($A9,Program[],5,0),0)</f>
        <v>0</v>
      </c>
      <c r="X9" s="41"/>
      <c r="Y9" s="41"/>
      <c r="Z9" s="41"/>
      <c r="AA9" s="41">
        <f>IFERROR(VLOOKUP($A9,Program[],6,0),0)</f>
        <v>0</v>
      </c>
      <c r="AB9" s="41"/>
      <c r="AC9" s="41"/>
      <c r="AD9" s="41">
        <f>IFERROR(VLOOKUP($A9,Program[],7,0),0)</f>
        <v>0</v>
      </c>
      <c r="AE9" s="41">
        <f>IFERROR(VLOOKUP($A9,Program[],8,0),0)</f>
        <v>0</v>
      </c>
      <c r="AF9" s="41">
        <f>IFERROR(VLOOKUP($A9,Program[],9,0),0)</f>
        <v>0</v>
      </c>
      <c r="AG9" s="41">
        <f>IFERROR(VLOOKUP($A9,Program[],10,0),0)</f>
        <v>0</v>
      </c>
      <c r="AH9" s="41">
        <f>IFERROR(VLOOKUP($A9,Program[],11,0),0)</f>
        <v>0</v>
      </c>
      <c r="AI9" s="41">
        <f>IFERROR(VLOOKUP($A9,Program[],12,0),0)</f>
        <v>0</v>
      </c>
      <c r="AJ9" s="41"/>
      <c r="AK9" s="41">
        <f>IFERROR(VLOOKUP($A9,Program[],13,0),0)</f>
        <v>0</v>
      </c>
      <c r="AL9" s="41"/>
      <c r="AM9" s="41"/>
      <c r="AN9" s="41"/>
      <c r="AO9" s="41"/>
      <c r="AP9" s="41"/>
      <c r="AQ9" s="41"/>
      <c r="AR9" s="41"/>
      <c r="AS9" s="41">
        <f>IFERROR(VLOOKUP($A9,Program[],14,0),0)</f>
        <v>0</v>
      </c>
      <c r="AT9" s="41"/>
      <c r="AU9" s="41"/>
      <c r="AV9" s="41">
        <f>IFERROR(VLOOKUP($A9,Program[],15,0),0)</f>
        <v>0</v>
      </c>
      <c r="AW9" s="41"/>
      <c r="AX9" s="41">
        <f>IFERROR(VLOOKUP($A9,Program[],16,0),0)</f>
        <v>0</v>
      </c>
      <c r="AY9" s="41">
        <f>IFERROR(VLOOKUP($A9,Program[],17,0),0)</f>
        <v>0</v>
      </c>
      <c r="AZ9" s="41">
        <f>IFERROR(VLOOKUP($A9,Program[],18,0),0)</f>
        <v>0</v>
      </c>
      <c r="BA9" s="41">
        <f>IFERROR(VLOOKUP($A9,Program[],19,0),0)</f>
        <v>0</v>
      </c>
      <c r="BB9" s="77">
        <f t="shared" si="8"/>
        <v>52639.37999999999</v>
      </c>
      <c r="BC9" s="41">
        <f>IFERROR(VLOOKUP(A9,Food[],3,0),0)</f>
        <v>226983.55</v>
      </c>
      <c r="BD9" s="41">
        <f>IFERROR(VLOOKUP($A9,FoodRev[],2,0),0)</f>
        <v>3799</v>
      </c>
      <c r="BE9" s="41">
        <f>IFERROR(VLOOKUP($A9,FoodRev[],3,0),0)</f>
        <v>34490.82</v>
      </c>
      <c r="BF9" s="41">
        <f>IFERROR(VLOOKUP($A9,FoodRev[],4,0),0)</f>
        <v>0</v>
      </c>
      <c r="BG9" s="41">
        <f>IFERROR(VLOOKUP($A9,FoodRev[],5,0),0)</f>
        <v>127596.9</v>
      </c>
      <c r="BH9" s="41">
        <f>IFERROR(VLOOKUP($A9,FoodRev[],6,0),0)</f>
        <v>0</v>
      </c>
      <c r="BI9" s="41">
        <f>IFERROR(VLOOKUP($A9,FoodRev[],7,0),0)</f>
        <v>0</v>
      </c>
      <c r="BJ9" s="41">
        <f>IFERROR(VLOOKUP($A9,FoodRev[],8,0),0)</f>
        <v>8457.4500000000007</v>
      </c>
      <c r="BK9" s="41">
        <f>IFERROR(VLOOKUP($A9,FoodRev[],9,0),0)</f>
        <v>0</v>
      </c>
      <c r="BL9" s="41">
        <f>IFERROR(VLOOKUP($A9,FoodRev[],10,0),0)</f>
        <v>0</v>
      </c>
      <c r="BM9" s="41">
        <f t="shared" si="6"/>
        <v>174344.17</v>
      </c>
      <c r="BN9" s="42">
        <f t="shared" si="2"/>
        <v>52639.37999999999</v>
      </c>
      <c r="BO9" s="78">
        <f t="shared" si="7"/>
        <v>52639.37999999999</v>
      </c>
      <c r="BP9" s="78">
        <f t="shared" si="3"/>
        <v>0</v>
      </c>
    </row>
    <row r="10" spans="1:68" x14ac:dyDescent="0.25">
      <c r="A10" s="40" t="s">
        <v>410</v>
      </c>
      <c r="B10" s="40" t="s">
        <v>713</v>
      </c>
      <c r="D10" s="203">
        <f t="shared" si="4"/>
        <v>0</v>
      </c>
      <c r="E10" s="41">
        <f>IFERROR(VLOOKUP(A10,Items[],5,0),0)</f>
        <v>6398285.7199999997</v>
      </c>
      <c r="F10" s="42">
        <f t="shared" si="5"/>
        <v>6398285.7199999997</v>
      </c>
      <c r="G10" s="41">
        <v>0</v>
      </c>
      <c r="H10" s="41">
        <f>IFERROR(VLOOKUP(A10,Items[],4,0),0)</f>
        <v>6899270.2699999996</v>
      </c>
      <c r="I10" s="41">
        <f>IFERROR(VLOOKUP(A10,Community[],4,0),0)</f>
        <v>0</v>
      </c>
      <c r="J10" s="41">
        <f>IFERROR(VLOOKUP(A10,Community[],5,0),0)</f>
        <v>0</v>
      </c>
      <c r="K10" s="41">
        <f>IFERROR(VLOOKUP(A10,Community[],6,0),0)</f>
        <v>98159.64</v>
      </c>
      <c r="L10" s="41">
        <f>IFERROR(VLOOKUP(A10,Community[],7,0),0)</f>
        <v>0</v>
      </c>
      <c r="M10" s="41">
        <f>IFERROR(VLOOKUP(A10,Debt[],3,0),0)</f>
        <v>0</v>
      </c>
      <c r="N10" s="41">
        <f>IFERROR(VLOOKUP(A10,Debt[],4,0),0)</f>
        <v>0</v>
      </c>
      <c r="O10" s="41">
        <f>IFERROR(VLOOKUP(A10,Debt[],5,0),0)</f>
        <v>0</v>
      </c>
      <c r="P10" s="41">
        <f>IFERROR(VLOOKUP(A10,Items[],3,0),0)</f>
        <v>0</v>
      </c>
      <c r="Q10" s="41">
        <f>IFERROR(VLOOKUP($A10,Federal[],2,0),0)</f>
        <v>0</v>
      </c>
      <c r="R10" s="41">
        <f>IFERROR(VLOOKUP($A10,Federal[],4,0),0)</f>
        <v>337287.13</v>
      </c>
      <c r="S10" s="41"/>
      <c r="T10" s="47">
        <f>IFERROR(VLOOKUP($A10,Program[],3,0),0)</f>
        <v>0</v>
      </c>
      <c r="U10" s="47"/>
      <c r="V10" s="41">
        <f>IFERROR(VLOOKUP($A10,Program[],4,0),0)</f>
        <v>0</v>
      </c>
      <c r="W10" s="41">
        <f>IFERROR(VLOOKUP($A10,Program[],5,0),0)</f>
        <v>0</v>
      </c>
      <c r="X10" s="41"/>
      <c r="Y10" s="41"/>
      <c r="Z10" s="41"/>
      <c r="AA10" s="41">
        <f>IFERROR(VLOOKUP($A10,Program[],6,0),0)</f>
        <v>0</v>
      </c>
      <c r="AB10" s="41"/>
      <c r="AC10" s="41"/>
      <c r="AD10" s="41">
        <f>IFERROR(VLOOKUP($A10,Program[],7,0),0)</f>
        <v>0</v>
      </c>
      <c r="AE10" s="41">
        <f>IFERROR(VLOOKUP($A10,Program[],8,0),0)</f>
        <v>0</v>
      </c>
      <c r="AF10" s="41">
        <f>IFERROR(VLOOKUP($A10,Program[],9,0),0)</f>
        <v>0</v>
      </c>
      <c r="AG10" s="41">
        <f>IFERROR(VLOOKUP($A10,Program[],10,0),0)</f>
        <v>0</v>
      </c>
      <c r="AH10" s="41">
        <f>IFERROR(VLOOKUP($A10,Program[],11,0),0)</f>
        <v>0</v>
      </c>
      <c r="AI10" s="41">
        <f>IFERROR(VLOOKUP($A10,Program[],12,0),0)</f>
        <v>0</v>
      </c>
      <c r="AJ10" s="41"/>
      <c r="AK10" s="41">
        <f>IFERROR(VLOOKUP($A10,Program[],13,0),0)</f>
        <v>0</v>
      </c>
      <c r="AL10" s="41"/>
      <c r="AM10" s="41"/>
      <c r="AN10" s="41"/>
      <c r="AO10" s="41"/>
      <c r="AP10" s="41"/>
      <c r="AQ10" s="41"/>
      <c r="AR10" s="41"/>
      <c r="AS10" s="41">
        <f>IFERROR(VLOOKUP($A10,Program[],14,0),0)</f>
        <v>0</v>
      </c>
      <c r="AT10" s="41"/>
      <c r="AU10" s="41"/>
      <c r="AV10" s="41">
        <f>IFERROR(VLOOKUP($A10,Program[],15,0),0)</f>
        <v>0</v>
      </c>
      <c r="AW10" s="41"/>
      <c r="AX10" s="41">
        <f>IFERROR(VLOOKUP($A10,Program[],16,0),0)</f>
        <v>0</v>
      </c>
      <c r="AY10" s="41">
        <f>IFERROR(VLOOKUP($A10,Program[],17,0),0)</f>
        <v>0</v>
      </c>
      <c r="AZ10" s="41">
        <f>IFERROR(VLOOKUP($A10,Program[],18,0),0)</f>
        <v>0</v>
      </c>
      <c r="BA10" s="41">
        <f>IFERROR(VLOOKUP($A10,Program[],19,0),0)</f>
        <v>0</v>
      </c>
      <c r="BB10" s="77">
        <f t="shared" si="8"/>
        <v>0</v>
      </c>
      <c r="BC10" s="41">
        <f>IFERROR(VLOOKUP(A10,Food[],3,0),0)</f>
        <v>187614.90000000002</v>
      </c>
      <c r="BD10" s="41">
        <f>IFERROR(VLOOKUP($A10,FoodRev[],2,0),0)</f>
        <v>2075.9</v>
      </c>
      <c r="BE10" s="41">
        <f>IFERROR(VLOOKUP($A10,FoodRev[],3,0),0)</f>
        <v>66696.039999999994</v>
      </c>
      <c r="BF10" s="41">
        <f>IFERROR(VLOOKUP($A10,FoodRev[],4,0),0)</f>
        <v>0</v>
      </c>
      <c r="BG10" s="41">
        <f>IFERROR(VLOOKUP($A10,FoodRev[],5,0),0)</f>
        <v>114066.47</v>
      </c>
      <c r="BH10" s="41">
        <f>IFERROR(VLOOKUP($A10,FoodRev[],6,0),0)</f>
        <v>0</v>
      </c>
      <c r="BI10" s="41">
        <f>IFERROR(VLOOKUP($A10,FoodRev[],7,0),0)</f>
        <v>0</v>
      </c>
      <c r="BJ10" s="41">
        <f>IFERROR(VLOOKUP($A10,FoodRev[],8,0),0)</f>
        <v>8010.65</v>
      </c>
      <c r="BK10" s="41">
        <f>IFERROR(VLOOKUP($A10,FoodRev[],9,0),0)</f>
        <v>0</v>
      </c>
      <c r="BL10" s="41">
        <f>IFERROR(VLOOKUP($A10,FoodRev[],10,0),0)</f>
        <v>0</v>
      </c>
      <c r="BM10" s="41">
        <f t="shared" si="6"/>
        <v>190849.05999999997</v>
      </c>
      <c r="BN10" s="42">
        <f t="shared" si="2"/>
        <v>-3234.1599999999653</v>
      </c>
      <c r="BO10" s="78">
        <f t="shared" si="7"/>
        <v>0</v>
      </c>
      <c r="BP10" s="78">
        <f t="shared" si="3"/>
        <v>-3234.1599999999653</v>
      </c>
    </row>
    <row r="11" spans="1:68" x14ac:dyDescent="0.25">
      <c r="A11" s="40" t="s">
        <v>196</v>
      </c>
      <c r="B11" s="40" t="s">
        <v>714</v>
      </c>
      <c r="D11" s="203">
        <f t="shared" si="4"/>
        <v>7.4505805969238281E-9</v>
      </c>
      <c r="E11" s="41">
        <f>IFERROR(VLOOKUP(A11,Items[],5,0),0)</f>
        <v>40261219.039999999</v>
      </c>
      <c r="F11" s="42">
        <f t="shared" si="5"/>
        <v>40261219.039999992</v>
      </c>
      <c r="G11" s="41">
        <v>0</v>
      </c>
      <c r="H11" s="41">
        <f>IFERROR(VLOOKUP(A11,Items[],4,0),0)</f>
        <v>44774173.579999998</v>
      </c>
      <c r="I11" s="41">
        <f>IFERROR(VLOOKUP(A11,Community[],4,0),0)</f>
        <v>0</v>
      </c>
      <c r="J11" s="41">
        <f>IFERROR(VLOOKUP(A11,Community[],5,0),0)</f>
        <v>0</v>
      </c>
      <c r="K11" s="41">
        <f>IFERROR(VLOOKUP(A11,Community[],6,0),0)</f>
        <v>0</v>
      </c>
      <c r="L11" s="41">
        <f>IFERROR(VLOOKUP(A11,Community[],7,0),0)</f>
        <v>0</v>
      </c>
      <c r="M11" s="41">
        <f>IFERROR(VLOOKUP(A11,Debt[],3,0),0)</f>
        <v>23165.67</v>
      </c>
      <c r="N11" s="41">
        <f>IFERROR(VLOOKUP(A11,Debt[],4,0),0)</f>
        <v>144837.65</v>
      </c>
      <c r="O11" s="41">
        <f>IFERROR(VLOOKUP(A11,Debt[],5,0),0)</f>
        <v>0</v>
      </c>
      <c r="P11" s="41">
        <f>IFERROR(VLOOKUP(A11,Items[],3,0),0)</f>
        <v>109806.89</v>
      </c>
      <c r="Q11" s="41">
        <f>IFERROR(VLOOKUP($A11,Federal[],2,0),0)</f>
        <v>4676.09</v>
      </c>
      <c r="R11" s="41">
        <f>IFERROR(VLOOKUP($A11,Federal[],4,0),0)</f>
        <v>3766060.07</v>
      </c>
      <c r="S11" s="41"/>
      <c r="T11" s="47">
        <f>IFERROR(VLOOKUP($A11,Program[],3,0),0)</f>
        <v>0</v>
      </c>
      <c r="U11" s="47"/>
      <c r="V11" s="41">
        <f>IFERROR(VLOOKUP($A11,Program[],4,0),0)</f>
        <v>0</v>
      </c>
      <c r="W11" s="41">
        <f>IFERROR(VLOOKUP($A11,Program[],5,0),0)</f>
        <v>0</v>
      </c>
      <c r="X11" s="41"/>
      <c r="Y11" s="41"/>
      <c r="Z11" s="41"/>
      <c r="AA11" s="41">
        <f>IFERROR(VLOOKUP($A11,Program[],6,0),0)</f>
        <v>0</v>
      </c>
      <c r="AB11" s="41"/>
      <c r="AC11" s="41"/>
      <c r="AD11" s="41">
        <f>IFERROR(VLOOKUP($A11,Program[],7,0),0)</f>
        <v>8988.5300000000007</v>
      </c>
      <c r="AE11" s="41">
        <f>IFERROR(VLOOKUP($A11,Program[],8,0),0)</f>
        <v>0</v>
      </c>
      <c r="AF11" s="41">
        <f>IFERROR(VLOOKUP($A11,Program[],9,0),0)</f>
        <v>0</v>
      </c>
      <c r="AG11" s="41">
        <f>IFERROR(VLOOKUP($A11,Program[],10,0),0)</f>
        <v>0</v>
      </c>
      <c r="AH11" s="41">
        <f>IFERROR(VLOOKUP($A11,Program[],11,0),0)</f>
        <v>0</v>
      </c>
      <c r="AI11" s="41">
        <f>IFERROR(VLOOKUP($A11,Program[],12,0),0)</f>
        <v>0</v>
      </c>
      <c r="AJ11" s="41"/>
      <c r="AK11" s="41">
        <f>IFERROR(VLOOKUP($A11,Program[],13,0),0)</f>
        <v>0</v>
      </c>
      <c r="AL11" s="41"/>
      <c r="AM11" s="41"/>
      <c r="AN11" s="41"/>
      <c r="AO11" s="41"/>
      <c r="AP11" s="41"/>
      <c r="AQ11" s="41"/>
      <c r="AR11" s="41"/>
      <c r="AS11" s="41">
        <f>IFERROR(VLOOKUP($A11,Program[],14,0),0)</f>
        <v>0</v>
      </c>
      <c r="AT11" s="41"/>
      <c r="AU11" s="41"/>
      <c r="AV11" s="41">
        <f>IFERROR(VLOOKUP($A11,Program[],15,0),0)</f>
        <v>0</v>
      </c>
      <c r="AW11" s="41"/>
      <c r="AX11" s="41">
        <f>IFERROR(VLOOKUP($A11,Program[],16,0),0)</f>
        <v>0</v>
      </c>
      <c r="AY11" s="41">
        <f>IFERROR(VLOOKUP($A11,Program[],17,0),0)</f>
        <v>0</v>
      </c>
      <c r="AZ11" s="41">
        <f>IFERROR(VLOOKUP($A11,Program[],18,0),0)</f>
        <v>0</v>
      </c>
      <c r="BA11" s="41">
        <f>IFERROR(VLOOKUP($A11,Program[],19,0),0)</f>
        <v>15485.8</v>
      </c>
      <c r="BB11" s="77">
        <f t="shared" si="8"/>
        <v>110546.93999999971</v>
      </c>
      <c r="BC11" s="41">
        <f>IFERROR(VLOOKUP(A11,Food[],3,0),0)</f>
        <v>1901024.53</v>
      </c>
      <c r="BD11" s="41">
        <f>IFERROR(VLOOKUP($A11,FoodRev[],2,0),0)</f>
        <v>47709.61</v>
      </c>
      <c r="BE11" s="41">
        <f>IFERROR(VLOOKUP($A11,FoodRev[],3,0),0)</f>
        <v>441172.89</v>
      </c>
      <c r="BF11" s="41">
        <f>IFERROR(VLOOKUP($A11,FoodRev[],4,0),0)</f>
        <v>0</v>
      </c>
      <c r="BG11" s="41">
        <f>IFERROR(VLOOKUP($A11,FoodRev[],5,0),0)</f>
        <v>1140184.0900000001</v>
      </c>
      <c r="BH11" s="41">
        <f>IFERROR(VLOOKUP($A11,FoodRev[],6,0),0)</f>
        <v>0</v>
      </c>
      <c r="BI11" s="41">
        <f>IFERROR(VLOOKUP($A11,FoodRev[],7,0),0)</f>
        <v>0</v>
      </c>
      <c r="BJ11" s="41">
        <f>IFERROR(VLOOKUP($A11,FoodRev[],8,0),0)</f>
        <v>161411</v>
      </c>
      <c r="BK11" s="41">
        <f>IFERROR(VLOOKUP($A11,FoodRev[],9,0),0)</f>
        <v>0</v>
      </c>
      <c r="BL11" s="41">
        <f>IFERROR(VLOOKUP($A11,FoodRev[],10,0),0)</f>
        <v>0</v>
      </c>
      <c r="BM11" s="41">
        <f t="shared" si="6"/>
        <v>1790477.59</v>
      </c>
      <c r="BN11" s="42">
        <f t="shared" si="2"/>
        <v>110546.93999999971</v>
      </c>
      <c r="BO11" s="78">
        <f t="shared" si="7"/>
        <v>110546.93999999971</v>
      </c>
      <c r="BP11" s="78">
        <f t="shared" si="3"/>
        <v>0</v>
      </c>
    </row>
    <row r="12" spans="1:68" x14ac:dyDescent="0.25">
      <c r="A12" s="40" t="s">
        <v>346</v>
      </c>
      <c r="B12" s="40" t="s">
        <v>715</v>
      </c>
      <c r="D12" s="203">
        <f t="shared" si="4"/>
        <v>0</v>
      </c>
      <c r="E12" s="41">
        <f>IFERROR(VLOOKUP(A12,Items[],5,0),0)</f>
        <v>10593771.460000001</v>
      </c>
      <c r="F12" s="42">
        <f t="shared" si="5"/>
        <v>10593771.460000001</v>
      </c>
      <c r="G12" s="41">
        <v>0</v>
      </c>
      <c r="H12" s="41">
        <f>IFERROR(VLOOKUP(A12,Items[],4,0),0)</f>
        <v>11460156.470000001</v>
      </c>
      <c r="I12" s="41">
        <f>IFERROR(VLOOKUP(A12,Community[],4,0),0)</f>
        <v>0</v>
      </c>
      <c r="J12" s="41">
        <f>IFERROR(VLOOKUP(A12,Community[],5,0),0)</f>
        <v>0</v>
      </c>
      <c r="K12" s="41">
        <f>IFERROR(VLOOKUP(A12,Community[],6,0),0)</f>
        <v>0</v>
      </c>
      <c r="L12" s="41">
        <f>IFERROR(VLOOKUP(A12,Community[],7,0),0)</f>
        <v>0</v>
      </c>
      <c r="M12" s="41">
        <f>IFERROR(VLOOKUP(A12,Debt[],3,0),0)</f>
        <v>0</v>
      </c>
      <c r="N12" s="41">
        <f>IFERROR(VLOOKUP(A12,Debt[],4,0),0)</f>
        <v>0</v>
      </c>
      <c r="O12" s="41">
        <f>IFERROR(VLOOKUP(A12,Debt[],5,0),0)</f>
        <v>0</v>
      </c>
      <c r="P12" s="41">
        <f>IFERROR(VLOOKUP(A12,Items[],3,0),0)</f>
        <v>81936.639999999999</v>
      </c>
      <c r="Q12" s="41">
        <f>IFERROR(VLOOKUP($A12,Federal[],2,0),0)</f>
        <v>1232.97</v>
      </c>
      <c r="R12" s="41">
        <f>IFERROR(VLOOKUP($A12,Federal[],4,0),0)</f>
        <v>659694.27</v>
      </c>
      <c r="S12" s="41"/>
      <c r="T12" s="47">
        <f>IFERROR(VLOOKUP($A12,Program[],3,0),0)</f>
        <v>0</v>
      </c>
      <c r="U12" s="47"/>
      <c r="V12" s="41">
        <f>IFERROR(VLOOKUP($A12,Program[],4,0),0)</f>
        <v>0</v>
      </c>
      <c r="W12" s="41">
        <f>IFERROR(VLOOKUP($A12,Program[],5,0),0)</f>
        <v>0</v>
      </c>
      <c r="X12" s="41"/>
      <c r="Y12" s="41"/>
      <c r="Z12" s="41"/>
      <c r="AA12" s="41">
        <f>IFERROR(VLOOKUP($A12,Program[],6,0),0)</f>
        <v>0</v>
      </c>
      <c r="AB12" s="41"/>
      <c r="AC12" s="41"/>
      <c r="AD12" s="41">
        <f>IFERROR(VLOOKUP($A12,Program[],7,0),0)</f>
        <v>0</v>
      </c>
      <c r="AE12" s="41">
        <f>IFERROR(VLOOKUP($A12,Program[],8,0),0)</f>
        <v>0</v>
      </c>
      <c r="AF12" s="41">
        <f>IFERROR(VLOOKUP($A12,Program[],9,0),0)</f>
        <v>0</v>
      </c>
      <c r="AG12" s="41">
        <f>IFERROR(VLOOKUP($A12,Program[],10,0),0)</f>
        <v>0</v>
      </c>
      <c r="AH12" s="41">
        <f>IFERROR(VLOOKUP($A12,Program[],11,0),0)</f>
        <v>0</v>
      </c>
      <c r="AI12" s="41">
        <f>IFERROR(VLOOKUP($A12,Program[],12,0),0)</f>
        <v>0</v>
      </c>
      <c r="AJ12" s="41"/>
      <c r="AK12" s="41">
        <f>IFERROR(VLOOKUP($A12,Program[],13,0),0)</f>
        <v>0</v>
      </c>
      <c r="AL12" s="41"/>
      <c r="AM12" s="41"/>
      <c r="AN12" s="41"/>
      <c r="AO12" s="41"/>
      <c r="AP12" s="41"/>
      <c r="AQ12" s="41"/>
      <c r="AR12" s="41"/>
      <c r="AS12" s="41">
        <f>IFERROR(VLOOKUP($A12,Program[],14,0),0)</f>
        <v>0</v>
      </c>
      <c r="AT12" s="41"/>
      <c r="AU12" s="41"/>
      <c r="AV12" s="41">
        <f>IFERROR(VLOOKUP($A12,Program[],15,0),0)</f>
        <v>0</v>
      </c>
      <c r="AW12" s="41"/>
      <c r="AX12" s="41">
        <f>IFERROR(VLOOKUP($A12,Program[],16,0),0)</f>
        <v>0</v>
      </c>
      <c r="AY12" s="41">
        <f>IFERROR(VLOOKUP($A12,Program[],17,0),0)</f>
        <v>0</v>
      </c>
      <c r="AZ12" s="41">
        <f>IFERROR(VLOOKUP($A12,Program[],18,0),0)</f>
        <v>0</v>
      </c>
      <c r="BA12" s="41">
        <f>IFERROR(VLOOKUP($A12,Program[],19,0),0)</f>
        <v>0</v>
      </c>
      <c r="BB12" s="77">
        <f t="shared" si="8"/>
        <v>60403.710000000036</v>
      </c>
      <c r="BC12" s="41">
        <f>IFERROR(VLOOKUP(A12,Food[],3,0),0)</f>
        <v>332786.86000000004</v>
      </c>
      <c r="BD12" s="41">
        <f>IFERROR(VLOOKUP($A12,FoodRev[],2,0),0)</f>
        <v>28991.200000000001</v>
      </c>
      <c r="BE12" s="41">
        <f>IFERROR(VLOOKUP($A12,FoodRev[],3,0),0)</f>
        <v>94529.93</v>
      </c>
      <c r="BF12" s="41">
        <f>IFERROR(VLOOKUP($A12,FoodRev[],4,0),0)</f>
        <v>0</v>
      </c>
      <c r="BG12" s="41">
        <f>IFERROR(VLOOKUP($A12,FoodRev[],5,0),0)</f>
        <v>127108.83</v>
      </c>
      <c r="BH12" s="41">
        <f>IFERROR(VLOOKUP($A12,FoodRev[],6,0),0)</f>
        <v>0</v>
      </c>
      <c r="BI12" s="41">
        <f>IFERROR(VLOOKUP($A12,FoodRev[],7,0),0)</f>
        <v>0</v>
      </c>
      <c r="BJ12" s="41">
        <f>IFERROR(VLOOKUP($A12,FoodRev[],8,0),0)</f>
        <v>21753.19</v>
      </c>
      <c r="BK12" s="41">
        <f>IFERROR(VLOOKUP($A12,FoodRev[],9,0),0)</f>
        <v>0</v>
      </c>
      <c r="BL12" s="41">
        <f>IFERROR(VLOOKUP($A12,FoodRev[],10,0),0)</f>
        <v>0</v>
      </c>
      <c r="BM12" s="41">
        <f t="shared" si="6"/>
        <v>272383.14999999997</v>
      </c>
      <c r="BN12" s="42">
        <f t="shared" si="2"/>
        <v>60403.710000000036</v>
      </c>
      <c r="BO12" s="78">
        <f t="shared" si="7"/>
        <v>60403.710000000036</v>
      </c>
      <c r="BP12" s="78">
        <f t="shared" si="3"/>
        <v>0</v>
      </c>
    </row>
    <row r="13" spans="1:68" x14ac:dyDescent="0.25">
      <c r="A13" s="40" t="s">
        <v>36</v>
      </c>
      <c r="B13" s="40" t="s">
        <v>716</v>
      </c>
      <c r="D13" s="203">
        <f t="shared" si="4"/>
        <v>-5.9604644775390625E-8</v>
      </c>
      <c r="E13" s="41">
        <f>IFERROR(VLOOKUP(A13,Items[],5,0),0)</f>
        <v>288143568.54000002</v>
      </c>
      <c r="F13" s="42">
        <f t="shared" si="5"/>
        <v>288143568.54000008</v>
      </c>
      <c r="G13" s="41">
        <v>0</v>
      </c>
      <c r="H13" s="41">
        <f>IFERROR(VLOOKUP(A13,Items[],4,0),0)</f>
        <v>320010497.24000001</v>
      </c>
      <c r="I13" s="41">
        <f>IFERROR(VLOOKUP(A13,Community[],4,0),0)</f>
        <v>0</v>
      </c>
      <c r="J13" s="41">
        <f>IFERROR(VLOOKUP(A13,Community[],5,0),0)</f>
        <v>11942.26</v>
      </c>
      <c r="K13" s="41">
        <f>IFERROR(VLOOKUP(A13,Community[],6,0),0)</f>
        <v>2869421.1899999995</v>
      </c>
      <c r="L13" s="41">
        <f>IFERROR(VLOOKUP(A13,Community[],7,0),0)</f>
        <v>66582.14</v>
      </c>
      <c r="M13" s="41">
        <f>IFERROR(VLOOKUP(A13,Debt[],3,0),0)</f>
        <v>0</v>
      </c>
      <c r="N13" s="41">
        <f>IFERROR(VLOOKUP(A13,Debt[],4,0),0)</f>
        <v>0</v>
      </c>
      <c r="O13" s="41">
        <f>IFERROR(VLOOKUP(A13,Debt[],5,0),0)</f>
        <v>0</v>
      </c>
      <c r="P13" s="41">
        <f>IFERROR(VLOOKUP(A13,Items[],3,0),0)</f>
        <v>1308312.6200000001</v>
      </c>
      <c r="Q13" s="41">
        <f>IFERROR(VLOOKUP($A13,Federal[],2,0),0)</f>
        <v>0</v>
      </c>
      <c r="R13" s="41">
        <f>IFERROR(VLOOKUP($A13,Federal[],4,0),0)</f>
        <v>26125214.010000002</v>
      </c>
      <c r="S13" s="41"/>
      <c r="T13" s="47">
        <f>IFERROR(VLOOKUP($A13,Program[],3,0),0)</f>
        <v>0</v>
      </c>
      <c r="U13" s="47"/>
      <c r="V13" s="41">
        <f>IFERROR(VLOOKUP($A13,Program[],4,0),0)</f>
        <v>0</v>
      </c>
      <c r="W13" s="41">
        <f>IFERROR(VLOOKUP($A13,Program[],5,0),0)</f>
        <v>0</v>
      </c>
      <c r="X13" s="41"/>
      <c r="Y13" s="41"/>
      <c r="Z13" s="41"/>
      <c r="AA13" s="41">
        <f>IFERROR(VLOOKUP($A13,Program[],6,0),0)</f>
        <v>0</v>
      </c>
      <c r="AB13" s="41"/>
      <c r="AC13" s="41"/>
      <c r="AD13" s="41">
        <f>IFERROR(VLOOKUP($A13,Program[],7,0),0)</f>
        <v>43042.61</v>
      </c>
      <c r="AE13" s="41">
        <f>IFERROR(VLOOKUP($A13,Program[],8,0),0)</f>
        <v>0</v>
      </c>
      <c r="AF13" s="41">
        <f>IFERROR(VLOOKUP($A13,Program[],9,0),0)</f>
        <v>0</v>
      </c>
      <c r="AG13" s="41">
        <f>IFERROR(VLOOKUP($A13,Program[],10,0),0)</f>
        <v>0</v>
      </c>
      <c r="AH13" s="41">
        <f>IFERROR(VLOOKUP($A13,Program[],11,0),0)</f>
        <v>0</v>
      </c>
      <c r="AI13" s="41">
        <f>IFERROR(VLOOKUP($A13,Program[],12,0),0)</f>
        <v>0</v>
      </c>
      <c r="AJ13" s="41"/>
      <c r="AK13" s="41">
        <f>IFERROR(VLOOKUP($A13,Program[],13,0),0)</f>
        <v>0</v>
      </c>
      <c r="AL13" s="41"/>
      <c r="AM13" s="41"/>
      <c r="AN13" s="41"/>
      <c r="AO13" s="41"/>
      <c r="AP13" s="41"/>
      <c r="AQ13" s="41"/>
      <c r="AR13" s="41"/>
      <c r="AS13" s="41">
        <f>IFERROR(VLOOKUP($A13,Program[],14,0),0)</f>
        <v>0</v>
      </c>
      <c r="AT13" s="41"/>
      <c r="AU13" s="41"/>
      <c r="AV13" s="41">
        <f>IFERROR(VLOOKUP($A13,Program[],15,0),0)</f>
        <v>0</v>
      </c>
      <c r="AW13" s="41"/>
      <c r="AX13" s="41">
        <f>IFERROR(VLOOKUP($A13,Program[],16,0),0)</f>
        <v>0</v>
      </c>
      <c r="AY13" s="41">
        <f>IFERROR(VLOOKUP($A13,Program[],17,0),0)</f>
        <v>0</v>
      </c>
      <c r="AZ13" s="41">
        <f>IFERROR(VLOOKUP($A13,Program[],18,0),0)</f>
        <v>0</v>
      </c>
      <c r="BA13" s="41">
        <f>IFERROR(VLOOKUP($A13,Program[],19,0),0)</f>
        <v>0</v>
      </c>
      <c r="BB13" s="77">
        <f t="shared" si="8"/>
        <v>0</v>
      </c>
      <c r="BC13" s="41">
        <f>IFERROR(VLOOKUP(A13,Food[],3,0),0)</f>
        <v>12762919.02</v>
      </c>
      <c r="BD13" s="41">
        <f>IFERROR(VLOOKUP($A13,FoodRev[],2,0),0)</f>
        <v>73350.78</v>
      </c>
      <c r="BE13" s="41">
        <f>IFERROR(VLOOKUP($A13,FoodRev[],3,0),0)</f>
        <v>2958485.43</v>
      </c>
      <c r="BF13" s="41">
        <f>IFERROR(VLOOKUP($A13,FoodRev[],4,0),0)</f>
        <v>0</v>
      </c>
      <c r="BG13" s="41">
        <f>IFERROR(VLOOKUP($A13,FoodRev[],5,0),0)</f>
        <v>10531030.1</v>
      </c>
      <c r="BH13" s="41">
        <f>IFERROR(VLOOKUP($A13,FoodRev[],6,0),0)</f>
        <v>0</v>
      </c>
      <c r="BI13" s="41">
        <f>IFERROR(VLOOKUP($A13,FoodRev[],7,0),0)</f>
        <v>0</v>
      </c>
      <c r="BJ13" s="41">
        <f>IFERROR(VLOOKUP($A13,FoodRev[],8,0),0)</f>
        <v>703389.83</v>
      </c>
      <c r="BK13" s="41">
        <f>IFERROR(VLOOKUP($A13,FoodRev[],9,0),0)</f>
        <v>0</v>
      </c>
      <c r="BL13" s="41">
        <f>IFERROR(VLOOKUP($A13,FoodRev[],10,0),0)</f>
        <v>0</v>
      </c>
      <c r="BM13" s="41">
        <f t="shared" si="6"/>
        <v>14266256.139999999</v>
      </c>
      <c r="BN13" s="42">
        <f t="shared" si="2"/>
        <v>-1503337.1199999992</v>
      </c>
      <c r="BO13" s="78">
        <f t="shared" si="7"/>
        <v>0</v>
      </c>
      <c r="BP13" s="78">
        <f t="shared" si="3"/>
        <v>-1503337.1199999992</v>
      </c>
    </row>
    <row r="14" spans="1:68" x14ac:dyDescent="0.25">
      <c r="A14" s="40" t="s">
        <v>510</v>
      </c>
      <c r="B14" s="40" t="s">
        <v>717</v>
      </c>
      <c r="D14" s="203">
        <f t="shared" si="4"/>
        <v>0</v>
      </c>
      <c r="E14" s="41">
        <f>IFERROR(VLOOKUP(A14,Items[],5,0),0)</f>
        <v>2765650.73</v>
      </c>
      <c r="F14" s="42">
        <f t="shared" si="5"/>
        <v>2765650.73</v>
      </c>
      <c r="G14" s="41">
        <v>0</v>
      </c>
      <c r="H14" s="41">
        <f>IFERROR(VLOOKUP(A14,Items[],4,0),0)</f>
        <v>3002412.54</v>
      </c>
      <c r="I14" s="41">
        <f>IFERROR(VLOOKUP(A14,Community[],4,0),0)</f>
        <v>0</v>
      </c>
      <c r="J14" s="41">
        <f>IFERROR(VLOOKUP(A14,Community[],5,0),0)</f>
        <v>0</v>
      </c>
      <c r="K14" s="41">
        <f>IFERROR(VLOOKUP(A14,Community[],6,0),0)</f>
        <v>0</v>
      </c>
      <c r="L14" s="41">
        <f>IFERROR(VLOOKUP(A14,Community[],7,0),0)</f>
        <v>0</v>
      </c>
      <c r="M14" s="41">
        <f>IFERROR(VLOOKUP(A14,Debt[],3,0),0)</f>
        <v>0</v>
      </c>
      <c r="N14" s="41">
        <f>IFERROR(VLOOKUP(A14,Debt[],4,0),0)</f>
        <v>0</v>
      </c>
      <c r="O14" s="41">
        <f>IFERROR(VLOOKUP(A14,Debt[],5,0),0)</f>
        <v>0</v>
      </c>
      <c r="P14" s="41">
        <f>IFERROR(VLOOKUP(A14,Items[],3,0),0)</f>
        <v>0</v>
      </c>
      <c r="Q14" s="41">
        <f>IFERROR(VLOOKUP($A14,Federal[],2,0),0)</f>
        <v>0</v>
      </c>
      <c r="R14" s="41">
        <f>IFERROR(VLOOKUP($A14,Federal[],4,0),0)</f>
        <v>219402.86</v>
      </c>
      <c r="S14" s="41"/>
      <c r="T14" s="47">
        <f>IFERROR(VLOOKUP($A14,Program[],3,0),0)</f>
        <v>0</v>
      </c>
      <c r="U14" s="47"/>
      <c r="V14" s="41">
        <f>IFERROR(VLOOKUP($A14,Program[],4,0),0)</f>
        <v>0</v>
      </c>
      <c r="W14" s="41">
        <f>IFERROR(VLOOKUP($A14,Program[],5,0),0)</f>
        <v>0</v>
      </c>
      <c r="X14" s="41"/>
      <c r="Y14" s="41"/>
      <c r="Z14" s="41"/>
      <c r="AA14" s="41">
        <f>IFERROR(VLOOKUP($A14,Program[],6,0),0)</f>
        <v>0</v>
      </c>
      <c r="AB14" s="41"/>
      <c r="AC14" s="41"/>
      <c r="AD14" s="41">
        <f>IFERROR(VLOOKUP($A14,Program[],7,0),0)</f>
        <v>0</v>
      </c>
      <c r="AE14" s="41">
        <f>IFERROR(VLOOKUP($A14,Program[],8,0),0)</f>
        <v>0</v>
      </c>
      <c r="AF14" s="41">
        <f>IFERROR(VLOOKUP($A14,Program[],9,0),0)</f>
        <v>0</v>
      </c>
      <c r="AG14" s="41">
        <f>IFERROR(VLOOKUP($A14,Program[],10,0),0)</f>
        <v>0</v>
      </c>
      <c r="AH14" s="41">
        <f>IFERROR(VLOOKUP($A14,Program[],11,0),0)</f>
        <v>0</v>
      </c>
      <c r="AI14" s="41">
        <f>IFERROR(VLOOKUP($A14,Program[],12,0),0)</f>
        <v>0</v>
      </c>
      <c r="AJ14" s="41"/>
      <c r="AK14" s="41">
        <f>IFERROR(VLOOKUP($A14,Program[],13,0),0)</f>
        <v>0</v>
      </c>
      <c r="AL14" s="41"/>
      <c r="AM14" s="41"/>
      <c r="AN14" s="41"/>
      <c r="AO14" s="41"/>
      <c r="AP14" s="41"/>
      <c r="AQ14" s="41"/>
      <c r="AR14" s="41"/>
      <c r="AS14" s="41">
        <f>IFERROR(VLOOKUP($A14,Program[],14,0),0)</f>
        <v>0</v>
      </c>
      <c r="AT14" s="41"/>
      <c r="AU14" s="41"/>
      <c r="AV14" s="41">
        <f>IFERROR(VLOOKUP($A14,Program[],15,0),0)</f>
        <v>0</v>
      </c>
      <c r="AW14" s="41"/>
      <c r="AX14" s="41">
        <f>IFERROR(VLOOKUP($A14,Program[],16,0),0)</f>
        <v>0</v>
      </c>
      <c r="AY14" s="41">
        <f>IFERROR(VLOOKUP($A14,Program[],17,0),0)</f>
        <v>0</v>
      </c>
      <c r="AZ14" s="41">
        <f>IFERROR(VLOOKUP($A14,Program[],18,0),0)</f>
        <v>0</v>
      </c>
      <c r="BA14" s="41">
        <f>IFERROR(VLOOKUP($A14,Program[],19,0),0)</f>
        <v>0</v>
      </c>
      <c r="BB14" s="77">
        <f t="shared" si="8"/>
        <v>23012.060000000005</v>
      </c>
      <c r="BC14" s="41">
        <f>IFERROR(VLOOKUP(A14,Food[],3,0),0)</f>
        <v>100958.89</v>
      </c>
      <c r="BD14" s="41">
        <f>IFERROR(VLOOKUP($A14,FoodRev[],2,0),0)</f>
        <v>0</v>
      </c>
      <c r="BE14" s="41">
        <f>IFERROR(VLOOKUP($A14,FoodRev[],3,0),0)</f>
        <v>17358.95</v>
      </c>
      <c r="BF14" s="41">
        <f>IFERROR(VLOOKUP($A14,FoodRev[],4,0),0)</f>
        <v>0</v>
      </c>
      <c r="BG14" s="41">
        <f>IFERROR(VLOOKUP($A14,FoodRev[],5,0),0)</f>
        <v>56652.84</v>
      </c>
      <c r="BH14" s="41">
        <f>IFERROR(VLOOKUP($A14,FoodRev[],6,0),0)</f>
        <v>0</v>
      </c>
      <c r="BI14" s="41">
        <f>IFERROR(VLOOKUP($A14,FoodRev[],7,0),0)</f>
        <v>0</v>
      </c>
      <c r="BJ14" s="41">
        <f>IFERROR(VLOOKUP($A14,FoodRev[],8,0),0)</f>
        <v>3935.04</v>
      </c>
      <c r="BK14" s="41">
        <f>IFERROR(VLOOKUP($A14,FoodRev[],9,0),0)</f>
        <v>0</v>
      </c>
      <c r="BL14" s="41">
        <f>IFERROR(VLOOKUP($A14,FoodRev[],10,0),0)</f>
        <v>0</v>
      </c>
      <c r="BM14" s="41">
        <f t="shared" si="6"/>
        <v>77946.829999999987</v>
      </c>
      <c r="BN14" s="42">
        <f t="shared" si="2"/>
        <v>23012.060000000005</v>
      </c>
      <c r="BO14" s="78">
        <f t="shared" si="7"/>
        <v>23012.060000000005</v>
      </c>
      <c r="BP14" s="78">
        <f t="shared" si="3"/>
        <v>0</v>
      </c>
    </row>
    <row r="15" spans="1:68" x14ac:dyDescent="0.25">
      <c r="A15" s="40" t="s">
        <v>254</v>
      </c>
      <c r="B15" s="40" t="s">
        <v>1004</v>
      </c>
      <c r="D15" s="203">
        <f t="shared" si="4"/>
        <v>0</v>
      </c>
      <c r="E15" s="41">
        <f>IFERROR(VLOOKUP(A15,Items[],5,0),0)</f>
        <v>22295697.77</v>
      </c>
      <c r="F15" s="42">
        <f t="shared" si="5"/>
        <v>22295697.77</v>
      </c>
      <c r="G15" s="41">
        <v>0</v>
      </c>
      <c r="H15" s="41">
        <f>IFERROR(VLOOKUP(A15,Items[],4,0),0)</f>
        <v>24866510.640000001</v>
      </c>
      <c r="I15" s="41">
        <f>IFERROR(VLOOKUP(A15,Community[],4,0),0)</f>
        <v>0</v>
      </c>
      <c r="J15" s="41">
        <f>IFERROR(VLOOKUP(A15,Community[],5,0),0)</f>
        <v>0</v>
      </c>
      <c r="K15" s="41">
        <f>IFERROR(VLOOKUP(A15,Community[],6,0),0)</f>
        <v>487470.31999999995</v>
      </c>
      <c r="L15" s="41">
        <f>IFERROR(VLOOKUP(A15,Community[],7,0),0)</f>
        <v>0</v>
      </c>
      <c r="M15" s="41">
        <f>IFERROR(VLOOKUP(A15,Debt[],3,0),0)</f>
        <v>0</v>
      </c>
      <c r="N15" s="41">
        <f>IFERROR(VLOOKUP(A15,Debt[],4,0),0)</f>
        <v>0</v>
      </c>
      <c r="O15" s="41">
        <f>IFERROR(VLOOKUP(A15,Debt[],5,0),0)</f>
        <v>0</v>
      </c>
      <c r="P15" s="41">
        <f>IFERROR(VLOOKUP(A15,Items[],3,0),0)</f>
        <v>20907.38</v>
      </c>
      <c r="Q15" s="41">
        <f>IFERROR(VLOOKUP($A15,Federal[],2,0),0)</f>
        <v>0</v>
      </c>
      <c r="R15" s="41">
        <f>IFERROR(VLOOKUP($A15,Federal[],4,0),0)</f>
        <v>2053453.39</v>
      </c>
      <c r="S15" s="41"/>
      <c r="T15" s="47">
        <f>IFERROR(VLOOKUP($A15,Program[],3,0),0)</f>
        <v>0</v>
      </c>
      <c r="U15" s="47"/>
      <c r="V15" s="41">
        <f>IFERROR(VLOOKUP($A15,Program[],4,0),0)</f>
        <v>0</v>
      </c>
      <c r="W15" s="41">
        <f>IFERROR(VLOOKUP($A15,Program[],5,0),0)</f>
        <v>0</v>
      </c>
      <c r="X15" s="41"/>
      <c r="Y15" s="41"/>
      <c r="Z15" s="41"/>
      <c r="AA15" s="41">
        <f>IFERROR(VLOOKUP($A15,Program[],6,0),0)</f>
        <v>0</v>
      </c>
      <c r="AB15" s="41"/>
      <c r="AC15" s="41"/>
      <c r="AD15" s="41">
        <f>IFERROR(VLOOKUP($A15,Program[],7,0),0)</f>
        <v>0</v>
      </c>
      <c r="AE15" s="41">
        <f>IFERROR(VLOOKUP($A15,Program[],8,0),0)</f>
        <v>0</v>
      </c>
      <c r="AF15" s="41">
        <f>IFERROR(VLOOKUP($A15,Program[],9,0),0)</f>
        <v>0</v>
      </c>
      <c r="AG15" s="41">
        <f>IFERROR(VLOOKUP($A15,Program[],10,0),0)</f>
        <v>0</v>
      </c>
      <c r="AH15" s="41">
        <f>IFERROR(VLOOKUP($A15,Program[],11,0),0)</f>
        <v>0</v>
      </c>
      <c r="AI15" s="41">
        <f>IFERROR(VLOOKUP($A15,Program[],12,0),0)</f>
        <v>0</v>
      </c>
      <c r="AJ15" s="41"/>
      <c r="AK15" s="41">
        <f>IFERROR(VLOOKUP($A15,Program[],13,0),0)</f>
        <v>0</v>
      </c>
      <c r="AL15" s="41"/>
      <c r="AM15" s="41"/>
      <c r="AN15" s="41"/>
      <c r="AO15" s="41"/>
      <c r="AP15" s="41"/>
      <c r="AQ15" s="41"/>
      <c r="AR15" s="41"/>
      <c r="AS15" s="41">
        <f>IFERROR(VLOOKUP($A15,Program[],14,0),0)</f>
        <v>0</v>
      </c>
      <c r="AT15" s="41"/>
      <c r="AU15" s="41"/>
      <c r="AV15" s="41">
        <f>IFERROR(VLOOKUP($A15,Program[],15,0),0)</f>
        <v>0</v>
      </c>
      <c r="AW15" s="41"/>
      <c r="AX15" s="41">
        <f>IFERROR(VLOOKUP($A15,Program[],16,0),0)</f>
        <v>0</v>
      </c>
      <c r="AY15" s="41">
        <f>IFERROR(VLOOKUP($A15,Program[],17,0),0)</f>
        <v>20907.38</v>
      </c>
      <c r="AZ15" s="41">
        <f>IFERROR(VLOOKUP($A15,Program[],18,0),0)</f>
        <v>0</v>
      </c>
      <c r="BA15" s="41">
        <f>IFERROR(VLOOKUP($A15,Program[],19,0),0)</f>
        <v>0</v>
      </c>
      <c r="BB15" s="77">
        <f t="shared" si="8"/>
        <v>42669.219999999994</v>
      </c>
      <c r="BC15" s="41">
        <f>IFERROR(VLOOKUP(A15,Food[],3,0),0)</f>
        <v>986433.56</v>
      </c>
      <c r="BD15" s="41">
        <f>IFERROR(VLOOKUP($A15,FoodRev[],2,0),0)</f>
        <v>0</v>
      </c>
      <c r="BE15" s="41">
        <f>IFERROR(VLOOKUP($A15,FoodRev[],3,0),0)</f>
        <v>29889.16</v>
      </c>
      <c r="BF15" s="41">
        <f>IFERROR(VLOOKUP($A15,FoodRev[],4,0),0)</f>
        <v>0</v>
      </c>
      <c r="BG15" s="41">
        <f>IFERROR(VLOOKUP($A15,FoodRev[],5,0),0)</f>
        <v>864093.78</v>
      </c>
      <c r="BH15" s="41">
        <f>IFERROR(VLOOKUP($A15,FoodRev[],6,0),0)</f>
        <v>0</v>
      </c>
      <c r="BI15" s="41">
        <f>IFERROR(VLOOKUP($A15,FoodRev[],7,0),0)</f>
        <v>0</v>
      </c>
      <c r="BJ15" s="41">
        <f>IFERROR(VLOOKUP($A15,FoodRev[],8,0),0)</f>
        <v>49781.4</v>
      </c>
      <c r="BK15" s="41">
        <f>IFERROR(VLOOKUP($A15,FoodRev[],9,0),0)</f>
        <v>0</v>
      </c>
      <c r="BL15" s="41">
        <f>IFERROR(VLOOKUP($A15,FoodRev[],10,0),0)</f>
        <v>0</v>
      </c>
      <c r="BM15" s="41">
        <f t="shared" si="6"/>
        <v>943764.34000000008</v>
      </c>
      <c r="BN15" s="42">
        <f t="shared" si="2"/>
        <v>42669.219999999994</v>
      </c>
      <c r="BO15" s="78">
        <f t="shared" si="7"/>
        <v>42669.219999999994</v>
      </c>
      <c r="BP15" s="78">
        <f t="shared" si="3"/>
        <v>0</v>
      </c>
    </row>
    <row r="16" spans="1:68" x14ac:dyDescent="0.25">
      <c r="A16" s="40" t="s">
        <v>308</v>
      </c>
      <c r="B16" s="40" t="s">
        <v>718</v>
      </c>
      <c r="D16" s="203">
        <f t="shared" si="4"/>
        <v>0</v>
      </c>
      <c r="E16" s="41">
        <f>IFERROR(VLOOKUP(A16,Items[],5,0),0)</f>
        <v>13840983.130000001</v>
      </c>
      <c r="F16" s="42">
        <f t="shared" si="5"/>
        <v>13840983.130000001</v>
      </c>
      <c r="G16" s="41">
        <v>0</v>
      </c>
      <c r="H16" s="41">
        <f>IFERROR(VLOOKUP(A16,Items[],4,0),0)</f>
        <v>15508160.41</v>
      </c>
      <c r="I16" s="41">
        <f>IFERROR(VLOOKUP(A16,Community[],4,0),0)</f>
        <v>0</v>
      </c>
      <c r="J16" s="41">
        <f>IFERROR(VLOOKUP(A16,Community[],5,0),0)</f>
        <v>0</v>
      </c>
      <c r="K16" s="41">
        <f>IFERROR(VLOOKUP(A16,Community[],6,0),0)</f>
        <v>0</v>
      </c>
      <c r="L16" s="41">
        <f>IFERROR(VLOOKUP(A16,Community[],7,0),0)</f>
        <v>0</v>
      </c>
      <c r="M16" s="41">
        <f>IFERROR(VLOOKUP(A16,Debt[],3,0),0)</f>
        <v>0</v>
      </c>
      <c r="N16" s="41">
        <f>IFERROR(VLOOKUP(A16,Debt[],4,0),0)</f>
        <v>0</v>
      </c>
      <c r="O16" s="41">
        <f>IFERROR(VLOOKUP(A16,Debt[],5,0),0)</f>
        <v>0</v>
      </c>
      <c r="P16" s="41">
        <f>IFERROR(VLOOKUP(A16,Items[],3,0),0)</f>
        <v>109748.22</v>
      </c>
      <c r="Q16" s="41">
        <f>IFERROR(VLOOKUP($A16,Federal[],2,0),0)</f>
        <v>0</v>
      </c>
      <c r="R16" s="41">
        <f>IFERROR(VLOOKUP($A16,Federal[],4,0),0)</f>
        <v>1310970.8600000001</v>
      </c>
      <c r="S16" s="41"/>
      <c r="T16" s="47">
        <f>IFERROR(VLOOKUP($A16,Program[],3,0),0)</f>
        <v>0</v>
      </c>
      <c r="U16" s="47"/>
      <c r="V16" s="41">
        <f>IFERROR(VLOOKUP($A16,Program[],4,0),0)</f>
        <v>0</v>
      </c>
      <c r="W16" s="41">
        <f>IFERROR(VLOOKUP($A16,Program[],5,0),0)</f>
        <v>0</v>
      </c>
      <c r="X16" s="41"/>
      <c r="Y16" s="41"/>
      <c r="Z16" s="41"/>
      <c r="AA16" s="41">
        <f>IFERROR(VLOOKUP($A16,Program[],6,0),0)</f>
        <v>0</v>
      </c>
      <c r="AB16" s="41"/>
      <c r="AC16" s="41"/>
      <c r="AD16" s="41">
        <f>IFERROR(VLOOKUP($A16,Program[],7,0),0)</f>
        <v>0</v>
      </c>
      <c r="AE16" s="41">
        <f>IFERROR(VLOOKUP($A16,Program[],8,0),0)</f>
        <v>0</v>
      </c>
      <c r="AF16" s="41">
        <f>IFERROR(VLOOKUP($A16,Program[],9,0),0)</f>
        <v>0</v>
      </c>
      <c r="AG16" s="41">
        <f>IFERROR(VLOOKUP($A16,Program[],10,0),0)</f>
        <v>0</v>
      </c>
      <c r="AH16" s="41">
        <f>IFERROR(VLOOKUP($A16,Program[],11,0),0)</f>
        <v>0</v>
      </c>
      <c r="AI16" s="41">
        <f>IFERROR(VLOOKUP($A16,Program[],12,0),0)</f>
        <v>0</v>
      </c>
      <c r="AJ16" s="41"/>
      <c r="AK16" s="41">
        <f>IFERROR(VLOOKUP($A16,Program[],13,0),0)</f>
        <v>0</v>
      </c>
      <c r="AL16" s="41"/>
      <c r="AM16" s="41"/>
      <c r="AN16" s="41"/>
      <c r="AO16" s="41"/>
      <c r="AP16" s="41"/>
      <c r="AQ16" s="41"/>
      <c r="AR16" s="41"/>
      <c r="AS16" s="41">
        <f>IFERROR(VLOOKUP($A16,Program[],14,0),0)</f>
        <v>0</v>
      </c>
      <c r="AT16" s="41"/>
      <c r="AU16" s="41"/>
      <c r="AV16" s="41">
        <f>IFERROR(VLOOKUP($A16,Program[],15,0),0)</f>
        <v>0</v>
      </c>
      <c r="AW16" s="41"/>
      <c r="AX16" s="41">
        <f>IFERROR(VLOOKUP($A16,Program[],16,0),0)</f>
        <v>0</v>
      </c>
      <c r="AY16" s="41">
        <f>IFERROR(VLOOKUP($A16,Program[],17,0),0)</f>
        <v>0</v>
      </c>
      <c r="AZ16" s="41">
        <f>IFERROR(VLOOKUP($A16,Program[],18,0),0)</f>
        <v>0</v>
      </c>
      <c r="BA16" s="41">
        <f>IFERROR(VLOOKUP($A16,Program[],19,0),0)</f>
        <v>0</v>
      </c>
      <c r="BB16" s="77">
        <f t="shared" si="8"/>
        <v>17889.979999999967</v>
      </c>
      <c r="BC16" s="41">
        <f>IFERROR(VLOOKUP(A16,Food[],3,0),0)</f>
        <v>870743.36999999988</v>
      </c>
      <c r="BD16" s="41">
        <f>IFERROR(VLOOKUP($A16,FoodRev[],2,0),0)</f>
        <v>23393.01</v>
      </c>
      <c r="BE16" s="41">
        <f>IFERROR(VLOOKUP($A16,FoodRev[],3,0),0)</f>
        <v>223065.19</v>
      </c>
      <c r="BF16" s="41">
        <f>IFERROR(VLOOKUP($A16,FoodRev[],4,0),0)</f>
        <v>0</v>
      </c>
      <c r="BG16" s="41">
        <f>IFERROR(VLOOKUP($A16,FoodRev[],5,0),0)</f>
        <v>558117.82999999996</v>
      </c>
      <c r="BH16" s="41">
        <f>IFERROR(VLOOKUP($A16,FoodRev[],6,0),0)</f>
        <v>0</v>
      </c>
      <c r="BI16" s="41">
        <f>IFERROR(VLOOKUP($A16,FoodRev[],7,0),0)</f>
        <v>0</v>
      </c>
      <c r="BJ16" s="41">
        <f>IFERROR(VLOOKUP($A16,FoodRev[],8,0),0)</f>
        <v>48277.36</v>
      </c>
      <c r="BK16" s="41">
        <f>IFERROR(VLOOKUP($A16,FoodRev[],9,0),0)</f>
        <v>0</v>
      </c>
      <c r="BL16" s="41">
        <f>IFERROR(VLOOKUP($A16,FoodRev[],10,0),0)</f>
        <v>0</v>
      </c>
      <c r="BM16" s="41">
        <f t="shared" si="6"/>
        <v>852853.39</v>
      </c>
      <c r="BN16" s="42">
        <f t="shared" si="2"/>
        <v>17889.979999999967</v>
      </c>
      <c r="BO16" s="78">
        <f t="shared" si="7"/>
        <v>17889.979999999967</v>
      </c>
      <c r="BP16" s="78">
        <f t="shared" si="3"/>
        <v>0</v>
      </c>
    </row>
    <row r="17" spans="1:68" x14ac:dyDescent="0.25">
      <c r="A17" s="40" t="s">
        <v>194</v>
      </c>
      <c r="B17" s="40" t="s">
        <v>719</v>
      </c>
      <c r="D17" s="203">
        <f t="shared" si="4"/>
        <v>1.4901161193847656E-8</v>
      </c>
      <c r="E17" s="41">
        <f>IFERROR(VLOOKUP(A17,Items[],5,0),0)</f>
        <v>42162347.210000001</v>
      </c>
      <c r="F17" s="42">
        <f t="shared" si="5"/>
        <v>42162347.209999986</v>
      </c>
      <c r="G17" s="41">
        <v>0</v>
      </c>
      <c r="H17" s="41">
        <f>IFERROR(VLOOKUP(A17,Items[],4,0),0)</f>
        <v>46910769.259999998</v>
      </c>
      <c r="I17" s="41">
        <f>IFERROR(VLOOKUP(A17,Community[],4,0),0)</f>
        <v>0</v>
      </c>
      <c r="J17" s="41">
        <f>IFERROR(VLOOKUP(A17,Community[],5,0),0)</f>
        <v>0</v>
      </c>
      <c r="K17" s="41">
        <f>IFERROR(VLOOKUP(A17,Community[],6,0),0)</f>
        <v>0</v>
      </c>
      <c r="L17" s="41">
        <f>IFERROR(VLOOKUP(A17,Community[],7,0),0)</f>
        <v>0</v>
      </c>
      <c r="M17" s="41">
        <f>IFERROR(VLOOKUP(A17,Debt[],3,0),0)</f>
        <v>0</v>
      </c>
      <c r="N17" s="41">
        <f>IFERROR(VLOOKUP(A17,Debt[],4,0),0)</f>
        <v>0</v>
      </c>
      <c r="O17" s="41">
        <f>IFERROR(VLOOKUP(A17,Debt[],5,0),0)</f>
        <v>0</v>
      </c>
      <c r="P17" s="41">
        <f>IFERROR(VLOOKUP(A17,Items[],3,0),0)</f>
        <v>27503.46</v>
      </c>
      <c r="Q17" s="41">
        <f>IFERROR(VLOOKUP($A17,Federal[],2,0),0)</f>
        <v>0</v>
      </c>
      <c r="R17" s="41">
        <f>IFERROR(VLOOKUP($A17,Federal[],4,0),0)</f>
        <v>4474417.29</v>
      </c>
      <c r="S17" s="41"/>
      <c r="T17" s="47">
        <f>IFERROR(VLOOKUP($A17,Program[],3,0),0)</f>
        <v>0</v>
      </c>
      <c r="U17" s="47"/>
      <c r="V17" s="41">
        <f>IFERROR(VLOOKUP($A17,Program[],4,0),0)</f>
        <v>0</v>
      </c>
      <c r="W17" s="41">
        <f>IFERROR(VLOOKUP($A17,Program[],5,0),0)</f>
        <v>0</v>
      </c>
      <c r="X17" s="41"/>
      <c r="Y17" s="41"/>
      <c r="Z17" s="41"/>
      <c r="AA17" s="41">
        <f>IFERROR(VLOOKUP($A17,Program[],6,0),0)</f>
        <v>0</v>
      </c>
      <c r="AB17" s="41"/>
      <c r="AC17" s="41"/>
      <c r="AD17" s="41">
        <f>IFERROR(VLOOKUP($A17,Program[],7,0),0)</f>
        <v>0</v>
      </c>
      <c r="AE17" s="41">
        <f>IFERROR(VLOOKUP($A17,Program[],8,0),0)</f>
        <v>0</v>
      </c>
      <c r="AF17" s="41">
        <f>IFERROR(VLOOKUP($A17,Program[],9,0),0)</f>
        <v>0</v>
      </c>
      <c r="AG17" s="41">
        <f>IFERROR(VLOOKUP($A17,Program[],10,0),0)</f>
        <v>0</v>
      </c>
      <c r="AH17" s="41">
        <f>IFERROR(VLOOKUP($A17,Program[],11,0),0)</f>
        <v>0</v>
      </c>
      <c r="AI17" s="41">
        <f>IFERROR(VLOOKUP($A17,Program[],12,0),0)</f>
        <v>0</v>
      </c>
      <c r="AJ17" s="41"/>
      <c r="AK17" s="41">
        <f>IFERROR(VLOOKUP($A17,Program[],13,0),0)</f>
        <v>0</v>
      </c>
      <c r="AL17" s="41"/>
      <c r="AM17" s="41"/>
      <c r="AN17" s="41"/>
      <c r="AO17" s="41"/>
      <c r="AP17" s="41"/>
      <c r="AQ17" s="41"/>
      <c r="AR17" s="41"/>
      <c r="AS17" s="41">
        <f>IFERROR(VLOOKUP($A17,Program[],14,0),0)</f>
        <v>0</v>
      </c>
      <c r="AT17" s="41"/>
      <c r="AU17" s="41"/>
      <c r="AV17" s="41">
        <f>IFERROR(VLOOKUP($A17,Program[],15,0),0)</f>
        <v>0</v>
      </c>
      <c r="AW17" s="41"/>
      <c r="AX17" s="41">
        <f>IFERROR(VLOOKUP($A17,Program[],16,0),0)</f>
        <v>0</v>
      </c>
      <c r="AY17" s="41">
        <f>IFERROR(VLOOKUP($A17,Program[],17,0),0)</f>
        <v>0</v>
      </c>
      <c r="AZ17" s="41">
        <f>IFERROR(VLOOKUP($A17,Program[],18,0),0)</f>
        <v>0</v>
      </c>
      <c r="BA17" s="41">
        <f>IFERROR(VLOOKUP($A17,Program[],19,0),0)</f>
        <v>1030.8699999999999</v>
      </c>
      <c r="BB17" s="77">
        <f t="shared" si="8"/>
        <v>162320.73000000019</v>
      </c>
      <c r="BC17" s="41">
        <f>IFERROR(VLOOKUP(A17,Food[],3,0),0)</f>
        <v>2068198.1100000003</v>
      </c>
      <c r="BD17" s="41">
        <f>IFERROR(VLOOKUP($A17,FoodRev[],2,0),0)</f>
        <v>58738.62</v>
      </c>
      <c r="BE17" s="41">
        <f>IFERROR(VLOOKUP($A17,FoodRev[],3,0),0)</f>
        <v>188793.55</v>
      </c>
      <c r="BF17" s="41">
        <f>IFERROR(VLOOKUP($A17,FoodRev[],4,0),0)</f>
        <v>0</v>
      </c>
      <c r="BG17" s="41">
        <f>IFERROR(VLOOKUP($A17,FoodRev[],5,0),0)</f>
        <v>1498324.98</v>
      </c>
      <c r="BH17" s="41">
        <f>IFERROR(VLOOKUP($A17,FoodRev[],6,0),0)</f>
        <v>0</v>
      </c>
      <c r="BI17" s="41">
        <f>IFERROR(VLOOKUP($A17,FoodRev[],7,0),0)</f>
        <v>0</v>
      </c>
      <c r="BJ17" s="41">
        <f>IFERROR(VLOOKUP($A17,FoodRev[],8,0),0)</f>
        <v>160020.23000000001</v>
      </c>
      <c r="BK17" s="41">
        <f>IFERROR(VLOOKUP($A17,FoodRev[],9,0),0)</f>
        <v>0</v>
      </c>
      <c r="BL17" s="41">
        <f>IFERROR(VLOOKUP($A17,FoodRev[],10,0),0)</f>
        <v>0</v>
      </c>
      <c r="BM17" s="41">
        <f t="shared" si="6"/>
        <v>1905877.38</v>
      </c>
      <c r="BN17" s="42">
        <f t="shared" si="2"/>
        <v>162320.73000000019</v>
      </c>
      <c r="BO17" s="78">
        <f t="shared" si="7"/>
        <v>162320.73000000019</v>
      </c>
      <c r="BP17" s="78">
        <f t="shared" si="3"/>
        <v>0</v>
      </c>
    </row>
    <row r="18" spans="1:68" x14ac:dyDescent="0.25">
      <c r="A18" s="40" t="s">
        <v>52</v>
      </c>
      <c r="B18" s="40" t="s">
        <v>720</v>
      </c>
      <c r="D18" s="203">
        <f t="shared" si="4"/>
        <v>2.9802322387695313E-8</v>
      </c>
      <c r="E18" s="41">
        <f>IFERROR(VLOOKUP(A18,Items[],5,0),0)</f>
        <v>216542487.34</v>
      </c>
      <c r="F18" s="42">
        <f t="shared" si="5"/>
        <v>216542487.33999997</v>
      </c>
      <c r="G18" s="41">
        <v>0</v>
      </c>
      <c r="H18" s="41">
        <f>IFERROR(VLOOKUP(A18,Items[],4,0),0)</f>
        <v>234413680.72999999</v>
      </c>
      <c r="I18" s="41">
        <f>IFERROR(VLOOKUP(A18,Community[],4,0),0)</f>
        <v>0</v>
      </c>
      <c r="J18" s="41">
        <f>IFERROR(VLOOKUP(A18,Community[],5,0),0)</f>
        <v>0</v>
      </c>
      <c r="K18" s="41">
        <f>IFERROR(VLOOKUP(A18,Community[],6,0),0)</f>
        <v>2852525.6900000004</v>
      </c>
      <c r="L18" s="41">
        <f>IFERROR(VLOOKUP(A18,Community[],7,0),0)</f>
        <v>467456.7300000001</v>
      </c>
      <c r="M18" s="41">
        <f>IFERROR(VLOOKUP(A18,Debt[],3,0),0)</f>
        <v>198200.17</v>
      </c>
      <c r="N18" s="41">
        <f>IFERROR(VLOOKUP(A18,Debt[],4,0),0)</f>
        <v>388533.05</v>
      </c>
      <c r="O18" s="41">
        <f>IFERROR(VLOOKUP(A18,Debt[],5,0),0)</f>
        <v>0</v>
      </c>
      <c r="P18" s="41">
        <f>IFERROR(VLOOKUP(A18,Items[],3,0),0)</f>
        <v>306944.78000000003</v>
      </c>
      <c r="Q18" s="41">
        <f>IFERROR(VLOOKUP($A18,Federal[],2,0),0)</f>
        <v>72308.990000000005</v>
      </c>
      <c r="R18" s="41">
        <f>IFERROR(VLOOKUP($A18,Federal[],4,0),0)</f>
        <v>12281365.220000001</v>
      </c>
      <c r="S18" s="41"/>
      <c r="T18" s="47">
        <f>IFERROR(VLOOKUP($A18,Program[],3,0),0)</f>
        <v>0</v>
      </c>
      <c r="U18" s="47"/>
      <c r="V18" s="41">
        <f>IFERROR(VLOOKUP($A18,Program[],4,0),0)</f>
        <v>0</v>
      </c>
      <c r="W18" s="41">
        <f>IFERROR(VLOOKUP($A18,Program[],5,0),0)</f>
        <v>0</v>
      </c>
      <c r="X18" s="41"/>
      <c r="Y18" s="41"/>
      <c r="Z18" s="41"/>
      <c r="AA18" s="41">
        <f>IFERROR(VLOOKUP($A18,Program[],6,0),0)</f>
        <v>0</v>
      </c>
      <c r="AB18" s="41"/>
      <c r="AC18" s="41"/>
      <c r="AD18" s="41">
        <f>IFERROR(VLOOKUP($A18,Program[],7,0),0)</f>
        <v>0</v>
      </c>
      <c r="AE18" s="41">
        <f>IFERROR(VLOOKUP($A18,Program[],8,0),0)</f>
        <v>0</v>
      </c>
      <c r="AF18" s="41">
        <f>IFERROR(VLOOKUP($A18,Program[],9,0),0)</f>
        <v>0</v>
      </c>
      <c r="AG18" s="41">
        <f>IFERROR(VLOOKUP($A18,Program[],10,0),0)</f>
        <v>0</v>
      </c>
      <c r="AH18" s="41">
        <f>IFERROR(VLOOKUP($A18,Program[],11,0),0)</f>
        <v>0</v>
      </c>
      <c r="AI18" s="41">
        <f>IFERROR(VLOOKUP($A18,Program[],12,0),0)</f>
        <v>0</v>
      </c>
      <c r="AJ18" s="41"/>
      <c r="AK18" s="41">
        <f>IFERROR(VLOOKUP($A18,Program[],13,0),0)</f>
        <v>0</v>
      </c>
      <c r="AL18" s="41"/>
      <c r="AM18" s="41"/>
      <c r="AN18" s="41"/>
      <c r="AO18" s="41"/>
      <c r="AP18" s="41"/>
      <c r="AQ18" s="41"/>
      <c r="AR18" s="41"/>
      <c r="AS18" s="41">
        <f>IFERROR(VLOOKUP($A18,Program[],14,0),0)</f>
        <v>0</v>
      </c>
      <c r="AT18" s="41"/>
      <c r="AU18" s="41"/>
      <c r="AV18" s="41">
        <f>IFERROR(VLOOKUP($A18,Program[],15,0),0)</f>
        <v>0</v>
      </c>
      <c r="AW18" s="41"/>
      <c r="AX18" s="41">
        <f>IFERROR(VLOOKUP($A18,Program[],16,0),0)</f>
        <v>0</v>
      </c>
      <c r="AY18" s="41">
        <f>IFERROR(VLOOKUP($A18,Program[],17,0),0)</f>
        <v>0</v>
      </c>
      <c r="AZ18" s="41">
        <f>IFERROR(VLOOKUP($A18,Program[],18,0),0)</f>
        <v>0</v>
      </c>
      <c r="BA18" s="41">
        <f>IFERROR(VLOOKUP($A18,Program[],19,0),0)</f>
        <v>6174.36</v>
      </c>
      <c r="BB18" s="77">
        <f t="shared" si="8"/>
        <v>0</v>
      </c>
      <c r="BC18" s="41">
        <f>IFERROR(VLOOKUP(A18,Food[],3,0),0)</f>
        <v>6876374.5199999996</v>
      </c>
      <c r="BD18" s="41">
        <f>IFERROR(VLOOKUP($A18,FoodRev[],2,0),0)</f>
        <v>902158.07</v>
      </c>
      <c r="BE18" s="41">
        <f>IFERROR(VLOOKUP($A18,FoodRev[],3,0),0)</f>
        <v>1063179.78</v>
      </c>
      <c r="BF18" s="41">
        <f>IFERROR(VLOOKUP($A18,FoodRev[],4,0),0)</f>
        <v>0</v>
      </c>
      <c r="BG18" s="41">
        <f>IFERROR(VLOOKUP($A18,FoodRev[],5,0),0)</f>
        <v>5104669.42</v>
      </c>
      <c r="BH18" s="41">
        <f>IFERROR(VLOOKUP($A18,FoodRev[],6,0),0)</f>
        <v>0</v>
      </c>
      <c r="BI18" s="41">
        <f>IFERROR(VLOOKUP($A18,FoodRev[],7,0),0)</f>
        <v>0</v>
      </c>
      <c r="BJ18" s="41">
        <f>IFERROR(VLOOKUP($A18,FoodRev[],8,0),0)</f>
        <v>461671.98</v>
      </c>
      <c r="BK18" s="41">
        <f>IFERROR(VLOOKUP($A18,FoodRev[],9,0),0)</f>
        <v>0</v>
      </c>
      <c r="BL18" s="41">
        <f>IFERROR(VLOOKUP($A18,FoodRev[],10,0),0)</f>
        <v>0</v>
      </c>
      <c r="BM18" s="41">
        <f t="shared" si="6"/>
        <v>7531679.25</v>
      </c>
      <c r="BN18" s="42">
        <f t="shared" si="2"/>
        <v>-655304.73000000091</v>
      </c>
      <c r="BO18" s="78">
        <f t="shared" si="7"/>
        <v>0</v>
      </c>
      <c r="BP18" s="78">
        <f t="shared" si="3"/>
        <v>-655304.73000000091</v>
      </c>
    </row>
    <row r="19" spans="1:68" x14ac:dyDescent="0.25">
      <c r="A19" s="40" t="s">
        <v>344</v>
      </c>
      <c r="B19" s="40" t="s">
        <v>721</v>
      </c>
      <c r="D19" s="203">
        <f t="shared" si="4"/>
        <v>0</v>
      </c>
      <c r="E19" s="41">
        <f>IFERROR(VLOOKUP(A19,Items[],5,0),0)</f>
        <v>11679383.65</v>
      </c>
      <c r="F19" s="42">
        <f t="shared" si="5"/>
        <v>11679383.65</v>
      </c>
      <c r="G19" s="41">
        <v>0</v>
      </c>
      <c r="H19" s="41">
        <f>IFERROR(VLOOKUP(A19,Items[],4,0),0)</f>
        <v>13312431.27</v>
      </c>
      <c r="I19" s="41">
        <f>IFERROR(VLOOKUP(A19,Community[],4,0),0)</f>
        <v>0</v>
      </c>
      <c r="J19" s="41">
        <f>IFERROR(VLOOKUP(A19,Community[],5,0),0)</f>
        <v>0</v>
      </c>
      <c r="K19" s="41">
        <f>IFERROR(VLOOKUP(A19,Community[],6,0),0)</f>
        <v>462628.75999999995</v>
      </c>
      <c r="L19" s="41">
        <f>IFERROR(VLOOKUP(A19,Community[],7,0),0)</f>
        <v>23.79</v>
      </c>
      <c r="M19" s="41">
        <f>IFERROR(VLOOKUP(A19,Debt[],3,0),0)</f>
        <v>0</v>
      </c>
      <c r="N19" s="41">
        <f>IFERROR(VLOOKUP(A19,Debt[],4,0),0)</f>
        <v>0</v>
      </c>
      <c r="O19" s="41">
        <f>IFERROR(VLOOKUP(A19,Debt[],5,0),0)</f>
        <v>0</v>
      </c>
      <c r="P19" s="41">
        <f>IFERROR(VLOOKUP(A19,Items[],3,0),0)</f>
        <v>51692.95</v>
      </c>
      <c r="Q19" s="41">
        <f>IFERROR(VLOOKUP($A19,Federal[],2,0),0)</f>
        <v>2643.73</v>
      </c>
      <c r="R19" s="41">
        <f>IFERROR(VLOOKUP($A19,Federal[],4,0),0)</f>
        <v>1008740.99</v>
      </c>
      <c r="S19" s="41"/>
      <c r="T19" s="47">
        <f>IFERROR(VLOOKUP($A19,Program[],3,0),0)</f>
        <v>0</v>
      </c>
      <c r="U19" s="47"/>
      <c r="V19" s="41">
        <f>IFERROR(VLOOKUP($A19,Program[],4,0),0)</f>
        <v>0</v>
      </c>
      <c r="W19" s="41">
        <f>IFERROR(VLOOKUP($A19,Program[],5,0),0)</f>
        <v>0</v>
      </c>
      <c r="X19" s="41"/>
      <c r="Y19" s="41"/>
      <c r="Z19" s="41"/>
      <c r="AA19" s="41">
        <f>IFERROR(VLOOKUP($A19,Program[],6,0),0)</f>
        <v>0</v>
      </c>
      <c r="AB19" s="41"/>
      <c r="AC19" s="41"/>
      <c r="AD19" s="41">
        <f>IFERROR(VLOOKUP($A19,Program[],7,0),0)</f>
        <v>0</v>
      </c>
      <c r="AE19" s="41">
        <f>IFERROR(VLOOKUP($A19,Program[],8,0),0)</f>
        <v>0</v>
      </c>
      <c r="AF19" s="41">
        <f>IFERROR(VLOOKUP($A19,Program[],9,0),0)</f>
        <v>0</v>
      </c>
      <c r="AG19" s="41">
        <f>IFERROR(VLOOKUP($A19,Program[],10,0),0)</f>
        <v>0</v>
      </c>
      <c r="AH19" s="41">
        <f>IFERROR(VLOOKUP($A19,Program[],11,0),0)</f>
        <v>0</v>
      </c>
      <c r="AI19" s="41">
        <f>IFERROR(VLOOKUP($A19,Program[],12,0),0)</f>
        <v>0</v>
      </c>
      <c r="AJ19" s="41"/>
      <c r="AK19" s="41">
        <f>IFERROR(VLOOKUP($A19,Program[],13,0),0)</f>
        <v>0</v>
      </c>
      <c r="AL19" s="41"/>
      <c r="AM19" s="41"/>
      <c r="AN19" s="41"/>
      <c r="AO19" s="41"/>
      <c r="AP19" s="41"/>
      <c r="AQ19" s="41"/>
      <c r="AR19" s="41"/>
      <c r="AS19" s="41">
        <f>IFERROR(VLOOKUP($A19,Program[],14,0),0)</f>
        <v>0</v>
      </c>
      <c r="AT19" s="41"/>
      <c r="AU19" s="41"/>
      <c r="AV19" s="41">
        <f>IFERROR(VLOOKUP($A19,Program[],15,0),0)</f>
        <v>0</v>
      </c>
      <c r="AW19" s="41"/>
      <c r="AX19" s="41">
        <f>IFERROR(VLOOKUP($A19,Program[],16,0),0)</f>
        <v>0</v>
      </c>
      <c r="AY19" s="41">
        <f>IFERROR(VLOOKUP($A19,Program[],17,0),0)</f>
        <v>0</v>
      </c>
      <c r="AZ19" s="41">
        <f>IFERROR(VLOOKUP($A19,Program[],18,0),0)</f>
        <v>0</v>
      </c>
      <c r="BA19" s="41">
        <f>IFERROR(VLOOKUP($A19,Program[],19,0),0)</f>
        <v>0</v>
      </c>
      <c r="BB19" s="77">
        <f t="shared" si="8"/>
        <v>71616.080000000031</v>
      </c>
      <c r="BC19" s="41">
        <f>IFERROR(VLOOKUP(A19,Food[],3,0),0)</f>
        <v>542321.06000000006</v>
      </c>
      <c r="BD19" s="41">
        <f>IFERROR(VLOOKUP($A19,FoodRev[],2,0),0)</f>
        <v>5335.8</v>
      </c>
      <c r="BE19" s="41">
        <f>IFERROR(VLOOKUP($A19,FoodRev[],3,0),0)</f>
        <v>101981.6</v>
      </c>
      <c r="BF19" s="41">
        <f>IFERROR(VLOOKUP($A19,FoodRev[],4,0),0)</f>
        <v>0</v>
      </c>
      <c r="BG19" s="41">
        <f>IFERROR(VLOOKUP($A19,FoodRev[],5,0),0)</f>
        <v>337799.56</v>
      </c>
      <c r="BH19" s="41">
        <f>IFERROR(VLOOKUP($A19,FoodRev[],6,0),0)</f>
        <v>0</v>
      </c>
      <c r="BI19" s="41">
        <f>IFERROR(VLOOKUP($A19,FoodRev[],7,0),0)</f>
        <v>0</v>
      </c>
      <c r="BJ19" s="41">
        <f>IFERROR(VLOOKUP($A19,FoodRev[],8,0),0)</f>
        <v>25588.02</v>
      </c>
      <c r="BK19" s="41">
        <f>IFERROR(VLOOKUP($A19,FoodRev[],9,0),0)</f>
        <v>0</v>
      </c>
      <c r="BL19" s="41">
        <f>IFERROR(VLOOKUP($A19,FoodRev[],10,0),0)</f>
        <v>0</v>
      </c>
      <c r="BM19" s="41">
        <f t="shared" si="6"/>
        <v>470704.98000000004</v>
      </c>
      <c r="BN19" s="42">
        <f t="shared" si="2"/>
        <v>71616.080000000031</v>
      </c>
      <c r="BO19" s="78">
        <f t="shared" si="7"/>
        <v>71616.080000000031</v>
      </c>
      <c r="BP19" s="78">
        <f t="shared" si="3"/>
        <v>0</v>
      </c>
    </row>
    <row r="20" spans="1:68" x14ac:dyDescent="0.25">
      <c r="A20" s="40" t="s">
        <v>610</v>
      </c>
      <c r="B20" s="40" t="s">
        <v>722</v>
      </c>
      <c r="D20" s="203">
        <f t="shared" si="4"/>
        <v>0</v>
      </c>
      <c r="E20" s="41">
        <f>IFERROR(VLOOKUP(A20,Items[],5,0),0)</f>
        <v>364900.14</v>
      </c>
      <c r="F20" s="42">
        <f t="shared" si="5"/>
        <v>364900.14</v>
      </c>
      <c r="G20" s="41">
        <v>0</v>
      </c>
      <c r="H20" s="41">
        <f>IFERROR(VLOOKUP(A20,Items[],4,0),0)</f>
        <v>364949.12</v>
      </c>
      <c r="I20" s="41">
        <f>IFERROR(VLOOKUP(A20,Community[],4,0),0)</f>
        <v>0</v>
      </c>
      <c r="J20" s="41">
        <f>IFERROR(VLOOKUP(A20,Community[],5,0),0)</f>
        <v>0</v>
      </c>
      <c r="K20" s="41">
        <f>IFERROR(VLOOKUP(A20,Community[],6,0),0)</f>
        <v>0</v>
      </c>
      <c r="L20" s="41">
        <f>IFERROR(VLOOKUP(A20,Community[],7,0),0)</f>
        <v>0</v>
      </c>
      <c r="M20" s="41">
        <f>IFERROR(VLOOKUP(A20,Debt[],3,0),0)</f>
        <v>0</v>
      </c>
      <c r="N20" s="41">
        <f>IFERROR(VLOOKUP(A20,Debt[],4,0),0)</f>
        <v>0</v>
      </c>
      <c r="O20" s="41">
        <f>IFERROR(VLOOKUP(A20,Debt[],5,0),0)</f>
        <v>0</v>
      </c>
      <c r="P20" s="41">
        <f>IFERROR(VLOOKUP(A20,Items[],3,0),0)</f>
        <v>0</v>
      </c>
      <c r="Q20" s="41">
        <f>IFERROR(VLOOKUP($A20,Federal[],2,0),0)</f>
        <v>48.98</v>
      </c>
      <c r="R20" s="41">
        <f>IFERROR(VLOOKUP($A20,Federal[],4,0),0)</f>
        <v>0</v>
      </c>
      <c r="S20" s="41"/>
      <c r="T20" s="47">
        <f>IFERROR(VLOOKUP($A20,Program[],3,0),0)</f>
        <v>0</v>
      </c>
      <c r="U20" s="47"/>
      <c r="V20" s="41">
        <f>IFERROR(VLOOKUP($A20,Program[],4,0),0)</f>
        <v>0</v>
      </c>
      <c r="W20" s="41">
        <f>IFERROR(VLOOKUP($A20,Program[],5,0),0)</f>
        <v>0</v>
      </c>
      <c r="X20" s="41"/>
      <c r="Y20" s="41"/>
      <c r="Z20" s="41"/>
      <c r="AA20" s="41">
        <f>IFERROR(VLOOKUP($A20,Program[],6,0),0)</f>
        <v>0</v>
      </c>
      <c r="AB20" s="41"/>
      <c r="AC20" s="41"/>
      <c r="AD20" s="41">
        <f>IFERROR(VLOOKUP($A20,Program[],7,0),0)</f>
        <v>0</v>
      </c>
      <c r="AE20" s="41">
        <f>IFERROR(VLOOKUP($A20,Program[],8,0),0)</f>
        <v>0</v>
      </c>
      <c r="AF20" s="41">
        <f>IFERROR(VLOOKUP($A20,Program[],9,0),0)</f>
        <v>0</v>
      </c>
      <c r="AG20" s="41">
        <f>IFERROR(VLOOKUP($A20,Program[],10,0),0)</f>
        <v>0</v>
      </c>
      <c r="AH20" s="41">
        <f>IFERROR(VLOOKUP($A20,Program[],11,0),0)</f>
        <v>0</v>
      </c>
      <c r="AI20" s="41">
        <f>IFERROR(VLOOKUP($A20,Program[],12,0),0)</f>
        <v>0</v>
      </c>
      <c r="AJ20" s="41"/>
      <c r="AK20" s="41">
        <f>IFERROR(VLOOKUP($A20,Program[],13,0),0)</f>
        <v>0</v>
      </c>
      <c r="AL20" s="41"/>
      <c r="AM20" s="41"/>
      <c r="AN20" s="41"/>
      <c r="AO20" s="41"/>
      <c r="AP20" s="41"/>
      <c r="AQ20" s="41"/>
      <c r="AR20" s="41"/>
      <c r="AS20" s="41">
        <f>IFERROR(VLOOKUP($A20,Program[],14,0),0)</f>
        <v>0</v>
      </c>
      <c r="AT20" s="41"/>
      <c r="AU20" s="41"/>
      <c r="AV20" s="41">
        <f>IFERROR(VLOOKUP($A20,Program[],15,0),0)</f>
        <v>0</v>
      </c>
      <c r="AW20" s="41"/>
      <c r="AX20" s="41">
        <f>IFERROR(VLOOKUP($A20,Program[],16,0),0)</f>
        <v>0</v>
      </c>
      <c r="AY20" s="41">
        <f>IFERROR(VLOOKUP($A20,Program[],17,0),0)</f>
        <v>0</v>
      </c>
      <c r="AZ20" s="41">
        <f>IFERROR(VLOOKUP($A20,Program[],18,0),0)</f>
        <v>0</v>
      </c>
      <c r="BA20" s="41">
        <f>IFERROR(VLOOKUP($A20,Program[],19,0),0)</f>
        <v>0</v>
      </c>
      <c r="BB20" s="77">
        <f t="shared" si="8"/>
        <v>0</v>
      </c>
      <c r="BC20" s="41">
        <f>IFERROR(VLOOKUP(A20,Food[],3,0),0)</f>
        <v>0</v>
      </c>
      <c r="BD20" s="41">
        <f>IFERROR(VLOOKUP($A20,FoodRev[],2,0),0)</f>
        <v>0</v>
      </c>
      <c r="BE20" s="41">
        <f>IFERROR(VLOOKUP($A20,FoodRev[],3,0),0)</f>
        <v>0</v>
      </c>
      <c r="BF20" s="41">
        <f>IFERROR(VLOOKUP($A20,FoodRev[],4,0),0)</f>
        <v>0</v>
      </c>
      <c r="BG20" s="41">
        <f>IFERROR(VLOOKUP($A20,FoodRev[],5,0),0)</f>
        <v>0</v>
      </c>
      <c r="BH20" s="41">
        <f>IFERROR(VLOOKUP($A20,FoodRev[],6,0),0)</f>
        <v>0</v>
      </c>
      <c r="BI20" s="41">
        <f>IFERROR(VLOOKUP($A20,FoodRev[],7,0),0)</f>
        <v>0</v>
      </c>
      <c r="BJ20" s="41">
        <f>IFERROR(VLOOKUP($A20,FoodRev[],8,0),0)</f>
        <v>0</v>
      </c>
      <c r="BK20" s="41">
        <f>IFERROR(VLOOKUP($A20,FoodRev[],9,0),0)</f>
        <v>0</v>
      </c>
      <c r="BL20" s="41">
        <f>IFERROR(VLOOKUP($A20,FoodRev[],10,0),0)</f>
        <v>0</v>
      </c>
      <c r="BM20" s="41">
        <f t="shared" si="6"/>
        <v>0</v>
      </c>
      <c r="BN20" s="42">
        <f t="shared" si="2"/>
        <v>0</v>
      </c>
      <c r="BO20" s="78">
        <f t="shared" si="7"/>
        <v>0</v>
      </c>
      <c r="BP20" s="78">
        <f t="shared" si="3"/>
        <v>0</v>
      </c>
    </row>
    <row r="21" spans="1:68" x14ac:dyDescent="0.25">
      <c r="A21" s="40" t="s">
        <v>412</v>
      </c>
      <c r="B21" s="40" t="s">
        <v>723</v>
      </c>
      <c r="D21" s="203">
        <f t="shared" si="4"/>
        <v>0</v>
      </c>
      <c r="E21" s="41">
        <f>IFERROR(VLOOKUP(A21,Items[],5,0),0)</f>
        <v>7790301.5999999996</v>
      </c>
      <c r="F21" s="42">
        <f t="shared" si="5"/>
        <v>7790301.5999999996</v>
      </c>
      <c r="G21" s="41">
        <v>0</v>
      </c>
      <c r="H21" s="41">
        <f>IFERROR(VLOOKUP(A21,Items[],4,0),0)</f>
        <v>8439629.7899999991</v>
      </c>
      <c r="I21" s="41">
        <f>IFERROR(VLOOKUP(A21,Community[],4,0),0)</f>
        <v>0</v>
      </c>
      <c r="J21" s="41">
        <f>IFERROR(VLOOKUP(A21,Community[],5,0),0)</f>
        <v>0</v>
      </c>
      <c r="K21" s="41">
        <f>IFERROR(VLOOKUP(A21,Community[],6,0),0)</f>
        <v>0</v>
      </c>
      <c r="L21" s="41">
        <f>IFERROR(VLOOKUP(A21,Community[],7,0),0)</f>
        <v>0</v>
      </c>
      <c r="M21" s="41">
        <f>IFERROR(VLOOKUP(A21,Debt[],3,0),0)</f>
        <v>38.65</v>
      </c>
      <c r="N21" s="41">
        <f>IFERROR(VLOOKUP(A21,Debt[],4,0),0)</f>
        <v>6829.79</v>
      </c>
      <c r="O21" s="41">
        <f>IFERROR(VLOOKUP(A21,Debt[],5,0),0)</f>
        <v>0</v>
      </c>
      <c r="P21" s="41">
        <f>IFERROR(VLOOKUP(A21,Items[],3,0),0)</f>
        <v>0</v>
      </c>
      <c r="Q21" s="41">
        <f>IFERROR(VLOOKUP($A21,Federal[],2,0),0)</f>
        <v>1702.42</v>
      </c>
      <c r="R21" s="41">
        <f>IFERROR(VLOOKUP($A21,Federal[],4,0),0)</f>
        <v>579465.11</v>
      </c>
      <c r="S21" s="41"/>
      <c r="T21" s="47">
        <f>IFERROR(VLOOKUP($A21,Program[],3,0),0)</f>
        <v>0</v>
      </c>
      <c r="U21" s="47"/>
      <c r="V21" s="41">
        <f>IFERROR(VLOOKUP($A21,Program[],4,0),0)</f>
        <v>0</v>
      </c>
      <c r="W21" s="41">
        <f>IFERROR(VLOOKUP($A21,Program[],5,0),0)</f>
        <v>0</v>
      </c>
      <c r="X21" s="41"/>
      <c r="Y21" s="41"/>
      <c r="Z21" s="41"/>
      <c r="AA21" s="41">
        <f>IFERROR(VLOOKUP($A21,Program[],6,0),0)</f>
        <v>0</v>
      </c>
      <c r="AB21" s="41"/>
      <c r="AC21" s="41"/>
      <c r="AD21" s="41">
        <f>IFERROR(VLOOKUP($A21,Program[],7,0),0)</f>
        <v>0</v>
      </c>
      <c r="AE21" s="41">
        <f>IFERROR(VLOOKUP($A21,Program[],8,0),0)</f>
        <v>0</v>
      </c>
      <c r="AF21" s="41">
        <f>IFERROR(VLOOKUP($A21,Program[],9,0),0)</f>
        <v>0</v>
      </c>
      <c r="AG21" s="41">
        <f>IFERROR(VLOOKUP($A21,Program[],10,0),0)</f>
        <v>0</v>
      </c>
      <c r="AH21" s="41">
        <f>IFERROR(VLOOKUP($A21,Program[],11,0),0)</f>
        <v>0</v>
      </c>
      <c r="AI21" s="41">
        <f>IFERROR(VLOOKUP($A21,Program[],12,0),0)</f>
        <v>0</v>
      </c>
      <c r="AJ21" s="41"/>
      <c r="AK21" s="41">
        <f>IFERROR(VLOOKUP($A21,Program[],13,0),0)</f>
        <v>0</v>
      </c>
      <c r="AL21" s="41"/>
      <c r="AM21" s="41"/>
      <c r="AN21" s="41"/>
      <c r="AO21" s="41"/>
      <c r="AP21" s="41"/>
      <c r="AQ21" s="41"/>
      <c r="AR21" s="41"/>
      <c r="AS21" s="41">
        <f>IFERROR(VLOOKUP($A21,Program[],14,0),0)</f>
        <v>0</v>
      </c>
      <c r="AT21" s="41"/>
      <c r="AU21" s="41"/>
      <c r="AV21" s="41">
        <f>IFERROR(VLOOKUP($A21,Program[],15,0),0)</f>
        <v>0</v>
      </c>
      <c r="AW21" s="41"/>
      <c r="AX21" s="41">
        <f>IFERROR(VLOOKUP($A21,Program[],16,0),0)</f>
        <v>0</v>
      </c>
      <c r="AY21" s="41">
        <f>IFERROR(VLOOKUP($A21,Program[],17,0),0)</f>
        <v>0</v>
      </c>
      <c r="AZ21" s="41">
        <f>IFERROR(VLOOKUP($A21,Program[],18,0),0)</f>
        <v>0</v>
      </c>
      <c r="BA21" s="41">
        <f>IFERROR(VLOOKUP($A21,Program[],19,0),0)</f>
        <v>0</v>
      </c>
      <c r="BB21" s="77">
        <f t="shared" si="8"/>
        <v>51562.029999999941</v>
      </c>
      <c r="BC21" s="41">
        <f>IFERROR(VLOOKUP(A21,Food[],3,0),0)</f>
        <v>414527.17</v>
      </c>
      <c r="BD21" s="41">
        <f>IFERROR(VLOOKUP($A21,FoodRev[],2,0),0)</f>
        <v>2575.81</v>
      </c>
      <c r="BE21" s="41">
        <f>IFERROR(VLOOKUP($A21,FoodRev[],3,0),0)</f>
        <v>58716.41</v>
      </c>
      <c r="BF21" s="41">
        <f>IFERROR(VLOOKUP($A21,FoodRev[],4,0),0)</f>
        <v>0</v>
      </c>
      <c r="BG21" s="41">
        <f>IFERROR(VLOOKUP($A21,FoodRev[],5,0),0)</f>
        <v>275723.14</v>
      </c>
      <c r="BH21" s="41">
        <f>IFERROR(VLOOKUP($A21,FoodRev[],6,0),0)</f>
        <v>0</v>
      </c>
      <c r="BI21" s="41">
        <f>IFERROR(VLOOKUP($A21,FoodRev[],7,0),0)</f>
        <v>0</v>
      </c>
      <c r="BJ21" s="41">
        <f>IFERROR(VLOOKUP($A21,FoodRev[],8,0),0)</f>
        <v>25949.78</v>
      </c>
      <c r="BK21" s="41">
        <f>IFERROR(VLOOKUP($A21,FoodRev[],9,0),0)</f>
        <v>0</v>
      </c>
      <c r="BL21" s="41">
        <f>IFERROR(VLOOKUP($A21,FoodRev[],10,0),0)</f>
        <v>0</v>
      </c>
      <c r="BM21" s="41">
        <f t="shared" si="6"/>
        <v>362965.14</v>
      </c>
      <c r="BN21" s="42">
        <f t="shared" si="2"/>
        <v>51562.029999999941</v>
      </c>
      <c r="BO21" s="78">
        <f t="shared" si="7"/>
        <v>51562.029999999941</v>
      </c>
      <c r="BP21" s="78">
        <f t="shared" si="3"/>
        <v>0</v>
      </c>
    </row>
    <row r="22" spans="1:68" x14ac:dyDescent="0.25">
      <c r="A22" s="40" t="s">
        <v>252</v>
      </c>
      <c r="B22" s="40" t="s">
        <v>724</v>
      </c>
      <c r="D22" s="203">
        <f t="shared" si="4"/>
        <v>0</v>
      </c>
      <c r="E22" s="41">
        <f>IFERROR(VLOOKUP(A22,Items[],5,0),0)</f>
        <v>21485865.289999999</v>
      </c>
      <c r="F22" s="42">
        <f t="shared" si="5"/>
        <v>21485865.289999999</v>
      </c>
      <c r="G22" s="41">
        <v>0</v>
      </c>
      <c r="H22" s="41">
        <f>IFERROR(VLOOKUP(A22,Items[],4,0),0)</f>
        <v>23830975.710000001</v>
      </c>
      <c r="I22" s="41">
        <f>IFERROR(VLOOKUP(A22,Community[],4,0),0)</f>
        <v>0</v>
      </c>
      <c r="J22" s="41">
        <f>IFERROR(VLOOKUP(A22,Community[],5,0),0)</f>
        <v>0</v>
      </c>
      <c r="K22" s="41">
        <f>IFERROR(VLOOKUP(A22,Community[],6,0),0)</f>
        <v>278780.77999999997</v>
      </c>
      <c r="L22" s="41">
        <f>IFERROR(VLOOKUP(A22,Community[],7,0),0)</f>
        <v>8860.24</v>
      </c>
      <c r="M22" s="41">
        <f>IFERROR(VLOOKUP(A22,Debt[],3,0),0)</f>
        <v>13681.56</v>
      </c>
      <c r="N22" s="41">
        <f>IFERROR(VLOOKUP(A22,Debt[],4,0),0)</f>
        <v>31374.3</v>
      </c>
      <c r="O22" s="41">
        <f>IFERROR(VLOOKUP(A22,Debt[],5,0),0)</f>
        <v>0</v>
      </c>
      <c r="P22" s="41">
        <f>IFERROR(VLOOKUP(A22,Items[],3,0),0)</f>
        <v>54645.32</v>
      </c>
      <c r="Q22" s="41">
        <f>IFERROR(VLOOKUP($A22,Federal[],2,0),0)</f>
        <v>5274.1</v>
      </c>
      <c r="R22" s="41">
        <f>IFERROR(VLOOKUP($A22,Federal[],4,0),0)</f>
        <v>1846015.47</v>
      </c>
      <c r="S22" s="41"/>
      <c r="T22" s="47">
        <f>IFERROR(VLOOKUP($A22,Program[],3,0),0)</f>
        <v>0</v>
      </c>
      <c r="U22" s="47"/>
      <c r="V22" s="41">
        <f>IFERROR(VLOOKUP($A22,Program[],4,0),0)</f>
        <v>0</v>
      </c>
      <c r="W22" s="41">
        <f>IFERROR(VLOOKUP($A22,Program[],5,0),0)</f>
        <v>0</v>
      </c>
      <c r="X22" s="41"/>
      <c r="Y22" s="41"/>
      <c r="Z22" s="41"/>
      <c r="AA22" s="41">
        <f>IFERROR(VLOOKUP($A22,Program[],6,0),0)</f>
        <v>0</v>
      </c>
      <c r="AB22" s="41"/>
      <c r="AC22" s="41"/>
      <c r="AD22" s="41">
        <f>IFERROR(VLOOKUP($A22,Program[],7,0),0)</f>
        <v>0</v>
      </c>
      <c r="AE22" s="41">
        <f>IFERROR(VLOOKUP($A22,Program[],8,0),0)</f>
        <v>0</v>
      </c>
      <c r="AF22" s="41">
        <f>IFERROR(VLOOKUP($A22,Program[],9,0),0)</f>
        <v>0</v>
      </c>
      <c r="AG22" s="41">
        <f>IFERROR(VLOOKUP($A22,Program[],10,0),0)</f>
        <v>0</v>
      </c>
      <c r="AH22" s="41">
        <f>IFERROR(VLOOKUP($A22,Program[],11,0),0)</f>
        <v>0</v>
      </c>
      <c r="AI22" s="41">
        <f>IFERROR(VLOOKUP($A22,Program[],12,0),0)</f>
        <v>0</v>
      </c>
      <c r="AJ22" s="41"/>
      <c r="AK22" s="41">
        <f>IFERROR(VLOOKUP($A22,Program[],13,0),0)</f>
        <v>0</v>
      </c>
      <c r="AL22" s="41"/>
      <c r="AM22" s="41"/>
      <c r="AN22" s="41"/>
      <c r="AO22" s="41"/>
      <c r="AP22" s="41"/>
      <c r="AQ22" s="41"/>
      <c r="AR22" s="41"/>
      <c r="AS22" s="41">
        <f>IFERROR(VLOOKUP($A22,Program[],14,0),0)</f>
        <v>0</v>
      </c>
      <c r="AT22" s="41"/>
      <c r="AU22" s="41"/>
      <c r="AV22" s="41">
        <f>IFERROR(VLOOKUP($A22,Program[],15,0),0)</f>
        <v>0</v>
      </c>
      <c r="AW22" s="41"/>
      <c r="AX22" s="41">
        <f>IFERROR(VLOOKUP($A22,Program[],16,0),0)</f>
        <v>0</v>
      </c>
      <c r="AY22" s="41">
        <f>IFERROR(VLOOKUP($A22,Program[],17,0),0)</f>
        <v>0</v>
      </c>
      <c r="AZ22" s="41">
        <f>IFERROR(VLOOKUP($A22,Program[],18,0),0)</f>
        <v>0</v>
      </c>
      <c r="BA22" s="41">
        <f>IFERROR(VLOOKUP($A22,Program[],19,0),0)</f>
        <v>0</v>
      </c>
      <c r="BB22" s="77">
        <f t="shared" si="8"/>
        <v>106442.95999999999</v>
      </c>
      <c r="BC22" s="41">
        <f>IFERROR(VLOOKUP(A22,Food[],3,0),0)</f>
        <v>1080841.01</v>
      </c>
      <c r="BD22" s="41">
        <f>IFERROR(VLOOKUP($A22,FoodRev[],2,0),0)</f>
        <v>18030.060000000001</v>
      </c>
      <c r="BE22" s="41">
        <f>IFERROR(VLOOKUP($A22,FoodRev[],3,0),0)</f>
        <v>88448.59</v>
      </c>
      <c r="BF22" s="41">
        <f>IFERROR(VLOOKUP($A22,FoodRev[],4,0),0)</f>
        <v>0</v>
      </c>
      <c r="BG22" s="41">
        <f>IFERROR(VLOOKUP($A22,FoodRev[],5,0),0)</f>
        <v>786574</v>
      </c>
      <c r="BH22" s="41">
        <f>IFERROR(VLOOKUP($A22,FoodRev[],6,0),0)</f>
        <v>0</v>
      </c>
      <c r="BI22" s="41">
        <f>IFERROR(VLOOKUP($A22,FoodRev[],7,0),0)</f>
        <v>0</v>
      </c>
      <c r="BJ22" s="41">
        <f>IFERROR(VLOOKUP($A22,FoodRev[],8,0),0)</f>
        <v>81345.399999999994</v>
      </c>
      <c r="BK22" s="41">
        <f>IFERROR(VLOOKUP($A22,FoodRev[],9,0),0)</f>
        <v>0</v>
      </c>
      <c r="BL22" s="41">
        <f>IFERROR(VLOOKUP($A22,FoodRev[],10,0),0)</f>
        <v>0</v>
      </c>
      <c r="BM22" s="41">
        <f t="shared" si="6"/>
        <v>974398.05</v>
      </c>
      <c r="BN22" s="42">
        <f t="shared" si="2"/>
        <v>106442.95999999999</v>
      </c>
      <c r="BO22" s="78">
        <f t="shared" si="7"/>
        <v>106442.95999999999</v>
      </c>
      <c r="BP22" s="78">
        <f t="shared" si="3"/>
        <v>0</v>
      </c>
    </row>
    <row r="23" spans="1:68" x14ac:dyDescent="0.25">
      <c r="A23" s="40" t="s">
        <v>244</v>
      </c>
      <c r="B23" s="40" t="s">
        <v>725</v>
      </c>
      <c r="D23" s="203">
        <f t="shared" si="4"/>
        <v>-3.7252902984619141E-9</v>
      </c>
      <c r="E23" s="41">
        <f>IFERROR(VLOOKUP(A23,Items[],5,0),0)</f>
        <v>24632901.059999999</v>
      </c>
      <c r="F23" s="42">
        <f t="shared" si="5"/>
        <v>24632901.060000002</v>
      </c>
      <c r="G23" s="41">
        <v>0</v>
      </c>
      <c r="H23" s="41">
        <f>IFERROR(VLOOKUP(A23,Items[],4,0),0)</f>
        <v>26847596.32</v>
      </c>
      <c r="I23" s="41">
        <f>IFERROR(VLOOKUP(A23,Community[],4,0),0)</f>
        <v>0</v>
      </c>
      <c r="J23" s="41">
        <f>IFERROR(VLOOKUP(A23,Community[],5,0),0)</f>
        <v>0</v>
      </c>
      <c r="K23" s="41">
        <f>IFERROR(VLOOKUP(A23,Community[],6,0),0)</f>
        <v>182855.63999999998</v>
      </c>
      <c r="L23" s="41">
        <f>IFERROR(VLOOKUP(A23,Community[],7,0),0)</f>
        <v>0</v>
      </c>
      <c r="M23" s="41">
        <f>IFERROR(VLOOKUP(A23,Debt[],3,0),0)</f>
        <v>1369.3</v>
      </c>
      <c r="N23" s="41">
        <f>IFERROR(VLOOKUP(A23,Debt[],4,0),0)</f>
        <v>22475.54</v>
      </c>
      <c r="O23" s="41">
        <f>IFERROR(VLOOKUP(A23,Debt[],5,0),0)</f>
        <v>0</v>
      </c>
      <c r="P23" s="41">
        <f>IFERROR(VLOOKUP(A23,Items[],3,0),0)</f>
        <v>288316.06</v>
      </c>
      <c r="Q23" s="41">
        <f>IFERROR(VLOOKUP($A23,Federal[],2,0),0)</f>
        <v>6849.97</v>
      </c>
      <c r="R23" s="41">
        <f>IFERROR(VLOOKUP($A23,Federal[],4,0),0)</f>
        <v>1500855.74</v>
      </c>
      <c r="S23" s="41"/>
      <c r="T23" s="47">
        <f>IFERROR(VLOOKUP($A23,Program[],3,0),0)</f>
        <v>0</v>
      </c>
      <c r="U23" s="47"/>
      <c r="V23" s="41">
        <f>IFERROR(VLOOKUP($A23,Program[],4,0),0)</f>
        <v>0</v>
      </c>
      <c r="W23" s="41">
        <f>IFERROR(VLOOKUP($A23,Program[],5,0),0)</f>
        <v>0</v>
      </c>
      <c r="X23" s="41"/>
      <c r="Y23" s="41"/>
      <c r="Z23" s="41"/>
      <c r="AA23" s="41">
        <f>IFERROR(VLOOKUP($A23,Program[],6,0),0)</f>
        <v>0</v>
      </c>
      <c r="AB23" s="41"/>
      <c r="AC23" s="41"/>
      <c r="AD23" s="41">
        <f>IFERROR(VLOOKUP($A23,Program[],7,0),0)</f>
        <v>0</v>
      </c>
      <c r="AE23" s="41">
        <f>IFERROR(VLOOKUP($A23,Program[],8,0),0)</f>
        <v>0</v>
      </c>
      <c r="AF23" s="41">
        <f>IFERROR(VLOOKUP($A23,Program[],9,0),0)</f>
        <v>0</v>
      </c>
      <c r="AG23" s="41">
        <f>IFERROR(VLOOKUP($A23,Program[],10,0),0)</f>
        <v>0</v>
      </c>
      <c r="AH23" s="41">
        <f>IFERROR(VLOOKUP($A23,Program[],11,0),0)</f>
        <v>0</v>
      </c>
      <c r="AI23" s="41">
        <f>IFERROR(VLOOKUP($A23,Program[],12,0),0)</f>
        <v>0</v>
      </c>
      <c r="AJ23" s="41"/>
      <c r="AK23" s="41">
        <f>IFERROR(VLOOKUP($A23,Program[],13,0),0)</f>
        <v>0</v>
      </c>
      <c r="AL23" s="41"/>
      <c r="AM23" s="41"/>
      <c r="AN23" s="41"/>
      <c r="AO23" s="41"/>
      <c r="AP23" s="41"/>
      <c r="AQ23" s="41"/>
      <c r="AR23" s="41"/>
      <c r="AS23" s="41">
        <f>IFERROR(VLOOKUP($A23,Program[],14,0),0)</f>
        <v>0</v>
      </c>
      <c r="AT23" s="41"/>
      <c r="AU23" s="41"/>
      <c r="AV23" s="41">
        <f>IFERROR(VLOOKUP($A23,Program[],15,0),0)</f>
        <v>0</v>
      </c>
      <c r="AW23" s="41"/>
      <c r="AX23" s="41">
        <f>IFERROR(VLOOKUP($A23,Program[],16,0),0)</f>
        <v>0</v>
      </c>
      <c r="AY23" s="41">
        <f>IFERROR(VLOOKUP($A23,Program[],17,0),0)</f>
        <v>0</v>
      </c>
      <c r="AZ23" s="41">
        <f>IFERROR(VLOOKUP($A23,Program[],18,0),0)</f>
        <v>0</v>
      </c>
      <c r="BA23" s="41">
        <f>IFERROR(VLOOKUP($A23,Program[],19,0),0)</f>
        <v>0</v>
      </c>
      <c r="BB23" s="77">
        <f t="shared" si="8"/>
        <v>207839.08999999985</v>
      </c>
      <c r="BC23" s="41">
        <f>IFERROR(VLOOKUP(A23,Food[],3,0),0)</f>
        <v>807981.1399999999</v>
      </c>
      <c r="BD23" s="41">
        <f>IFERROR(VLOOKUP($A23,FoodRev[],2,0),0)</f>
        <v>56304.13</v>
      </c>
      <c r="BE23" s="41">
        <f>IFERROR(VLOOKUP($A23,FoodRev[],3,0),0)</f>
        <v>155668.88</v>
      </c>
      <c r="BF23" s="41">
        <f>IFERROR(VLOOKUP($A23,FoodRev[],4,0),0)</f>
        <v>0</v>
      </c>
      <c r="BG23" s="41">
        <f>IFERROR(VLOOKUP($A23,FoodRev[],5,0),0)</f>
        <v>345974.34</v>
      </c>
      <c r="BH23" s="41">
        <f>IFERROR(VLOOKUP($A23,FoodRev[],6,0),0)</f>
        <v>0</v>
      </c>
      <c r="BI23" s="41">
        <f>IFERROR(VLOOKUP($A23,FoodRev[],7,0),0)</f>
        <v>0</v>
      </c>
      <c r="BJ23" s="41">
        <f>IFERROR(VLOOKUP($A23,FoodRev[],8,0),0)</f>
        <v>42194.7</v>
      </c>
      <c r="BK23" s="41">
        <f>IFERROR(VLOOKUP($A23,FoodRev[],9,0),0)</f>
        <v>0</v>
      </c>
      <c r="BL23" s="41">
        <f>IFERROR(VLOOKUP($A23,FoodRev[],10,0),0)</f>
        <v>0</v>
      </c>
      <c r="BM23" s="41">
        <f t="shared" si="6"/>
        <v>600142.05000000005</v>
      </c>
      <c r="BN23" s="42">
        <f t="shared" si="2"/>
        <v>207839.08999999985</v>
      </c>
      <c r="BO23" s="78">
        <f t="shared" si="7"/>
        <v>207839.08999999985</v>
      </c>
      <c r="BP23" s="78">
        <f t="shared" si="3"/>
        <v>0</v>
      </c>
    </row>
    <row r="24" spans="1:68" x14ac:dyDescent="0.25">
      <c r="A24" s="40" t="s">
        <v>268</v>
      </c>
      <c r="B24" s="40" t="s">
        <v>726</v>
      </c>
      <c r="D24" s="203">
        <f t="shared" si="4"/>
        <v>-3.7252902984619141E-9</v>
      </c>
      <c r="E24" s="41">
        <f>IFERROR(VLOOKUP(A24,Items[],5,0),0)</f>
        <v>20551260.329999998</v>
      </c>
      <c r="F24" s="42">
        <f t="shared" si="5"/>
        <v>20551260.330000002</v>
      </c>
      <c r="G24" s="41">
        <v>0</v>
      </c>
      <c r="H24" s="41">
        <f>IFERROR(VLOOKUP(A24,Items[],4,0),0)</f>
        <v>21631630.140000001</v>
      </c>
      <c r="I24" s="41">
        <f>IFERROR(VLOOKUP(A24,Community[],4,0),0)</f>
        <v>0</v>
      </c>
      <c r="J24" s="41">
        <f>IFERROR(VLOOKUP(A24,Community[],5,0),0)</f>
        <v>0</v>
      </c>
      <c r="K24" s="41">
        <f>IFERROR(VLOOKUP(A24,Community[],6,0),0)</f>
        <v>970</v>
      </c>
      <c r="L24" s="41">
        <f>IFERROR(VLOOKUP(A24,Community[],7,0),0)</f>
        <v>14848.54</v>
      </c>
      <c r="M24" s="41">
        <f>IFERROR(VLOOKUP(A24,Debt[],3,0),0)</f>
        <v>4146.29</v>
      </c>
      <c r="N24" s="41">
        <f>IFERROR(VLOOKUP(A24,Debt[],4,0),0)</f>
        <v>66378.91</v>
      </c>
      <c r="O24" s="41">
        <f>IFERROR(VLOOKUP(A24,Debt[],5,0),0)</f>
        <v>0</v>
      </c>
      <c r="P24" s="41">
        <f>IFERROR(VLOOKUP(A24,Items[],3,0),0)</f>
        <v>29622.82</v>
      </c>
      <c r="Q24" s="41">
        <f>IFERROR(VLOOKUP($A24,Federal[],2,0),0)</f>
        <v>5004.55</v>
      </c>
      <c r="R24" s="41">
        <f>IFERROR(VLOOKUP($A24,Federal[],4,0),0)</f>
        <v>807691.45</v>
      </c>
      <c r="S24" s="41"/>
      <c r="T24" s="47">
        <f>IFERROR(VLOOKUP($A24,Program[],3,0),0)</f>
        <v>0</v>
      </c>
      <c r="U24" s="47"/>
      <c r="V24" s="41">
        <f>IFERROR(VLOOKUP($A24,Program[],4,0),0)</f>
        <v>0</v>
      </c>
      <c r="W24" s="41">
        <f>IFERROR(VLOOKUP($A24,Program[],5,0),0)</f>
        <v>0</v>
      </c>
      <c r="X24" s="41"/>
      <c r="Y24" s="41"/>
      <c r="Z24" s="41"/>
      <c r="AA24" s="41">
        <f>IFERROR(VLOOKUP($A24,Program[],6,0),0)</f>
        <v>0</v>
      </c>
      <c r="AB24" s="41"/>
      <c r="AC24" s="41"/>
      <c r="AD24" s="41">
        <f>IFERROR(VLOOKUP($A24,Program[],7,0),0)</f>
        <v>0</v>
      </c>
      <c r="AE24" s="41">
        <f>IFERROR(VLOOKUP($A24,Program[],8,0),0)</f>
        <v>0</v>
      </c>
      <c r="AF24" s="41">
        <f>IFERROR(VLOOKUP($A24,Program[],9,0),0)</f>
        <v>0</v>
      </c>
      <c r="AG24" s="41">
        <f>IFERROR(VLOOKUP($A24,Program[],10,0),0)</f>
        <v>0</v>
      </c>
      <c r="AH24" s="41">
        <f>IFERROR(VLOOKUP($A24,Program[],11,0),0)</f>
        <v>0</v>
      </c>
      <c r="AI24" s="41">
        <f>IFERROR(VLOOKUP($A24,Program[],12,0),0)</f>
        <v>0</v>
      </c>
      <c r="AJ24" s="41"/>
      <c r="AK24" s="41">
        <f>IFERROR(VLOOKUP($A24,Program[],13,0),0)</f>
        <v>0</v>
      </c>
      <c r="AL24" s="41"/>
      <c r="AM24" s="41"/>
      <c r="AN24" s="41"/>
      <c r="AO24" s="41"/>
      <c r="AP24" s="41"/>
      <c r="AQ24" s="41"/>
      <c r="AR24" s="41"/>
      <c r="AS24" s="41">
        <f>IFERROR(VLOOKUP($A24,Program[],14,0),0)</f>
        <v>0</v>
      </c>
      <c r="AT24" s="41"/>
      <c r="AU24" s="41"/>
      <c r="AV24" s="41">
        <f>IFERROR(VLOOKUP($A24,Program[],15,0),0)</f>
        <v>0</v>
      </c>
      <c r="AW24" s="41"/>
      <c r="AX24" s="41">
        <f>IFERROR(VLOOKUP($A24,Program[],16,0),0)</f>
        <v>0</v>
      </c>
      <c r="AY24" s="41">
        <f>IFERROR(VLOOKUP($A24,Program[],17,0),0)</f>
        <v>0</v>
      </c>
      <c r="AZ24" s="41">
        <f>IFERROR(VLOOKUP($A24,Program[],18,0),0)</f>
        <v>0</v>
      </c>
      <c r="BA24" s="41">
        <f>IFERROR(VLOOKUP($A24,Program[],19,0),0)</f>
        <v>29622.82</v>
      </c>
      <c r="BB24" s="77">
        <f t="shared" si="8"/>
        <v>139162.16</v>
      </c>
      <c r="BC24" s="41">
        <f>IFERROR(VLOOKUP(A24,Food[],3,0),0)</f>
        <v>604088.34</v>
      </c>
      <c r="BD24" s="41">
        <f>IFERROR(VLOOKUP($A24,FoodRev[],2,0),0)</f>
        <v>47542.47</v>
      </c>
      <c r="BE24" s="41">
        <f>IFERROR(VLOOKUP($A24,FoodRev[],3,0),0)</f>
        <v>133787.6</v>
      </c>
      <c r="BF24" s="41">
        <f>IFERROR(VLOOKUP($A24,FoodRev[],4,0),0)</f>
        <v>0</v>
      </c>
      <c r="BG24" s="41">
        <f>IFERROR(VLOOKUP($A24,FoodRev[],5,0),0)</f>
        <v>240660.23</v>
      </c>
      <c r="BH24" s="41">
        <f>IFERROR(VLOOKUP($A24,FoodRev[],6,0),0)</f>
        <v>0</v>
      </c>
      <c r="BI24" s="41">
        <f>IFERROR(VLOOKUP($A24,FoodRev[],7,0),0)</f>
        <v>0</v>
      </c>
      <c r="BJ24" s="41">
        <f>IFERROR(VLOOKUP($A24,FoodRev[],8,0),0)</f>
        <v>42935.88</v>
      </c>
      <c r="BK24" s="41">
        <f>IFERROR(VLOOKUP($A24,FoodRev[],9,0),0)</f>
        <v>0</v>
      </c>
      <c r="BL24" s="41">
        <f>IFERROR(VLOOKUP($A24,FoodRev[],10,0),0)</f>
        <v>0</v>
      </c>
      <c r="BM24" s="41">
        <f t="shared" si="6"/>
        <v>464926.18000000005</v>
      </c>
      <c r="BN24" s="42">
        <f t="shared" si="2"/>
        <v>139162.16</v>
      </c>
      <c r="BO24" s="78">
        <f t="shared" si="7"/>
        <v>139162.16</v>
      </c>
      <c r="BP24" s="78">
        <f t="shared" si="3"/>
        <v>0</v>
      </c>
    </row>
    <row r="25" spans="1:68" x14ac:dyDescent="0.25">
      <c r="A25" s="40" t="s">
        <v>86</v>
      </c>
      <c r="B25" s="40" t="s">
        <v>727</v>
      </c>
      <c r="D25" s="203">
        <f t="shared" si="4"/>
        <v>0</v>
      </c>
      <c r="E25" s="41">
        <f>IFERROR(VLOOKUP(A25,Items[],5,0),0)</f>
        <v>114799068.67</v>
      </c>
      <c r="F25" s="42">
        <f t="shared" si="5"/>
        <v>114799068.67</v>
      </c>
      <c r="G25" s="41">
        <v>0</v>
      </c>
      <c r="H25" s="41">
        <f>IFERROR(VLOOKUP(A25,Items[],4,0),0)</f>
        <v>128601993.23</v>
      </c>
      <c r="I25" s="41">
        <f>IFERROR(VLOOKUP(A25,Community[],4,0),0)</f>
        <v>0</v>
      </c>
      <c r="J25" s="41">
        <f>IFERROR(VLOOKUP(A25,Community[],5,0),0)</f>
        <v>0</v>
      </c>
      <c r="K25" s="41">
        <f>IFERROR(VLOOKUP(A25,Community[],6,0),0)</f>
        <v>0</v>
      </c>
      <c r="L25" s="41">
        <f>IFERROR(VLOOKUP(A25,Community[],7,0),0)</f>
        <v>17909.810000000001</v>
      </c>
      <c r="M25" s="41">
        <f>IFERROR(VLOOKUP(A25,Debt[],3,0),0)</f>
        <v>789.05</v>
      </c>
      <c r="N25" s="41">
        <f>IFERROR(VLOOKUP(A25,Debt[],4,0),0)</f>
        <v>118898.99</v>
      </c>
      <c r="O25" s="41">
        <f>IFERROR(VLOOKUP(A25,Debt[],5,0),0)</f>
        <v>0</v>
      </c>
      <c r="P25" s="41">
        <f>IFERROR(VLOOKUP(A25,Items[],3,0),0)</f>
        <v>1329223.26</v>
      </c>
      <c r="Q25" s="41">
        <f>IFERROR(VLOOKUP($A25,Federal[],2,0),0)</f>
        <v>27896.86</v>
      </c>
      <c r="R25" s="41">
        <f>IFERROR(VLOOKUP($A25,Federal[],4,0),0)</f>
        <v>11986275.27</v>
      </c>
      <c r="S25" s="41"/>
      <c r="T25" s="47">
        <f>IFERROR(VLOOKUP($A25,Program[],3,0),0)</f>
        <v>0</v>
      </c>
      <c r="U25" s="47"/>
      <c r="V25" s="41">
        <f>IFERROR(VLOOKUP($A25,Program[],4,0),0)</f>
        <v>0</v>
      </c>
      <c r="W25" s="41">
        <f>IFERROR(VLOOKUP($A25,Program[],5,0),0)</f>
        <v>0</v>
      </c>
      <c r="X25" s="41"/>
      <c r="Y25" s="41"/>
      <c r="Z25" s="41"/>
      <c r="AA25" s="41">
        <f>IFERROR(VLOOKUP($A25,Program[],6,0),0)</f>
        <v>0</v>
      </c>
      <c r="AB25" s="41"/>
      <c r="AC25" s="41"/>
      <c r="AD25" s="41">
        <f>IFERROR(VLOOKUP($A25,Program[],7,0),0)</f>
        <v>0</v>
      </c>
      <c r="AE25" s="41">
        <f>IFERROR(VLOOKUP($A25,Program[],8,0),0)</f>
        <v>0</v>
      </c>
      <c r="AF25" s="41">
        <f>IFERROR(VLOOKUP($A25,Program[],9,0),0)</f>
        <v>0</v>
      </c>
      <c r="AG25" s="41">
        <f>IFERROR(VLOOKUP($A25,Program[],10,0),0)</f>
        <v>0</v>
      </c>
      <c r="AH25" s="41">
        <f>IFERROR(VLOOKUP($A25,Program[],11,0),0)</f>
        <v>0</v>
      </c>
      <c r="AI25" s="41">
        <f>IFERROR(VLOOKUP($A25,Program[],12,0),0)</f>
        <v>67081.41</v>
      </c>
      <c r="AJ25" s="41"/>
      <c r="AK25" s="41">
        <f>IFERROR(VLOOKUP($A25,Program[],13,0),0)</f>
        <v>0</v>
      </c>
      <c r="AL25" s="41"/>
      <c r="AM25" s="41"/>
      <c r="AN25" s="41"/>
      <c r="AO25" s="41"/>
      <c r="AP25" s="41"/>
      <c r="AQ25" s="41"/>
      <c r="AR25" s="41"/>
      <c r="AS25" s="41">
        <f>IFERROR(VLOOKUP($A25,Program[],14,0),0)</f>
        <v>0</v>
      </c>
      <c r="AT25" s="41"/>
      <c r="AU25" s="41"/>
      <c r="AV25" s="41">
        <f>IFERROR(VLOOKUP($A25,Program[],15,0),0)</f>
        <v>0</v>
      </c>
      <c r="AW25" s="41"/>
      <c r="AX25" s="41">
        <f>IFERROR(VLOOKUP($A25,Program[],16,0),0)</f>
        <v>0</v>
      </c>
      <c r="AY25" s="41">
        <f>IFERROR(VLOOKUP($A25,Program[],17,0),0)</f>
        <v>0</v>
      </c>
      <c r="AZ25" s="41">
        <f>IFERROR(VLOOKUP($A25,Program[],18,0),0)</f>
        <v>0</v>
      </c>
      <c r="BA25" s="41">
        <f>IFERROR(VLOOKUP($A25,Program[],19,0),0)</f>
        <v>0</v>
      </c>
      <c r="BB25" s="77">
        <f t="shared" si="8"/>
        <v>0</v>
      </c>
      <c r="BC25" s="41">
        <f>IFERROR(VLOOKUP(A25,Food[],3,0),0)</f>
        <v>3726605.6899999995</v>
      </c>
      <c r="BD25" s="41">
        <f>IFERROR(VLOOKUP($A25,FoodRev[],2,0),0)</f>
        <v>14726.99</v>
      </c>
      <c r="BE25" s="41">
        <f>IFERROR(VLOOKUP($A25,FoodRev[],3,0),0)</f>
        <v>743153.94</v>
      </c>
      <c r="BF25" s="41">
        <f>IFERROR(VLOOKUP($A25,FoodRev[],4,0),0)</f>
        <v>0</v>
      </c>
      <c r="BG25" s="41">
        <f>IFERROR(VLOOKUP($A25,FoodRev[],5,0),0)</f>
        <v>2977743.63</v>
      </c>
      <c r="BH25" s="41">
        <f>IFERROR(VLOOKUP($A25,FoodRev[],6,0),0)</f>
        <v>0</v>
      </c>
      <c r="BI25" s="41">
        <f>IFERROR(VLOOKUP($A25,FoodRev[],7,0),0)</f>
        <v>0</v>
      </c>
      <c r="BJ25" s="41">
        <f>IFERROR(VLOOKUP($A25,FoodRev[],8,0),0)</f>
        <v>359849.33</v>
      </c>
      <c r="BK25" s="41">
        <f>IFERROR(VLOOKUP($A25,FoodRev[],9,0),0)</f>
        <v>0</v>
      </c>
      <c r="BL25" s="41">
        <f>IFERROR(VLOOKUP($A25,FoodRev[],10,0),0)</f>
        <v>0</v>
      </c>
      <c r="BM25" s="41">
        <f t="shared" si="6"/>
        <v>4095473.8899999997</v>
      </c>
      <c r="BN25" s="42">
        <f t="shared" si="2"/>
        <v>-368868.20000000059</v>
      </c>
      <c r="BO25" s="78">
        <f t="shared" si="7"/>
        <v>0</v>
      </c>
      <c r="BP25" s="78">
        <f t="shared" si="3"/>
        <v>-368868.20000000059</v>
      </c>
    </row>
    <row r="26" spans="1:68" x14ac:dyDescent="0.25">
      <c r="A26" s="40" t="s">
        <v>1200</v>
      </c>
      <c r="B26" s="40" t="s">
        <v>1226</v>
      </c>
      <c r="D26" s="203">
        <f t="shared" si="4"/>
        <v>9.3132257461547852E-10</v>
      </c>
      <c r="E26" s="41">
        <f>IFERROR(VLOOKUP(A26,Items[],5,0),0)</f>
        <v>4264571.68</v>
      </c>
      <c r="F26" s="42">
        <f t="shared" si="5"/>
        <v>4264571.6799999988</v>
      </c>
      <c r="G26" s="41"/>
      <c r="H26" s="41">
        <f>IFERROR(VLOOKUP(A26,Items[],4,0),0)</f>
        <v>4752040.6399999997</v>
      </c>
      <c r="I26" s="41">
        <f>IFERROR(VLOOKUP(A26,Community[],4,0),0)</f>
        <v>0</v>
      </c>
      <c r="J26" s="41">
        <f>IFERROR(VLOOKUP(A26,Community[],5,0),0)</f>
        <v>0</v>
      </c>
      <c r="K26" s="41">
        <f>IFERROR(VLOOKUP(A26,Community[],6,0),0)</f>
        <v>0</v>
      </c>
      <c r="L26" s="41">
        <f>IFERROR(VLOOKUP(A26,Community[],7,0),0)</f>
        <v>0</v>
      </c>
      <c r="M26" s="41">
        <f>IFERROR(VLOOKUP(A26,Debt[],3,0),0)</f>
        <v>4666.1099999999997</v>
      </c>
      <c r="N26" s="41">
        <f>IFERROR(VLOOKUP(A26,Debt[],4,0),0)</f>
        <v>102213.92</v>
      </c>
      <c r="O26" s="41">
        <f>IFERROR(VLOOKUP(A26,Debt[],5,0),0)</f>
        <v>0</v>
      </c>
      <c r="P26" s="41">
        <f>IFERROR(VLOOKUP(A26,Items[],3,0),0)</f>
        <v>78223.86</v>
      </c>
      <c r="Q26" s="41">
        <f>IFERROR(VLOOKUP($A26,Federal[],2,0),0)</f>
        <v>0</v>
      </c>
      <c r="R26" s="41">
        <f>IFERROR(VLOOKUP($A26,Federal[],4,0),0)</f>
        <v>254374.19</v>
      </c>
      <c r="S26" s="41"/>
      <c r="T26" s="47">
        <f>IFERROR(VLOOKUP($A26,Program[],3,0),0)</f>
        <v>0</v>
      </c>
      <c r="U26" s="47"/>
      <c r="V26" s="41">
        <f>IFERROR(VLOOKUP($A26,Program[],4,0),0)</f>
        <v>0</v>
      </c>
      <c r="W26" s="41">
        <f>IFERROR(VLOOKUP($A26,Program[],5,0),0)</f>
        <v>0</v>
      </c>
      <c r="X26" s="41"/>
      <c r="Y26" s="41"/>
      <c r="Z26" s="41"/>
      <c r="AA26" s="41">
        <f>IFERROR(VLOOKUP($A26,Program[],6,0),0)</f>
        <v>0</v>
      </c>
      <c r="AB26" s="41"/>
      <c r="AC26" s="41"/>
      <c r="AD26" s="41">
        <f>IFERROR(VLOOKUP($A26,Program[],7,0),0)</f>
        <v>0</v>
      </c>
      <c r="AE26" s="41">
        <f>IFERROR(VLOOKUP($A26,Program[],8,0),0)</f>
        <v>0</v>
      </c>
      <c r="AF26" s="41">
        <f>IFERROR(VLOOKUP($A26,Program[],9,0),0)</f>
        <v>0</v>
      </c>
      <c r="AG26" s="41">
        <f>IFERROR(VLOOKUP($A26,Program[],10,0),0)</f>
        <v>0</v>
      </c>
      <c r="AH26" s="41">
        <f>IFERROR(VLOOKUP($A26,Program[],11,0),0)</f>
        <v>0</v>
      </c>
      <c r="AI26" s="41">
        <f>IFERROR(VLOOKUP($A26,Program[],12,0),0)</f>
        <v>0</v>
      </c>
      <c r="AJ26" s="41"/>
      <c r="AK26" s="41">
        <f>IFERROR(VLOOKUP($A26,Program[],13,0),0)</f>
        <v>0</v>
      </c>
      <c r="AL26" s="41"/>
      <c r="AM26" s="41"/>
      <c r="AN26" s="41"/>
      <c r="AO26" s="41"/>
      <c r="AP26" s="41"/>
      <c r="AQ26" s="41"/>
      <c r="AR26" s="41"/>
      <c r="AS26" s="41">
        <f>IFERROR(VLOOKUP($A26,Program[],14,0),0)</f>
        <v>0</v>
      </c>
      <c r="AT26" s="41"/>
      <c r="AU26" s="41"/>
      <c r="AV26" s="41">
        <f>IFERROR(VLOOKUP($A26,Program[],15,0),0)</f>
        <v>0</v>
      </c>
      <c r="AW26" s="41"/>
      <c r="AX26" s="41">
        <f>IFERROR(VLOOKUP($A26,Program[],16,0),0)</f>
        <v>0</v>
      </c>
      <c r="AY26" s="41">
        <f>IFERROR(VLOOKUP($A26,Program[],17,0),0)</f>
        <v>0</v>
      </c>
      <c r="AZ26" s="41">
        <f>IFERROR(VLOOKUP($A26,Program[],18,0),0)</f>
        <v>0</v>
      </c>
      <c r="BA26" s="41">
        <f>IFERROR(VLOOKUP($A26,Program[],19,0),0)</f>
        <v>0</v>
      </c>
      <c r="BB26" s="77">
        <f t="shared" si="8"/>
        <v>67531.37</v>
      </c>
      <c r="BC26" s="41">
        <f>IFERROR(VLOOKUP(A26,Food[],3,0),0)</f>
        <v>211232.75</v>
      </c>
      <c r="BD26" s="41">
        <f>IFERROR(VLOOKUP($A26,FoodRev[],2,0),0)</f>
        <v>0</v>
      </c>
      <c r="BE26" s="41">
        <f>IFERROR(VLOOKUP($A26,FoodRev[],3,0),0)</f>
        <v>47990.879999999997</v>
      </c>
      <c r="BF26" s="41">
        <f>IFERROR(VLOOKUP($A26,FoodRev[],4,0),0)</f>
        <v>0</v>
      </c>
      <c r="BG26" s="41">
        <f>IFERROR(VLOOKUP($A26,FoodRev[],5,0),0)</f>
        <v>95710.5</v>
      </c>
      <c r="BH26" s="41">
        <f>IFERROR(VLOOKUP($A26,FoodRev[],6,0),0)</f>
        <v>0</v>
      </c>
      <c r="BI26" s="41">
        <f>IFERROR(VLOOKUP($A26,FoodRev[],7,0),0)</f>
        <v>0</v>
      </c>
      <c r="BJ26" s="41">
        <f>IFERROR(VLOOKUP($A26,FoodRev[],8,0),0)</f>
        <v>0</v>
      </c>
      <c r="BK26" s="41">
        <f>IFERROR(VLOOKUP($A26,FoodRev[],9,0),0)</f>
        <v>0</v>
      </c>
      <c r="BL26" s="41">
        <f>IFERROR(VLOOKUP($A26,FoodRev[],10,0),0)</f>
        <v>0</v>
      </c>
      <c r="BM26" s="41">
        <f t="shared" ref="BM26" si="9">SUM(BD26:BL26)</f>
        <v>143701.38</v>
      </c>
      <c r="BN26" s="42">
        <f t="shared" ref="BN26" si="10">BC26-BD26-BE26-BF26-BG26-BH26-BI26-BJ26-BK26-BL26</f>
        <v>67531.37</v>
      </c>
      <c r="BO26" s="78">
        <f t="shared" ref="BO26" si="11">IF(BN26&lt;0,0,BN26)</f>
        <v>67531.37</v>
      </c>
      <c r="BP26" s="78">
        <f t="shared" ref="BP26" si="12">IF(BN26&lt;0,BN26,0)</f>
        <v>0</v>
      </c>
    </row>
    <row r="27" spans="1:68" x14ac:dyDescent="0.25">
      <c r="A27" s="40" t="s">
        <v>146</v>
      </c>
      <c r="B27" s="40" t="s">
        <v>728</v>
      </c>
      <c r="D27" s="203">
        <f t="shared" si="4"/>
        <v>-7.4505805969238281E-9</v>
      </c>
      <c r="E27" s="41">
        <f>IFERROR(VLOOKUP(A27,Items[],5,0),0)</f>
        <v>54453978.700000003</v>
      </c>
      <c r="F27" s="42">
        <f t="shared" si="5"/>
        <v>54453978.70000001</v>
      </c>
      <c r="G27" s="41">
        <v>0</v>
      </c>
      <c r="H27" s="41">
        <f>IFERROR(VLOOKUP(A27,Items[],4,0),0)</f>
        <v>59818936.890000001</v>
      </c>
      <c r="I27" s="41">
        <f>IFERROR(VLOOKUP(A27,Community[],4,0),0)</f>
        <v>0</v>
      </c>
      <c r="J27" s="41">
        <f>IFERROR(VLOOKUP(A27,Community[],5,0),0)</f>
        <v>0</v>
      </c>
      <c r="K27" s="41">
        <f>IFERROR(VLOOKUP(A27,Community[],6,0),0)</f>
        <v>0</v>
      </c>
      <c r="L27" s="41">
        <f>IFERROR(VLOOKUP(A27,Community[],7,0),0)</f>
        <v>67437.149999999994</v>
      </c>
      <c r="M27" s="41">
        <f>IFERROR(VLOOKUP(A27,Debt[],3,0),0)</f>
        <v>0</v>
      </c>
      <c r="N27" s="41">
        <f>IFERROR(VLOOKUP(A27,Debt[],4,0),0)</f>
        <v>0</v>
      </c>
      <c r="O27" s="41">
        <f>IFERROR(VLOOKUP(A27,Debt[],5,0),0)</f>
        <v>0</v>
      </c>
      <c r="P27" s="41">
        <f>IFERROR(VLOOKUP(A27,Items[],3,0),0)</f>
        <v>55288.25</v>
      </c>
      <c r="Q27" s="41">
        <f>IFERROR(VLOOKUP($A27,Federal[],2,0),0)</f>
        <v>163125.18</v>
      </c>
      <c r="R27" s="41">
        <f>IFERROR(VLOOKUP($A27,Federal[],4,0),0)</f>
        <v>4872156.7</v>
      </c>
      <c r="S27" s="41"/>
      <c r="T27" s="47">
        <f>IFERROR(VLOOKUP($A27,Program[],3,0),0)</f>
        <v>0</v>
      </c>
      <c r="U27" s="47"/>
      <c r="V27" s="41">
        <f>IFERROR(VLOOKUP($A27,Program[],4,0),0)</f>
        <v>0</v>
      </c>
      <c r="W27" s="41">
        <f>IFERROR(VLOOKUP($A27,Program[],5,0),0)</f>
        <v>0</v>
      </c>
      <c r="X27" s="41"/>
      <c r="Y27" s="41"/>
      <c r="Z27" s="41"/>
      <c r="AA27" s="41">
        <f>IFERROR(VLOOKUP($A27,Program[],6,0),0)</f>
        <v>0</v>
      </c>
      <c r="AB27" s="41"/>
      <c r="AC27" s="41"/>
      <c r="AD27" s="41">
        <f>IFERROR(VLOOKUP($A27,Program[],7,0),0)</f>
        <v>0</v>
      </c>
      <c r="AE27" s="41">
        <f>IFERROR(VLOOKUP($A27,Program[],8,0),0)</f>
        <v>0</v>
      </c>
      <c r="AF27" s="41">
        <f>IFERROR(VLOOKUP($A27,Program[],9,0),0)</f>
        <v>0</v>
      </c>
      <c r="AG27" s="41">
        <f>IFERROR(VLOOKUP($A27,Program[],10,0),0)</f>
        <v>8986.49</v>
      </c>
      <c r="AH27" s="41">
        <f>IFERROR(VLOOKUP($A27,Program[],11,0),0)</f>
        <v>0</v>
      </c>
      <c r="AI27" s="41">
        <f>IFERROR(VLOOKUP($A27,Program[],12,0),0)</f>
        <v>0</v>
      </c>
      <c r="AJ27" s="41"/>
      <c r="AK27" s="41">
        <f>IFERROR(VLOOKUP($A27,Program[],13,0),0)</f>
        <v>0</v>
      </c>
      <c r="AL27" s="41"/>
      <c r="AM27" s="41"/>
      <c r="AN27" s="41"/>
      <c r="AO27" s="41"/>
      <c r="AP27" s="41"/>
      <c r="AQ27" s="41"/>
      <c r="AR27" s="41"/>
      <c r="AS27" s="41">
        <f>IFERROR(VLOOKUP($A27,Program[],14,0),0)</f>
        <v>0</v>
      </c>
      <c r="AT27" s="41"/>
      <c r="AU27" s="41"/>
      <c r="AV27" s="41">
        <f>IFERROR(VLOOKUP($A27,Program[],15,0),0)</f>
        <v>0</v>
      </c>
      <c r="AW27" s="41"/>
      <c r="AX27" s="41">
        <f>IFERROR(VLOOKUP($A27,Program[],16,0),0)</f>
        <v>0</v>
      </c>
      <c r="AY27" s="41">
        <f>IFERROR(VLOOKUP($A27,Program[],17,0),0)</f>
        <v>0</v>
      </c>
      <c r="AZ27" s="41">
        <f>IFERROR(VLOOKUP($A27,Program[],18,0),0)</f>
        <v>34677.93</v>
      </c>
      <c r="BA27" s="41">
        <f>IFERROR(VLOOKUP($A27,Program[],19,0),0)</f>
        <v>0</v>
      </c>
      <c r="BB27" s="77">
        <f t="shared" si="8"/>
        <v>0</v>
      </c>
      <c r="BC27" s="41">
        <f>IFERROR(VLOOKUP(A27,Food[],3,0),0)</f>
        <v>1807112.4400000002</v>
      </c>
      <c r="BD27" s="41">
        <f>IFERROR(VLOOKUP($A27,FoodRev[],2,0),0)</f>
        <v>1317.75</v>
      </c>
      <c r="BE27" s="41">
        <f>IFERROR(VLOOKUP($A27,FoodRev[],3,0),0)</f>
        <v>573559.05000000005</v>
      </c>
      <c r="BF27" s="41">
        <f>IFERROR(VLOOKUP($A27,FoodRev[],4,0),0)</f>
        <v>0</v>
      </c>
      <c r="BG27" s="41">
        <f>IFERROR(VLOOKUP($A27,FoodRev[],5,0),0)</f>
        <v>1425532.59</v>
      </c>
      <c r="BH27" s="41">
        <f>IFERROR(VLOOKUP($A27,FoodRev[],6,0),0)</f>
        <v>0</v>
      </c>
      <c r="BI27" s="41">
        <f>IFERROR(VLOOKUP($A27,FoodRev[],7,0),0)</f>
        <v>0</v>
      </c>
      <c r="BJ27" s="41">
        <f>IFERROR(VLOOKUP($A27,FoodRev[],8,0),0)</f>
        <v>130964.52</v>
      </c>
      <c r="BK27" s="41">
        <f>IFERROR(VLOOKUP($A27,FoodRev[],9,0),0)</f>
        <v>0</v>
      </c>
      <c r="BL27" s="41">
        <f>IFERROR(VLOOKUP($A27,FoodRev[],10,0),0)</f>
        <v>0</v>
      </c>
      <c r="BM27" s="41">
        <f t="shared" si="6"/>
        <v>2131373.91</v>
      </c>
      <c r="BN27" s="42">
        <f t="shared" si="2"/>
        <v>-324261.46999999997</v>
      </c>
      <c r="BO27" s="78">
        <f t="shared" si="7"/>
        <v>0</v>
      </c>
      <c r="BP27" s="78">
        <f t="shared" si="3"/>
        <v>-324261.46999999997</v>
      </c>
    </row>
    <row r="28" spans="1:68" x14ac:dyDescent="0.25">
      <c r="A28" s="40" t="s">
        <v>422</v>
      </c>
      <c r="B28" s="40" t="s">
        <v>729</v>
      </c>
      <c r="D28" s="203">
        <f t="shared" si="4"/>
        <v>0</v>
      </c>
      <c r="E28" s="41">
        <f>IFERROR(VLOOKUP(A28,Items[],5,0),0)</f>
        <v>7052330.79</v>
      </c>
      <c r="F28" s="42">
        <f t="shared" si="5"/>
        <v>7052330.79</v>
      </c>
      <c r="G28" s="41">
        <v>0</v>
      </c>
      <c r="H28" s="41">
        <f>IFERROR(VLOOKUP(A28,Items[],4,0),0)</f>
        <v>7586005.79</v>
      </c>
      <c r="I28" s="41">
        <f>IFERROR(VLOOKUP(A28,Community[],4,0),0)</f>
        <v>0</v>
      </c>
      <c r="J28" s="41">
        <f>IFERROR(VLOOKUP(A28,Community[],5,0),0)</f>
        <v>0</v>
      </c>
      <c r="K28" s="41">
        <f>IFERROR(VLOOKUP(A28,Community[],6,0),0)</f>
        <v>0</v>
      </c>
      <c r="L28" s="41">
        <f>IFERROR(VLOOKUP(A28,Community[],7,0),0)</f>
        <v>0</v>
      </c>
      <c r="M28" s="41">
        <f>IFERROR(VLOOKUP(A28,Debt[],3,0),0)</f>
        <v>0</v>
      </c>
      <c r="N28" s="41">
        <f>IFERROR(VLOOKUP(A28,Debt[],4,0),0)</f>
        <v>0</v>
      </c>
      <c r="O28" s="41">
        <f>IFERROR(VLOOKUP(A28,Debt[],5,0),0)</f>
        <v>0</v>
      </c>
      <c r="P28" s="41">
        <f>IFERROR(VLOOKUP(A28,Items[],3,0),0)</f>
        <v>83256.240000000005</v>
      </c>
      <c r="Q28" s="41">
        <f>IFERROR(VLOOKUP($A28,Federal[],2,0),0)</f>
        <v>17035.87</v>
      </c>
      <c r="R28" s="41">
        <f>IFERROR(VLOOKUP($A28,Federal[],4,0),0)</f>
        <v>368126.46</v>
      </c>
      <c r="S28" s="41"/>
      <c r="T28" s="47">
        <f>IFERROR(VLOOKUP($A28,Program[],3,0),0)</f>
        <v>0</v>
      </c>
      <c r="U28" s="47"/>
      <c r="V28" s="41">
        <f>IFERROR(VLOOKUP($A28,Program[],4,0),0)</f>
        <v>0</v>
      </c>
      <c r="W28" s="41">
        <f>IFERROR(VLOOKUP($A28,Program[],5,0),0)</f>
        <v>0</v>
      </c>
      <c r="X28" s="41"/>
      <c r="Y28" s="41"/>
      <c r="Z28" s="41"/>
      <c r="AA28" s="41">
        <f>IFERROR(VLOOKUP($A28,Program[],6,0),0)</f>
        <v>0</v>
      </c>
      <c r="AB28" s="41"/>
      <c r="AC28" s="41"/>
      <c r="AD28" s="41">
        <f>IFERROR(VLOOKUP($A28,Program[],7,0),0)</f>
        <v>0</v>
      </c>
      <c r="AE28" s="41">
        <f>IFERROR(VLOOKUP($A28,Program[],8,0),0)</f>
        <v>0</v>
      </c>
      <c r="AF28" s="41">
        <f>IFERROR(VLOOKUP($A28,Program[],9,0),0)</f>
        <v>0</v>
      </c>
      <c r="AG28" s="41">
        <f>IFERROR(VLOOKUP($A28,Program[],10,0),0)</f>
        <v>0</v>
      </c>
      <c r="AH28" s="41">
        <f>IFERROR(VLOOKUP($A28,Program[],11,0),0)</f>
        <v>0</v>
      </c>
      <c r="AI28" s="41">
        <f>IFERROR(VLOOKUP($A28,Program[],12,0),0)</f>
        <v>0</v>
      </c>
      <c r="AJ28" s="41"/>
      <c r="AK28" s="41">
        <f>IFERROR(VLOOKUP($A28,Program[],13,0),0)</f>
        <v>0</v>
      </c>
      <c r="AL28" s="41"/>
      <c r="AM28" s="41"/>
      <c r="AN28" s="41"/>
      <c r="AO28" s="41"/>
      <c r="AP28" s="41"/>
      <c r="AQ28" s="41"/>
      <c r="AR28" s="41"/>
      <c r="AS28" s="41">
        <f>IFERROR(VLOOKUP($A28,Program[],14,0),0)</f>
        <v>0</v>
      </c>
      <c r="AT28" s="41"/>
      <c r="AU28" s="41"/>
      <c r="AV28" s="41">
        <f>IFERROR(VLOOKUP($A28,Program[],15,0),0)</f>
        <v>0</v>
      </c>
      <c r="AW28" s="41"/>
      <c r="AX28" s="41">
        <f>IFERROR(VLOOKUP($A28,Program[],16,0),0)</f>
        <v>0</v>
      </c>
      <c r="AY28" s="41">
        <f>IFERROR(VLOOKUP($A28,Program[],17,0),0)</f>
        <v>0</v>
      </c>
      <c r="AZ28" s="41">
        <f>IFERROR(VLOOKUP($A28,Program[],18,0),0)</f>
        <v>0</v>
      </c>
      <c r="BA28" s="41">
        <f>IFERROR(VLOOKUP($A28,Program[],19,0),0)</f>
        <v>0</v>
      </c>
      <c r="BB28" s="77">
        <f t="shared" si="8"/>
        <v>76163.049999999959</v>
      </c>
      <c r="BC28" s="41">
        <f>IFERROR(VLOOKUP(A28,Food[],3,0),0)</f>
        <v>228721.88999999996</v>
      </c>
      <c r="BD28" s="41">
        <f>IFERROR(VLOOKUP($A28,FoodRev[],2,0),0)</f>
        <v>3251.8</v>
      </c>
      <c r="BE28" s="41">
        <f>IFERROR(VLOOKUP($A28,FoodRev[],3,0),0)</f>
        <v>59944.63</v>
      </c>
      <c r="BF28" s="41">
        <f>IFERROR(VLOOKUP($A28,FoodRev[],4,0),0)</f>
        <v>2060</v>
      </c>
      <c r="BG28" s="41">
        <f>IFERROR(VLOOKUP($A28,FoodRev[],5,0),0)</f>
        <v>82207.460000000006</v>
      </c>
      <c r="BH28" s="41">
        <f>IFERROR(VLOOKUP($A28,FoodRev[],6,0),0)</f>
        <v>0</v>
      </c>
      <c r="BI28" s="41">
        <f>IFERROR(VLOOKUP($A28,FoodRev[],7,0),0)</f>
        <v>0</v>
      </c>
      <c r="BJ28" s="41">
        <f>IFERROR(VLOOKUP($A28,FoodRev[],8,0),0)</f>
        <v>5094.95</v>
      </c>
      <c r="BK28" s="41">
        <f>IFERROR(VLOOKUP($A28,FoodRev[],9,0),0)</f>
        <v>0</v>
      </c>
      <c r="BL28" s="41">
        <f>IFERROR(VLOOKUP($A28,FoodRev[],10,0),0)</f>
        <v>0</v>
      </c>
      <c r="BM28" s="41">
        <f t="shared" si="6"/>
        <v>152558.84000000003</v>
      </c>
      <c r="BN28" s="42">
        <f t="shared" si="2"/>
        <v>76163.049999999959</v>
      </c>
      <c r="BO28" s="78">
        <f t="shared" si="7"/>
        <v>76163.049999999959</v>
      </c>
      <c r="BP28" s="78">
        <f t="shared" si="3"/>
        <v>0</v>
      </c>
    </row>
    <row r="29" spans="1:68" x14ac:dyDescent="0.25">
      <c r="A29" s="40" t="s">
        <v>188</v>
      </c>
      <c r="B29" s="40" t="s">
        <v>730</v>
      </c>
      <c r="D29" s="203">
        <f t="shared" si="4"/>
        <v>7.4505805969238281E-9</v>
      </c>
      <c r="E29" s="41">
        <f>IFERROR(VLOOKUP(A29,Items[],5,0),0)</f>
        <v>43590456.619999997</v>
      </c>
      <c r="F29" s="42">
        <f t="shared" si="5"/>
        <v>43590456.61999999</v>
      </c>
      <c r="G29" s="41">
        <v>0</v>
      </c>
      <c r="H29" s="41">
        <f>IFERROR(VLOOKUP(A29,Items[],4,0),0)</f>
        <v>46824696.859999999</v>
      </c>
      <c r="I29" s="41">
        <f>IFERROR(VLOOKUP(A29,Community[],4,0),0)</f>
        <v>0</v>
      </c>
      <c r="J29" s="41">
        <f>IFERROR(VLOOKUP(A29,Community[],5,0),0)</f>
        <v>0</v>
      </c>
      <c r="K29" s="41">
        <f>IFERROR(VLOOKUP(A29,Community[],6,0),0)</f>
        <v>0</v>
      </c>
      <c r="L29" s="41">
        <f>IFERROR(VLOOKUP(A29,Community[],7,0),0)</f>
        <v>166.2</v>
      </c>
      <c r="M29" s="41">
        <f>IFERROR(VLOOKUP(A29,Debt[],3,0),0)</f>
        <v>0</v>
      </c>
      <c r="N29" s="41">
        <f>IFERROR(VLOOKUP(A29,Debt[],4,0),0)</f>
        <v>0</v>
      </c>
      <c r="O29" s="41">
        <f>IFERROR(VLOOKUP(A29,Debt[],5,0),0)</f>
        <v>0</v>
      </c>
      <c r="P29" s="41">
        <f>IFERROR(VLOOKUP(A29,Items[],3,0),0)</f>
        <v>128171.13</v>
      </c>
      <c r="Q29" s="41">
        <f>IFERROR(VLOOKUP($A29,Federal[],2,0),0)</f>
        <v>27249.58</v>
      </c>
      <c r="R29" s="41">
        <f>IFERROR(VLOOKUP($A29,Federal[],4,0),0)</f>
        <v>2830078.88</v>
      </c>
      <c r="S29" s="41"/>
      <c r="T29" s="47">
        <f>IFERROR(VLOOKUP($A29,Program[],3,0),0)</f>
        <v>0</v>
      </c>
      <c r="U29" s="47"/>
      <c r="V29" s="41">
        <f>IFERROR(VLOOKUP($A29,Program[],4,0),0)</f>
        <v>0</v>
      </c>
      <c r="W29" s="41">
        <f>IFERROR(VLOOKUP($A29,Program[],5,0),0)</f>
        <v>0</v>
      </c>
      <c r="X29" s="41"/>
      <c r="Y29" s="41"/>
      <c r="Z29" s="41"/>
      <c r="AA29" s="41">
        <f>IFERROR(VLOOKUP($A29,Program[],6,0),0)</f>
        <v>0</v>
      </c>
      <c r="AB29" s="41"/>
      <c r="AC29" s="41"/>
      <c r="AD29" s="41">
        <f>IFERROR(VLOOKUP($A29,Program[],7,0),0)</f>
        <v>0</v>
      </c>
      <c r="AE29" s="41">
        <f>IFERROR(VLOOKUP($A29,Program[],8,0),0)</f>
        <v>0</v>
      </c>
      <c r="AF29" s="41">
        <f>IFERROR(VLOOKUP($A29,Program[],9,0),0)</f>
        <v>0</v>
      </c>
      <c r="AG29" s="41">
        <f>IFERROR(VLOOKUP($A29,Program[],10,0),0)</f>
        <v>0</v>
      </c>
      <c r="AH29" s="41">
        <f>IFERROR(VLOOKUP($A29,Program[],11,0),0)</f>
        <v>0</v>
      </c>
      <c r="AI29" s="41">
        <f>IFERROR(VLOOKUP($A29,Program[],12,0),0)</f>
        <v>0</v>
      </c>
      <c r="AJ29" s="41"/>
      <c r="AK29" s="41">
        <f>IFERROR(VLOOKUP($A29,Program[],13,0),0)</f>
        <v>0</v>
      </c>
      <c r="AL29" s="41"/>
      <c r="AM29" s="41"/>
      <c r="AN29" s="41"/>
      <c r="AO29" s="41"/>
      <c r="AP29" s="41"/>
      <c r="AQ29" s="41"/>
      <c r="AR29" s="41"/>
      <c r="AS29" s="41">
        <f>IFERROR(VLOOKUP($A29,Program[],14,0),0)</f>
        <v>0</v>
      </c>
      <c r="AT29" s="41"/>
      <c r="AU29" s="41"/>
      <c r="AV29" s="41">
        <f>IFERROR(VLOOKUP($A29,Program[],15,0),0)</f>
        <v>0</v>
      </c>
      <c r="AW29" s="41"/>
      <c r="AX29" s="41">
        <f>IFERROR(VLOOKUP($A29,Program[],16,0),0)</f>
        <v>0</v>
      </c>
      <c r="AY29" s="41">
        <f>IFERROR(VLOOKUP($A29,Program[],17,0),0)</f>
        <v>0</v>
      </c>
      <c r="AZ29" s="41">
        <f>IFERROR(VLOOKUP($A29,Program[],18,0),0)</f>
        <v>0</v>
      </c>
      <c r="BA29" s="41">
        <f>IFERROR(VLOOKUP($A29,Program[],19,0),0)</f>
        <v>26217.86</v>
      </c>
      <c r="BB29" s="77">
        <f t="shared" si="8"/>
        <v>23735.28999999995</v>
      </c>
      <c r="BC29" s="41">
        <f>IFERROR(VLOOKUP(A29,Food[],3,0),0)</f>
        <v>1146609.55</v>
      </c>
      <c r="BD29" s="41">
        <f>IFERROR(VLOOKUP($A29,FoodRev[],2,0),0)</f>
        <v>49537.53</v>
      </c>
      <c r="BE29" s="41">
        <f>IFERROR(VLOOKUP($A29,FoodRev[],3,0),0)</f>
        <v>225254.78</v>
      </c>
      <c r="BF29" s="41">
        <f>IFERROR(VLOOKUP($A29,FoodRev[],4,0),0)</f>
        <v>0</v>
      </c>
      <c r="BG29" s="41">
        <f>IFERROR(VLOOKUP($A29,FoodRev[],5,0),0)</f>
        <v>761584.05</v>
      </c>
      <c r="BH29" s="41">
        <f>IFERROR(VLOOKUP($A29,FoodRev[],6,0),0)</f>
        <v>0</v>
      </c>
      <c r="BI29" s="41">
        <f>IFERROR(VLOOKUP($A29,FoodRev[],7,0),0)</f>
        <v>0</v>
      </c>
      <c r="BJ29" s="41">
        <f>IFERROR(VLOOKUP($A29,FoodRev[],8,0),0)</f>
        <v>86497.9</v>
      </c>
      <c r="BK29" s="41">
        <f>IFERROR(VLOOKUP($A29,FoodRev[],9,0),0)</f>
        <v>0</v>
      </c>
      <c r="BL29" s="41">
        <f>IFERROR(VLOOKUP($A29,FoodRev[],10,0),0)</f>
        <v>0</v>
      </c>
      <c r="BM29" s="41">
        <f t="shared" si="6"/>
        <v>1122874.26</v>
      </c>
      <c r="BN29" s="42">
        <f t="shared" si="2"/>
        <v>23735.28999999995</v>
      </c>
      <c r="BO29" s="78">
        <f t="shared" si="7"/>
        <v>23735.28999999995</v>
      </c>
      <c r="BP29" s="78">
        <f t="shared" si="3"/>
        <v>0</v>
      </c>
    </row>
    <row r="30" spans="1:68" x14ac:dyDescent="0.25">
      <c r="A30" s="40" t="s">
        <v>388</v>
      </c>
      <c r="B30" s="40" t="s">
        <v>731</v>
      </c>
      <c r="D30" s="203">
        <f t="shared" si="4"/>
        <v>1.862645149230957E-9</v>
      </c>
      <c r="E30" s="41">
        <f>IFERROR(VLOOKUP(A30,Items[],5,0),0)</f>
        <v>9320767.5600000005</v>
      </c>
      <c r="F30" s="42">
        <f t="shared" si="5"/>
        <v>9320767.5599999987</v>
      </c>
      <c r="G30" s="41">
        <v>0</v>
      </c>
      <c r="H30" s="41">
        <f>IFERROR(VLOOKUP(A30,Items[],4,0),0)</f>
        <v>14547278.699999999</v>
      </c>
      <c r="I30" s="41">
        <f>IFERROR(VLOOKUP(A30,Community[],4,0),0)</f>
        <v>0</v>
      </c>
      <c r="J30" s="41">
        <f>IFERROR(VLOOKUP(A30,Community[],5,0),0)</f>
        <v>0</v>
      </c>
      <c r="K30" s="41">
        <f>IFERROR(VLOOKUP(A30,Community[],6,0),0)</f>
        <v>0</v>
      </c>
      <c r="L30" s="41">
        <f>IFERROR(VLOOKUP(A30,Community[],7,0),0)</f>
        <v>0</v>
      </c>
      <c r="M30" s="41">
        <f>IFERROR(VLOOKUP(A30,Debt[],3,0),0)</f>
        <v>0</v>
      </c>
      <c r="N30" s="41">
        <f>IFERROR(VLOOKUP(A30,Debt[],4,0),0)</f>
        <v>0</v>
      </c>
      <c r="O30" s="41">
        <f>IFERROR(VLOOKUP(A30,Debt[],5,0),0)</f>
        <v>0</v>
      </c>
      <c r="P30" s="41">
        <f>IFERROR(VLOOKUP(A30,Items[],3,0),0)</f>
        <v>0</v>
      </c>
      <c r="Q30" s="41">
        <f>IFERROR(VLOOKUP($A30,Federal[],2,0),0)</f>
        <v>4172230.36</v>
      </c>
      <c r="R30" s="41">
        <f>IFERROR(VLOOKUP($A30,Federal[],4,0),0)</f>
        <v>920063.48</v>
      </c>
      <c r="S30" s="41"/>
      <c r="T30" s="47">
        <f>IFERROR(VLOOKUP($A30,Program[],3,0),0)</f>
        <v>0</v>
      </c>
      <c r="U30" s="47"/>
      <c r="V30" s="41">
        <f>IFERROR(VLOOKUP($A30,Program[],4,0),0)</f>
        <v>0</v>
      </c>
      <c r="W30" s="41">
        <f>IFERROR(VLOOKUP($A30,Program[],5,0),0)</f>
        <v>0</v>
      </c>
      <c r="X30" s="41"/>
      <c r="Y30" s="41"/>
      <c r="Z30" s="41"/>
      <c r="AA30" s="41">
        <f>IFERROR(VLOOKUP($A30,Program[],6,0),0)</f>
        <v>0</v>
      </c>
      <c r="AB30" s="41"/>
      <c r="AC30" s="41"/>
      <c r="AD30" s="41">
        <f>IFERROR(VLOOKUP($A30,Program[],7,0),0)</f>
        <v>0</v>
      </c>
      <c r="AE30" s="41">
        <f>IFERROR(VLOOKUP($A30,Program[],8,0),0)</f>
        <v>0</v>
      </c>
      <c r="AF30" s="41">
        <f>IFERROR(VLOOKUP($A30,Program[],9,0),0)</f>
        <v>0</v>
      </c>
      <c r="AG30" s="41">
        <f>IFERROR(VLOOKUP($A30,Program[],10,0),0)</f>
        <v>0</v>
      </c>
      <c r="AH30" s="41">
        <f>IFERROR(VLOOKUP($A30,Program[],11,0),0)</f>
        <v>0</v>
      </c>
      <c r="AI30" s="41">
        <f>IFERROR(VLOOKUP($A30,Program[],12,0),0)</f>
        <v>0</v>
      </c>
      <c r="AJ30" s="41"/>
      <c r="AK30" s="41">
        <f>IFERROR(VLOOKUP($A30,Program[],13,0),0)</f>
        <v>0</v>
      </c>
      <c r="AL30" s="41"/>
      <c r="AM30" s="41"/>
      <c r="AN30" s="41"/>
      <c r="AO30" s="41"/>
      <c r="AP30" s="41"/>
      <c r="AQ30" s="41"/>
      <c r="AR30" s="41"/>
      <c r="AS30" s="41">
        <f>IFERROR(VLOOKUP($A30,Program[],14,0),0)</f>
        <v>0</v>
      </c>
      <c r="AT30" s="41"/>
      <c r="AU30" s="41"/>
      <c r="AV30" s="41">
        <f>IFERROR(VLOOKUP($A30,Program[],15,0),0)</f>
        <v>0</v>
      </c>
      <c r="AW30" s="41"/>
      <c r="AX30" s="41">
        <f>IFERROR(VLOOKUP($A30,Program[],16,0),0)</f>
        <v>0</v>
      </c>
      <c r="AY30" s="41">
        <f>IFERROR(VLOOKUP($A30,Program[],17,0),0)</f>
        <v>0</v>
      </c>
      <c r="AZ30" s="41">
        <f>IFERROR(VLOOKUP($A30,Program[],18,0),0)</f>
        <v>0</v>
      </c>
      <c r="BA30" s="41">
        <f>IFERROR(VLOOKUP($A30,Program[],19,0),0)</f>
        <v>0</v>
      </c>
      <c r="BB30" s="77">
        <f t="shared" si="8"/>
        <v>330493.53000000003</v>
      </c>
      <c r="BC30" s="41">
        <f>IFERROR(VLOOKUP(A30,Food[],3,0),0)</f>
        <v>741163.31</v>
      </c>
      <c r="BD30" s="41">
        <f>IFERROR(VLOOKUP($A30,FoodRev[],2,0),0)</f>
        <v>57844.160000000003</v>
      </c>
      <c r="BE30" s="41">
        <f>IFERROR(VLOOKUP($A30,FoodRev[],3,0),0)</f>
        <v>76373.14</v>
      </c>
      <c r="BF30" s="41">
        <f>IFERROR(VLOOKUP($A30,FoodRev[],4,0),0)</f>
        <v>0</v>
      </c>
      <c r="BG30" s="41">
        <f>IFERROR(VLOOKUP($A30,FoodRev[],5,0),0)</f>
        <v>252687.84</v>
      </c>
      <c r="BH30" s="41">
        <f>IFERROR(VLOOKUP($A30,FoodRev[],6,0),0)</f>
        <v>0</v>
      </c>
      <c r="BI30" s="41">
        <f>IFERROR(VLOOKUP($A30,FoodRev[],7,0),0)</f>
        <v>0</v>
      </c>
      <c r="BJ30" s="41">
        <f>IFERROR(VLOOKUP($A30,FoodRev[],8,0),0)</f>
        <v>23764.639999999999</v>
      </c>
      <c r="BK30" s="41">
        <f>IFERROR(VLOOKUP($A30,FoodRev[],9,0),0)</f>
        <v>0</v>
      </c>
      <c r="BL30" s="41">
        <f>IFERROR(VLOOKUP($A30,FoodRev[],10,0),0)</f>
        <v>0</v>
      </c>
      <c r="BM30" s="41">
        <f t="shared" si="6"/>
        <v>410669.78</v>
      </c>
      <c r="BN30" s="42">
        <f t="shared" si="2"/>
        <v>330493.53000000003</v>
      </c>
      <c r="BO30" s="78">
        <f t="shared" si="7"/>
        <v>330493.53000000003</v>
      </c>
      <c r="BP30" s="78">
        <f t="shared" si="3"/>
        <v>0</v>
      </c>
    </row>
    <row r="31" spans="1:68" x14ac:dyDescent="0.25">
      <c r="A31" s="40" t="s">
        <v>184</v>
      </c>
      <c r="B31" s="40" t="s">
        <v>732</v>
      </c>
      <c r="D31" s="203">
        <f t="shared" si="4"/>
        <v>7.4505805969238281E-9</v>
      </c>
      <c r="E31" s="41">
        <f>IFERROR(VLOOKUP(A31,Items[],5,0),0)</f>
        <v>56678074.390000001</v>
      </c>
      <c r="F31" s="42">
        <f>H31-I31-J31-K31-L31-M31-N31-O31-P31-Q31-R31-S31+T31+U31+V31+W31+X31+Y31+Z31+AA31+AB31+AC31+AD31+AE31+AF31+AG31+AH31+AI31+AJ31+AK31+AL31+AM31+AN31+AO31+AP31+AQ31+AR31+AS31+AT31+AU31+AV31+AW31+AX31+AY31+AZ31+BA31+BB31-BC31+BG31+BH31+BI31+BJ31+G31</f>
        <v>56678074.389999993</v>
      </c>
      <c r="G31" s="41">
        <v>0</v>
      </c>
      <c r="H31" s="41">
        <f>IFERROR(VLOOKUP(A31,Items[],4,0),0)</f>
        <v>60432934.439999998</v>
      </c>
      <c r="I31" s="41">
        <f>IFERROR(VLOOKUP(A31,Community[],4,0),0)</f>
        <v>0</v>
      </c>
      <c r="J31" s="41">
        <f>IFERROR(VLOOKUP(A31,Community[],5,0),0)</f>
        <v>0</v>
      </c>
      <c r="K31" s="41">
        <f>IFERROR(VLOOKUP(A31,Community[],6,0),0)</f>
        <v>527623</v>
      </c>
      <c r="L31" s="41">
        <f>IFERROR(VLOOKUP(A31,Community[],7,0),0)</f>
        <v>59045.16</v>
      </c>
      <c r="M31" s="41">
        <f>IFERROR(VLOOKUP(A31,Debt[],3,0),0)</f>
        <v>6159.92</v>
      </c>
      <c r="N31" s="41">
        <f>IFERROR(VLOOKUP(A31,Debt[],4,0),0)</f>
        <v>69639.520000000004</v>
      </c>
      <c r="O31" s="41">
        <f>IFERROR(VLOOKUP(A31,Debt[],5,0),0)</f>
        <v>0</v>
      </c>
      <c r="P31" s="41">
        <f>IFERROR(VLOOKUP(A31,Items[],3,0),0)</f>
        <v>269906.49</v>
      </c>
      <c r="Q31" s="41">
        <f>IFERROR(VLOOKUP($A31,Federal[],2,0),0)</f>
        <v>9601.81</v>
      </c>
      <c r="R31" s="41">
        <f>IFERROR(VLOOKUP($A31,Federal[],4,0),0)</f>
        <v>2721654.58</v>
      </c>
      <c r="S31" s="41"/>
      <c r="T31" s="47">
        <f>IFERROR(VLOOKUP($A31,Program[],3,0),0)</f>
        <v>0</v>
      </c>
      <c r="U31" s="47"/>
      <c r="V31" s="41">
        <f>IFERROR(VLOOKUP($A31,Program[],4,0),0)</f>
        <v>0</v>
      </c>
      <c r="W31" s="41">
        <f>IFERROR(VLOOKUP($A31,Program[],5,0),0)</f>
        <v>0</v>
      </c>
      <c r="X31" s="41"/>
      <c r="Y31" s="41"/>
      <c r="Z31" s="41"/>
      <c r="AA31" s="41">
        <f>IFERROR(VLOOKUP($A31,Program[],6,0),0)</f>
        <v>0</v>
      </c>
      <c r="AB31" s="41"/>
      <c r="AC31" s="41"/>
      <c r="AD31" s="41">
        <f>IFERROR(VLOOKUP($A31,Program[],7,0),0)</f>
        <v>0</v>
      </c>
      <c r="AE31" s="41">
        <f>IFERROR(VLOOKUP($A31,Program[],8,0),0)</f>
        <v>0</v>
      </c>
      <c r="AF31" s="41">
        <f>IFERROR(VLOOKUP($A31,Program[],9,0),0)</f>
        <v>0</v>
      </c>
      <c r="AG31" s="41">
        <f>IFERROR(VLOOKUP($A31,Program[],10,0),0)</f>
        <v>0</v>
      </c>
      <c r="AH31" s="41">
        <f>IFERROR(VLOOKUP($A31,Program[],11,0),0)</f>
        <v>0</v>
      </c>
      <c r="AI31" s="41">
        <f>IFERROR(VLOOKUP($A31,Program[],12,0),0)</f>
        <v>0</v>
      </c>
      <c r="AJ31" s="41"/>
      <c r="AK31" s="41">
        <f>IFERROR(VLOOKUP($A31,Program[],13,0),0)</f>
        <v>0</v>
      </c>
      <c r="AL31" s="41"/>
      <c r="AM31" s="41"/>
      <c r="AN31" s="41"/>
      <c r="AO31" s="41"/>
      <c r="AP31" s="41"/>
      <c r="AQ31" s="41"/>
      <c r="AR31" s="41"/>
      <c r="AS31" s="41">
        <f>IFERROR(VLOOKUP($A31,Program[],14,0),0)</f>
        <v>0</v>
      </c>
      <c r="AT31" s="41"/>
      <c r="AU31" s="41"/>
      <c r="AV31" s="41">
        <f>IFERROR(VLOOKUP($A31,Program[],15,0),0)</f>
        <v>5670</v>
      </c>
      <c r="AW31" s="41"/>
      <c r="AX31" s="41">
        <f>IFERROR(VLOOKUP($A31,Program[],16,0),0)</f>
        <v>0</v>
      </c>
      <c r="AY31" s="41">
        <f>IFERROR(VLOOKUP($A31,Program[],17,0),0)</f>
        <v>0</v>
      </c>
      <c r="AZ31" s="41">
        <f>IFERROR(VLOOKUP($A31,Program[],18,0),0)</f>
        <v>0</v>
      </c>
      <c r="BA31" s="41">
        <f>IFERROR(VLOOKUP($A31,Program[],19,0),0)</f>
        <v>10650.39</v>
      </c>
      <c r="BB31" s="77">
        <f t="shared" si="8"/>
        <v>471596.57000000007</v>
      </c>
      <c r="BC31" s="41">
        <f>IFERROR(VLOOKUP(A31,Food[],3,0),0)</f>
        <v>1111266.1600000001</v>
      </c>
      <c r="BD31" s="41">
        <f>IFERROR(VLOOKUP($A31,FoodRev[],2,0),0)</f>
        <v>5601.04</v>
      </c>
      <c r="BE31" s="41">
        <f>IFERROR(VLOOKUP($A31,FoodRev[],3,0),0)</f>
        <v>101948.92</v>
      </c>
      <c r="BF31" s="41">
        <f>IFERROR(VLOOKUP($A31,FoodRev[],4,0),0)</f>
        <v>0</v>
      </c>
      <c r="BG31" s="41">
        <f>IFERROR(VLOOKUP($A31,FoodRev[],5,0),0)</f>
        <v>524283.75</v>
      </c>
      <c r="BH31" s="41">
        <f>IFERROR(VLOOKUP($A31,FoodRev[],6,0),0)</f>
        <v>0</v>
      </c>
      <c r="BI31" s="41">
        <f>IFERROR(VLOOKUP($A31,FoodRev[],7,0),0)</f>
        <v>0</v>
      </c>
      <c r="BJ31" s="41">
        <f>IFERROR(VLOOKUP($A31,FoodRev[],8,0),0)</f>
        <v>7835.88</v>
      </c>
      <c r="BK31" s="41">
        <f>IFERROR(VLOOKUP($A31,FoodRev[],9,0),0)</f>
        <v>0</v>
      </c>
      <c r="BL31" s="41">
        <f>IFERROR(VLOOKUP($A31,FoodRev[],10,0),0)</f>
        <v>0</v>
      </c>
      <c r="BM31" s="41">
        <f t="shared" si="6"/>
        <v>639669.59</v>
      </c>
      <c r="BN31" s="42">
        <f t="shared" si="2"/>
        <v>471596.57000000007</v>
      </c>
      <c r="BO31" s="78">
        <f t="shared" si="7"/>
        <v>471596.57000000007</v>
      </c>
      <c r="BP31" s="78">
        <f t="shared" si="3"/>
        <v>0</v>
      </c>
    </row>
    <row r="32" spans="1:68" x14ac:dyDescent="0.25">
      <c r="A32" s="40" t="s">
        <v>556</v>
      </c>
      <c r="B32" s="40" t="s">
        <v>733</v>
      </c>
      <c r="D32" s="203">
        <f t="shared" si="4"/>
        <v>0</v>
      </c>
      <c r="E32" s="41">
        <f>IFERROR(VLOOKUP(A32,Items[],5,0),0)</f>
        <v>2782487</v>
      </c>
      <c r="F32" s="42">
        <f>H32-I32-J32-K32-L32-M32-N32-O32-P32-Q32-R32-S32+T32+U32+V32+W32+X32+Y32+Z32+AA32+AB32+AC32+AD32+AE32+AF32+AG32+AH32+AI32+AJ32+AK32+AL32+AM32+AN32+AO32+AP32+AQ32+AR32+AS32+AT32+AU32+AV32+AW32+AX32+AY32+AZ32+BA32+BB32-BC32+BG32+BH32+BI32+BJ32+G32</f>
        <v>2782487</v>
      </c>
      <c r="G32" s="41">
        <v>0</v>
      </c>
      <c r="H32" s="41">
        <f>IFERROR(VLOOKUP(A32,Items[],4,0),0)</f>
        <v>2873808.44</v>
      </c>
      <c r="I32" s="41">
        <f>IFERROR(VLOOKUP(A32,Community[],4,0),0)</f>
        <v>0</v>
      </c>
      <c r="J32" s="41">
        <f>IFERROR(VLOOKUP(A32,Community[],5,0),0)</f>
        <v>0</v>
      </c>
      <c r="K32" s="41">
        <f>IFERROR(VLOOKUP(A32,Community[],6,0),0)</f>
        <v>0</v>
      </c>
      <c r="L32" s="41">
        <f>IFERROR(VLOOKUP(A32,Community[],7,0),0)</f>
        <v>0</v>
      </c>
      <c r="M32" s="41">
        <f>IFERROR(VLOOKUP(A32,Debt[],3,0),0)</f>
        <v>0</v>
      </c>
      <c r="N32" s="41">
        <f>IFERROR(VLOOKUP(A32,Debt[],4,0),0)</f>
        <v>0</v>
      </c>
      <c r="O32" s="41">
        <f>IFERROR(VLOOKUP(A32,Debt[],5,0),0)</f>
        <v>0</v>
      </c>
      <c r="P32" s="41">
        <f>IFERROR(VLOOKUP(A32,Items[],3,0),0)</f>
        <v>0</v>
      </c>
      <c r="Q32" s="41">
        <f>IFERROR(VLOOKUP($A32,Federal[],2,0),0)</f>
        <v>0</v>
      </c>
      <c r="R32" s="41">
        <f>IFERROR(VLOOKUP($A32,Federal[],4,0),0)</f>
        <v>84808.98</v>
      </c>
      <c r="S32" s="41"/>
      <c r="T32" s="47">
        <f>IFERROR(VLOOKUP($A32,Program[],3,0),0)</f>
        <v>0</v>
      </c>
      <c r="U32" s="47"/>
      <c r="V32" s="41">
        <f>IFERROR(VLOOKUP($A32,Program[],4,0),0)</f>
        <v>0</v>
      </c>
      <c r="W32" s="41">
        <f>IFERROR(VLOOKUP($A32,Program[],5,0),0)</f>
        <v>0</v>
      </c>
      <c r="X32" s="41"/>
      <c r="Y32" s="41"/>
      <c r="Z32" s="41"/>
      <c r="AA32" s="41">
        <f>IFERROR(VLOOKUP($A32,Program[],6,0),0)</f>
        <v>0</v>
      </c>
      <c r="AB32" s="41"/>
      <c r="AC32" s="41"/>
      <c r="AD32" s="41">
        <f>IFERROR(VLOOKUP($A32,Program[],7,0),0)</f>
        <v>0</v>
      </c>
      <c r="AE32" s="41">
        <f>IFERROR(VLOOKUP($A32,Program[],8,0),0)</f>
        <v>0</v>
      </c>
      <c r="AF32" s="41">
        <f>IFERROR(VLOOKUP($A32,Program[],9,0),0)</f>
        <v>0</v>
      </c>
      <c r="AG32" s="41">
        <f>IFERROR(VLOOKUP($A32,Program[],10,0),0)</f>
        <v>0</v>
      </c>
      <c r="AH32" s="41">
        <f>IFERROR(VLOOKUP($A32,Program[],11,0),0)</f>
        <v>0</v>
      </c>
      <c r="AI32" s="41">
        <f>IFERROR(VLOOKUP($A32,Program[],12,0),0)</f>
        <v>0</v>
      </c>
      <c r="AJ32" s="41"/>
      <c r="AK32" s="41">
        <f>IFERROR(VLOOKUP($A32,Program[],13,0),0)</f>
        <v>0</v>
      </c>
      <c r="AL32" s="41"/>
      <c r="AM32" s="41"/>
      <c r="AN32" s="41"/>
      <c r="AO32" s="41"/>
      <c r="AP32" s="41"/>
      <c r="AQ32" s="41"/>
      <c r="AR32" s="41"/>
      <c r="AS32" s="41">
        <f>IFERROR(VLOOKUP($A32,Program[],14,0),0)</f>
        <v>0</v>
      </c>
      <c r="AT32" s="41"/>
      <c r="AU32" s="41"/>
      <c r="AV32" s="41">
        <f>IFERROR(VLOOKUP($A32,Program[],15,0),0)</f>
        <v>0</v>
      </c>
      <c r="AW32" s="41"/>
      <c r="AX32" s="41">
        <f>IFERROR(VLOOKUP($A32,Program[],16,0),0)</f>
        <v>0</v>
      </c>
      <c r="AY32" s="41">
        <f>IFERROR(VLOOKUP($A32,Program[],17,0),0)</f>
        <v>0</v>
      </c>
      <c r="AZ32" s="41">
        <f>IFERROR(VLOOKUP($A32,Program[],18,0),0)</f>
        <v>0</v>
      </c>
      <c r="BA32" s="41">
        <f>IFERROR(VLOOKUP($A32,Program[],19,0),0)</f>
        <v>0</v>
      </c>
      <c r="BB32" s="77">
        <f t="shared" si="8"/>
        <v>59056.090000000011</v>
      </c>
      <c r="BC32" s="41">
        <f>IFERROR(VLOOKUP(A32,Food[],3,0),0)</f>
        <v>150377.53</v>
      </c>
      <c r="BD32" s="41">
        <f>IFERROR(VLOOKUP($A32,FoodRev[],2,0),0)</f>
        <v>0</v>
      </c>
      <c r="BE32" s="41">
        <f>IFERROR(VLOOKUP($A32,FoodRev[],3,0),0)</f>
        <v>6512.46</v>
      </c>
      <c r="BF32" s="41">
        <f>IFERROR(VLOOKUP($A32,FoodRev[],4,0),0)</f>
        <v>0</v>
      </c>
      <c r="BG32" s="41">
        <f>IFERROR(VLOOKUP($A32,FoodRev[],5,0),0)</f>
        <v>84808.98</v>
      </c>
      <c r="BH32" s="41">
        <f>IFERROR(VLOOKUP($A32,FoodRev[],6,0),0)</f>
        <v>0</v>
      </c>
      <c r="BI32" s="41">
        <f>IFERROR(VLOOKUP($A32,FoodRev[],7,0),0)</f>
        <v>0</v>
      </c>
      <c r="BJ32" s="41">
        <f>IFERROR(VLOOKUP($A32,FoodRev[],8,0),0)</f>
        <v>0</v>
      </c>
      <c r="BK32" s="41">
        <f>IFERROR(VLOOKUP($A32,FoodRev[],9,0),0)</f>
        <v>0</v>
      </c>
      <c r="BL32" s="41">
        <f>IFERROR(VLOOKUP($A32,FoodRev[],10,0),0)</f>
        <v>0</v>
      </c>
      <c r="BM32" s="41">
        <f t="shared" si="6"/>
        <v>91321.44</v>
      </c>
      <c r="BN32" s="42">
        <f t="shared" si="2"/>
        <v>59056.090000000011</v>
      </c>
      <c r="BO32" s="78">
        <f t="shared" si="7"/>
        <v>59056.090000000011</v>
      </c>
      <c r="BP32" s="78">
        <f t="shared" si="3"/>
        <v>0</v>
      </c>
    </row>
    <row r="33" spans="1:68" x14ac:dyDescent="0.25">
      <c r="A33" s="40" t="s">
        <v>16</v>
      </c>
      <c r="B33" s="40" t="s">
        <v>734</v>
      </c>
      <c r="D33" s="203">
        <f t="shared" si="4"/>
        <v>-5.9604644775390625E-8</v>
      </c>
      <c r="E33" s="41">
        <f>IFERROR(VLOOKUP(A33,Items[],5,0),0)</f>
        <v>392248612.83999997</v>
      </c>
      <c r="F33" s="42">
        <f t="shared" si="5"/>
        <v>392248612.84000003</v>
      </c>
      <c r="G33" s="41">
        <v>0</v>
      </c>
      <c r="H33" s="41">
        <f>IFERROR(VLOOKUP(A33,Items[],4,0),0)</f>
        <v>428103520.81999999</v>
      </c>
      <c r="I33" s="41">
        <f>IFERROR(VLOOKUP(A33,Community[],4,0),0)</f>
        <v>0</v>
      </c>
      <c r="J33" s="41">
        <f>IFERROR(VLOOKUP(A33,Community[],5,0),0)</f>
        <v>0</v>
      </c>
      <c r="K33" s="41">
        <f>IFERROR(VLOOKUP(A33,Community[],6,0),0)</f>
        <v>0</v>
      </c>
      <c r="L33" s="41">
        <f>IFERROR(VLOOKUP(A33,Community[],7,0),0)</f>
        <v>1256422.8500000001</v>
      </c>
      <c r="M33" s="41">
        <f>IFERROR(VLOOKUP(A33,Debt[],3,0),0)</f>
        <v>294484.52</v>
      </c>
      <c r="N33" s="41">
        <f>IFERROR(VLOOKUP(A33,Debt[],4,0),0)</f>
        <v>328236.59999999998</v>
      </c>
      <c r="O33" s="41">
        <f>IFERROR(VLOOKUP(A33,Debt[],5,0),0)</f>
        <v>0</v>
      </c>
      <c r="P33" s="41">
        <f>IFERROR(VLOOKUP(A33,Items[],3,0),0)</f>
        <v>2116180.1</v>
      </c>
      <c r="Q33" s="41">
        <f>IFERROR(VLOOKUP($A33,Federal[],2,0),0)</f>
        <v>89.21</v>
      </c>
      <c r="R33" s="41">
        <f>IFERROR(VLOOKUP($A33,Federal[],4,0),0)</f>
        <v>29224067.210000001</v>
      </c>
      <c r="S33" s="41"/>
      <c r="T33" s="47">
        <f>IFERROR(VLOOKUP($A33,Program[],3,0),0)</f>
        <v>0</v>
      </c>
      <c r="U33" s="47"/>
      <c r="V33" s="41">
        <f>IFERROR(VLOOKUP($A33,Program[],4,0),0)</f>
        <v>0</v>
      </c>
      <c r="W33" s="41">
        <f>IFERROR(VLOOKUP($A33,Program[],5,0),0)</f>
        <v>0</v>
      </c>
      <c r="X33" s="41"/>
      <c r="Y33" s="41"/>
      <c r="Z33" s="41"/>
      <c r="AA33" s="41">
        <f>IFERROR(VLOOKUP($A33,Program[],6,0),0)</f>
        <v>0</v>
      </c>
      <c r="AB33" s="41"/>
      <c r="AC33" s="41"/>
      <c r="AD33" s="41">
        <f>IFERROR(VLOOKUP($A33,Program[],7,0),0)</f>
        <v>0</v>
      </c>
      <c r="AE33" s="41">
        <f>IFERROR(VLOOKUP($A33,Program[],8,0),0)</f>
        <v>0</v>
      </c>
      <c r="AF33" s="41">
        <f>IFERROR(VLOOKUP($A33,Program[],9,0),0)</f>
        <v>0</v>
      </c>
      <c r="AG33" s="41">
        <f>IFERROR(VLOOKUP($A33,Program[],10,0),0)</f>
        <v>0</v>
      </c>
      <c r="AH33" s="41">
        <f>IFERROR(VLOOKUP($A33,Program[],11,0),0)</f>
        <v>0</v>
      </c>
      <c r="AI33" s="41">
        <f>IFERROR(VLOOKUP($A33,Program[],12,0),0)</f>
        <v>0</v>
      </c>
      <c r="AJ33" s="41"/>
      <c r="AK33" s="41">
        <f>IFERROR(VLOOKUP($A33,Program[],13,0),0)</f>
        <v>0</v>
      </c>
      <c r="AL33" s="41"/>
      <c r="AM33" s="41"/>
      <c r="AN33" s="41"/>
      <c r="AO33" s="41"/>
      <c r="AP33" s="41"/>
      <c r="AQ33" s="41"/>
      <c r="AR33" s="41"/>
      <c r="AS33" s="41">
        <f>IFERROR(VLOOKUP($A33,Program[],14,0),0)</f>
        <v>0</v>
      </c>
      <c r="AT33" s="41"/>
      <c r="AU33" s="41"/>
      <c r="AV33" s="41">
        <f>IFERROR(VLOOKUP($A33,Program[],15,0),0)</f>
        <v>0</v>
      </c>
      <c r="AW33" s="41"/>
      <c r="AX33" s="41">
        <f>IFERROR(VLOOKUP($A33,Program[],16,0),0)</f>
        <v>0</v>
      </c>
      <c r="AY33" s="41">
        <f>IFERROR(VLOOKUP($A33,Program[],17,0),0)</f>
        <v>0</v>
      </c>
      <c r="AZ33" s="41">
        <f>IFERROR(VLOOKUP($A33,Program[],18,0),0)</f>
        <v>0</v>
      </c>
      <c r="BA33" s="41">
        <f>IFERROR(VLOOKUP($A33,Program[],19,0),0)</f>
        <v>32439.35</v>
      </c>
      <c r="BB33" s="77">
        <f t="shared" si="8"/>
        <v>0</v>
      </c>
      <c r="BC33" s="41">
        <f>IFERROR(VLOOKUP(A33,Food[],3,0),0)</f>
        <v>11879724.379999999</v>
      </c>
      <c r="BD33" s="41">
        <f>IFERROR(VLOOKUP($A33,FoodRev[],2,0),0)</f>
        <v>88410.16</v>
      </c>
      <c r="BE33" s="41">
        <f>IFERROR(VLOOKUP($A33,FoodRev[],3,0),0)</f>
        <v>3847538.96</v>
      </c>
      <c r="BF33" s="41">
        <f>IFERROR(VLOOKUP($A33,FoodRev[],4,0),0)</f>
        <v>0</v>
      </c>
      <c r="BG33" s="41">
        <f>IFERROR(VLOOKUP($A33,FoodRev[],5,0),0)</f>
        <v>8664537.7400000002</v>
      </c>
      <c r="BH33" s="41">
        <f>IFERROR(VLOOKUP($A33,FoodRev[],6,0),0)</f>
        <v>0</v>
      </c>
      <c r="BI33" s="41">
        <f>IFERROR(VLOOKUP($A33,FoodRev[],7,0),0)</f>
        <v>0</v>
      </c>
      <c r="BJ33" s="41">
        <f>IFERROR(VLOOKUP($A33,FoodRev[],8,0),0)</f>
        <v>547319.80000000005</v>
      </c>
      <c r="BK33" s="41">
        <f>IFERROR(VLOOKUP($A33,FoodRev[],9,0),0)</f>
        <v>0</v>
      </c>
      <c r="BL33" s="41">
        <f>IFERROR(VLOOKUP($A33,FoodRev[],10,0),0)</f>
        <v>0</v>
      </c>
      <c r="BM33" s="41">
        <f t="shared" si="6"/>
        <v>13147806.66</v>
      </c>
      <c r="BN33" s="42">
        <f t="shared" si="2"/>
        <v>-1268082.2800000014</v>
      </c>
      <c r="BO33" s="78">
        <f t="shared" si="7"/>
        <v>0</v>
      </c>
      <c r="BP33" s="78">
        <f t="shared" si="3"/>
        <v>-1268082.2800000014</v>
      </c>
    </row>
    <row r="34" spans="1:68" x14ac:dyDescent="0.25">
      <c r="A34" s="40" t="s">
        <v>228</v>
      </c>
      <c r="B34" s="40" t="s">
        <v>735</v>
      </c>
      <c r="D34" s="203">
        <f t="shared" si="4"/>
        <v>-1.1175870895385742E-8</v>
      </c>
      <c r="E34" s="41">
        <f>IFERROR(VLOOKUP(A34,Items[],5,0),0)</f>
        <v>32658043.870000001</v>
      </c>
      <c r="F34" s="42">
        <f t="shared" si="5"/>
        <v>32658043.870000012</v>
      </c>
      <c r="G34" s="41">
        <v>0</v>
      </c>
      <c r="H34" s="41">
        <f>IFERROR(VLOOKUP(A34,Items[],4,0),0)</f>
        <v>35038227.630000003</v>
      </c>
      <c r="I34" s="41">
        <f>IFERROR(VLOOKUP(A34,Community[],4,0),0)</f>
        <v>0</v>
      </c>
      <c r="J34" s="41">
        <f>IFERROR(VLOOKUP(A34,Community[],5,0),0)</f>
        <v>0</v>
      </c>
      <c r="K34" s="41">
        <f>IFERROR(VLOOKUP(A34,Community[],6,0),0)</f>
        <v>175000.97999999998</v>
      </c>
      <c r="L34" s="41">
        <f>IFERROR(VLOOKUP(A34,Community[],7,0),0)</f>
        <v>150100.60999999999</v>
      </c>
      <c r="M34" s="41">
        <f>IFERROR(VLOOKUP(A34,Debt[],3,0),0)</f>
        <v>0</v>
      </c>
      <c r="N34" s="41">
        <f>IFERROR(VLOOKUP(A34,Debt[],4,0),0)</f>
        <v>0</v>
      </c>
      <c r="O34" s="41">
        <f>IFERROR(VLOOKUP(A34,Debt[],5,0),0)</f>
        <v>0</v>
      </c>
      <c r="P34" s="41">
        <f>IFERROR(VLOOKUP(A34,Items[],3,0),0)</f>
        <v>438632.22</v>
      </c>
      <c r="Q34" s="41">
        <f>IFERROR(VLOOKUP($A34,Federal[],2,0),0)</f>
        <v>8.44</v>
      </c>
      <c r="R34" s="41">
        <f>IFERROR(VLOOKUP($A34,Federal[],4,0),0)</f>
        <v>1170269.06</v>
      </c>
      <c r="S34" s="41"/>
      <c r="T34" s="47">
        <f>IFERROR(VLOOKUP($A34,Program[],3,0),0)</f>
        <v>0</v>
      </c>
      <c r="U34" s="47"/>
      <c r="V34" s="41">
        <f>IFERROR(VLOOKUP($A34,Program[],4,0),0)</f>
        <v>0</v>
      </c>
      <c r="W34" s="41">
        <f>IFERROR(VLOOKUP($A34,Program[],5,0),0)</f>
        <v>0</v>
      </c>
      <c r="X34" s="41"/>
      <c r="Y34" s="41"/>
      <c r="Z34" s="41"/>
      <c r="AA34" s="41">
        <f>IFERROR(VLOOKUP($A34,Program[],6,0),0)</f>
        <v>0</v>
      </c>
      <c r="AB34" s="41"/>
      <c r="AC34" s="41"/>
      <c r="AD34" s="41">
        <f>IFERROR(VLOOKUP($A34,Program[],7,0),0)</f>
        <v>0</v>
      </c>
      <c r="AE34" s="41">
        <f>IFERROR(VLOOKUP($A34,Program[],8,0),0)</f>
        <v>0</v>
      </c>
      <c r="AF34" s="41">
        <f>IFERROR(VLOOKUP($A34,Program[],9,0),0)</f>
        <v>0</v>
      </c>
      <c r="AG34" s="41">
        <f>IFERROR(VLOOKUP($A34,Program[],10,0),0)</f>
        <v>0</v>
      </c>
      <c r="AH34" s="41">
        <f>IFERROR(VLOOKUP($A34,Program[],11,0),0)</f>
        <v>0</v>
      </c>
      <c r="AI34" s="41">
        <f>IFERROR(VLOOKUP($A34,Program[],12,0),0)</f>
        <v>0</v>
      </c>
      <c r="AJ34" s="41"/>
      <c r="AK34" s="41">
        <f>IFERROR(VLOOKUP($A34,Program[],13,0),0)</f>
        <v>0</v>
      </c>
      <c r="AL34" s="41"/>
      <c r="AM34" s="41"/>
      <c r="AN34" s="41"/>
      <c r="AO34" s="41"/>
      <c r="AP34" s="41"/>
      <c r="AQ34" s="41"/>
      <c r="AR34" s="41"/>
      <c r="AS34" s="41">
        <f>IFERROR(VLOOKUP($A34,Program[],14,0),0)</f>
        <v>0</v>
      </c>
      <c r="AT34" s="41"/>
      <c r="AU34" s="41"/>
      <c r="AV34" s="41">
        <f>IFERROR(VLOOKUP($A34,Program[],15,0),0)</f>
        <v>0</v>
      </c>
      <c r="AW34" s="41"/>
      <c r="AX34" s="41">
        <f>IFERROR(VLOOKUP($A34,Program[],16,0),0)</f>
        <v>0</v>
      </c>
      <c r="AY34" s="41">
        <f>IFERROR(VLOOKUP($A34,Program[],17,0),0)</f>
        <v>0</v>
      </c>
      <c r="AZ34" s="41">
        <f>IFERROR(VLOOKUP($A34,Program[],18,0),0)</f>
        <v>0</v>
      </c>
      <c r="BA34" s="41">
        <f>IFERROR(VLOOKUP($A34,Program[],19,0),0)</f>
        <v>0</v>
      </c>
      <c r="BB34" s="77">
        <f t="shared" si="8"/>
        <v>0</v>
      </c>
      <c r="BC34" s="41">
        <f>IFERROR(VLOOKUP(A34,Food[],3,0),0)</f>
        <v>830817.91</v>
      </c>
      <c r="BD34" s="41">
        <f>IFERROR(VLOOKUP($A34,FoodRev[],2,0),0)</f>
        <v>466405.67</v>
      </c>
      <c r="BE34" s="41">
        <f>IFERROR(VLOOKUP($A34,FoodRev[],3,0),0)</f>
        <v>12167.95</v>
      </c>
      <c r="BF34" s="41">
        <f>IFERROR(VLOOKUP($A34,FoodRev[],4,0),0)</f>
        <v>0</v>
      </c>
      <c r="BG34" s="41">
        <f>IFERROR(VLOOKUP($A34,FoodRev[],5,0),0)</f>
        <v>322775.45</v>
      </c>
      <c r="BH34" s="41">
        <f>IFERROR(VLOOKUP($A34,FoodRev[],6,0),0)</f>
        <v>0</v>
      </c>
      <c r="BI34" s="41">
        <f>IFERROR(VLOOKUP($A34,FoodRev[],7,0),0)</f>
        <v>0</v>
      </c>
      <c r="BJ34" s="41">
        <f>IFERROR(VLOOKUP($A34,FoodRev[],8,0),0)</f>
        <v>61870.01</v>
      </c>
      <c r="BK34" s="41">
        <f>IFERROR(VLOOKUP($A34,FoodRev[],9,0),0)</f>
        <v>0</v>
      </c>
      <c r="BL34" s="41">
        <f>IFERROR(VLOOKUP($A34,FoodRev[],10,0),0)</f>
        <v>0</v>
      </c>
      <c r="BM34" s="41">
        <f t="shared" si="6"/>
        <v>863219.08000000007</v>
      </c>
      <c r="BN34" s="42">
        <f t="shared" si="2"/>
        <v>-32401.169999999976</v>
      </c>
      <c r="BO34" s="78">
        <f t="shared" si="7"/>
        <v>0</v>
      </c>
      <c r="BP34" s="78">
        <f t="shared" si="3"/>
        <v>-32401.169999999976</v>
      </c>
    </row>
    <row r="35" spans="1:68" x14ac:dyDescent="0.25">
      <c r="A35" s="40" t="s">
        <v>240</v>
      </c>
      <c r="B35" s="40" t="s">
        <v>1005</v>
      </c>
      <c r="D35" s="203">
        <f t="shared" si="4"/>
        <v>3.7252902984619141E-9</v>
      </c>
      <c r="E35" s="41">
        <f>IFERROR(VLOOKUP(A35,Items[],5,0),0)</f>
        <v>29252190.789999999</v>
      </c>
      <c r="F35" s="42">
        <f t="shared" si="5"/>
        <v>29252190.789999995</v>
      </c>
      <c r="G35" s="41">
        <v>0</v>
      </c>
      <c r="H35" s="41">
        <f>IFERROR(VLOOKUP(A35,Items[],4,0),0)</f>
        <v>30830958.469999999</v>
      </c>
      <c r="I35" s="41">
        <f>IFERROR(VLOOKUP(A35,Community[],4,0),0)</f>
        <v>0</v>
      </c>
      <c r="J35" s="41">
        <f>IFERROR(VLOOKUP(A35,Community[],5,0),0)</f>
        <v>111926.64</v>
      </c>
      <c r="K35" s="41">
        <f>IFERROR(VLOOKUP(A35,Community[],6,0),0)</f>
        <v>18344.87</v>
      </c>
      <c r="L35" s="41">
        <f>IFERROR(VLOOKUP(A35,Community[],7,0),0)</f>
        <v>6103.06</v>
      </c>
      <c r="M35" s="41">
        <f>IFERROR(VLOOKUP(A35,Debt[],3,0),0)</f>
        <v>15169.24</v>
      </c>
      <c r="N35" s="41">
        <f>IFERROR(VLOOKUP(A35,Debt[],4,0),0)</f>
        <v>90361.94</v>
      </c>
      <c r="O35" s="41">
        <f>IFERROR(VLOOKUP(A35,Debt[],5,0),0)</f>
        <v>350</v>
      </c>
      <c r="P35" s="41">
        <f>IFERROR(VLOOKUP(A35,Items[],3,0),0)</f>
        <v>14266.64</v>
      </c>
      <c r="Q35" s="41">
        <f>IFERROR(VLOOKUP($A35,Federal[],2,0),0)</f>
        <v>7.59</v>
      </c>
      <c r="R35" s="41">
        <f>IFERROR(VLOOKUP($A35,Federal[],4,0),0)</f>
        <v>1068374.44</v>
      </c>
      <c r="S35" s="41"/>
      <c r="T35" s="47">
        <f>IFERROR(VLOOKUP($A35,Program[],3,0),0)</f>
        <v>0</v>
      </c>
      <c r="U35" s="47"/>
      <c r="V35" s="41">
        <f>IFERROR(VLOOKUP($A35,Program[],4,0),0)</f>
        <v>0</v>
      </c>
      <c r="W35" s="41">
        <f>IFERROR(VLOOKUP($A35,Program[],5,0),0)</f>
        <v>0</v>
      </c>
      <c r="X35" s="41"/>
      <c r="Y35" s="41"/>
      <c r="Z35" s="41"/>
      <c r="AA35" s="41">
        <f>IFERROR(VLOOKUP($A35,Program[],6,0),0)</f>
        <v>0</v>
      </c>
      <c r="AB35" s="41"/>
      <c r="AC35" s="41"/>
      <c r="AD35" s="41">
        <f>IFERROR(VLOOKUP($A35,Program[],7,0),0)</f>
        <v>0</v>
      </c>
      <c r="AE35" s="41">
        <f>IFERROR(VLOOKUP($A35,Program[],8,0),0)</f>
        <v>0</v>
      </c>
      <c r="AF35" s="41">
        <f>IFERROR(VLOOKUP($A35,Program[],9,0),0)</f>
        <v>0</v>
      </c>
      <c r="AG35" s="41">
        <f>IFERROR(VLOOKUP($A35,Program[],10,0),0)</f>
        <v>0</v>
      </c>
      <c r="AH35" s="41">
        <f>IFERROR(VLOOKUP($A35,Program[],11,0),0)</f>
        <v>0</v>
      </c>
      <c r="AI35" s="41">
        <f>IFERROR(VLOOKUP($A35,Program[],12,0),0)</f>
        <v>0</v>
      </c>
      <c r="AJ35" s="41"/>
      <c r="AK35" s="41">
        <f>IFERROR(VLOOKUP($A35,Program[],13,0),0)</f>
        <v>0</v>
      </c>
      <c r="AL35" s="41"/>
      <c r="AM35" s="41"/>
      <c r="AN35" s="41"/>
      <c r="AO35" s="41"/>
      <c r="AP35" s="41"/>
      <c r="AQ35" s="41"/>
      <c r="AR35" s="41"/>
      <c r="AS35" s="41">
        <f>IFERROR(VLOOKUP($A35,Program[],14,0),0)</f>
        <v>0</v>
      </c>
      <c r="AT35" s="41"/>
      <c r="AU35" s="41"/>
      <c r="AV35" s="41">
        <f>IFERROR(VLOOKUP($A35,Program[],15,0),0)</f>
        <v>0</v>
      </c>
      <c r="AW35" s="41"/>
      <c r="AX35" s="41">
        <f>IFERROR(VLOOKUP($A35,Program[],16,0),0)</f>
        <v>0</v>
      </c>
      <c r="AY35" s="41">
        <f>IFERROR(VLOOKUP($A35,Program[],17,0),0)</f>
        <v>0</v>
      </c>
      <c r="AZ35" s="41">
        <f>IFERROR(VLOOKUP($A35,Program[],18,0),0)</f>
        <v>0</v>
      </c>
      <c r="BA35" s="41">
        <f>IFERROR(VLOOKUP($A35,Program[],19,0),0)</f>
        <v>0</v>
      </c>
      <c r="BB35" s="77">
        <f t="shared" si="8"/>
        <v>94775.289999999863</v>
      </c>
      <c r="BC35" s="41">
        <f>IFERROR(VLOOKUP(A35,Food[],3,0),0)</f>
        <v>678619.3899999999</v>
      </c>
      <c r="BD35" s="41">
        <f>IFERROR(VLOOKUP($A35,FoodRev[],2,0),0)</f>
        <v>244861.68</v>
      </c>
      <c r="BE35" s="41">
        <f>IFERROR(VLOOKUP($A35,FoodRev[],3,0),0)</f>
        <v>9001.58</v>
      </c>
      <c r="BF35" s="41">
        <f>IFERROR(VLOOKUP($A35,FoodRev[],4,0),0)</f>
        <v>0</v>
      </c>
      <c r="BG35" s="41">
        <f>IFERROR(VLOOKUP($A35,FoodRev[],5,0),0)</f>
        <v>280919.96000000002</v>
      </c>
      <c r="BH35" s="41">
        <f>IFERROR(VLOOKUP($A35,FoodRev[],6,0),0)</f>
        <v>0</v>
      </c>
      <c r="BI35" s="41">
        <f>IFERROR(VLOOKUP($A35,FoodRev[],7,0),0)</f>
        <v>0</v>
      </c>
      <c r="BJ35" s="41">
        <f>IFERROR(VLOOKUP($A35,FoodRev[],8,0),0)</f>
        <v>49060.88</v>
      </c>
      <c r="BK35" s="41">
        <f>IFERROR(VLOOKUP($A35,FoodRev[],9,0),0)</f>
        <v>0</v>
      </c>
      <c r="BL35" s="41">
        <f>IFERROR(VLOOKUP($A35,FoodRev[],10,0),0)</f>
        <v>0</v>
      </c>
      <c r="BM35" s="41">
        <f t="shared" si="6"/>
        <v>583844.1</v>
      </c>
      <c r="BN35" s="42">
        <f t="shared" si="2"/>
        <v>94775.289999999863</v>
      </c>
      <c r="BO35" s="78">
        <f t="shared" si="7"/>
        <v>94775.289999999863</v>
      </c>
      <c r="BP35" s="78">
        <f t="shared" si="3"/>
        <v>0</v>
      </c>
    </row>
    <row r="36" spans="1:68" x14ac:dyDescent="0.25">
      <c r="A36" s="40" t="s">
        <v>498</v>
      </c>
      <c r="B36" s="40" t="s">
        <v>736</v>
      </c>
      <c r="D36" s="203">
        <f t="shared" si="4"/>
        <v>-4.6566128730773926E-10</v>
      </c>
      <c r="E36" s="41">
        <f>IFERROR(VLOOKUP(A36,Items[],5,0),0)</f>
        <v>3000812.94</v>
      </c>
      <c r="F36" s="42">
        <f t="shared" si="5"/>
        <v>3000812.9400000004</v>
      </c>
      <c r="G36" s="41">
        <v>0</v>
      </c>
      <c r="H36" s="41">
        <f>IFERROR(VLOOKUP(A36,Items[],4,0),0)</f>
        <v>3150499.1</v>
      </c>
      <c r="I36" s="41">
        <f>IFERROR(VLOOKUP(A36,Community[],4,0),0)</f>
        <v>0</v>
      </c>
      <c r="J36" s="41">
        <f>IFERROR(VLOOKUP(A36,Community[],5,0),0)</f>
        <v>0</v>
      </c>
      <c r="K36" s="41">
        <f>IFERROR(VLOOKUP(A36,Community[],6,0),0)</f>
        <v>0</v>
      </c>
      <c r="L36" s="41">
        <f>IFERROR(VLOOKUP(A36,Community[],7,0),0)</f>
        <v>2004.1000000000001</v>
      </c>
      <c r="M36" s="41">
        <f>IFERROR(VLOOKUP(A36,Debt[],3,0),0)</f>
        <v>0</v>
      </c>
      <c r="N36" s="41">
        <f>IFERROR(VLOOKUP(A36,Debt[],4,0),0)</f>
        <v>7234.53</v>
      </c>
      <c r="O36" s="41">
        <f>IFERROR(VLOOKUP(A36,Debt[],5,0),0)</f>
        <v>0</v>
      </c>
      <c r="P36" s="41">
        <f>IFERROR(VLOOKUP(A36,Items[],3,0),0)</f>
        <v>6493.5</v>
      </c>
      <c r="Q36" s="41">
        <f>IFERROR(VLOOKUP($A36,Federal[],2,0),0)</f>
        <v>0.71</v>
      </c>
      <c r="R36" s="41">
        <f>IFERROR(VLOOKUP($A36,Federal[],4,0),0)</f>
        <v>100036.69</v>
      </c>
      <c r="S36" s="41"/>
      <c r="T36" s="47">
        <f>IFERROR(VLOOKUP($A36,Program[],3,0),0)</f>
        <v>0</v>
      </c>
      <c r="U36" s="47"/>
      <c r="V36" s="41">
        <f>IFERROR(VLOOKUP($A36,Program[],4,0),0)</f>
        <v>0</v>
      </c>
      <c r="W36" s="41">
        <f>IFERROR(VLOOKUP($A36,Program[],5,0),0)</f>
        <v>0</v>
      </c>
      <c r="X36" s="41"/>
      <c r="Y36" s="41"/>
      <c r="Z36" s="41"/>
      <c r="AA36" s="41">
        <f>IFERROR(VLOOKUP($A36,Program[],6,0),0)</f>
        <v>0</v>
      </c>
      <c r="AB36" s="41"/>
      <c r="AC36" s="41"/>
      <c r="AD36" s="41">
        <f>IFERROR(VLOOKUP($A36,Program[],7,0),0)</f>
        <v>0</v>
      </c>
      <c r="AE36" s="41">
        <f>IFERROR(VLOOKUP($A36,Program[],8,0),0)</f>
        <v>0</v>
      </c>
      <c r="AF36" s="41">
        <f>IFERROR(VLOOKUP($A36,Program[],9,0),0)</f>
        <v>0</v>
      </c>
      <c r="AG36" s="41">
        <f>IFERROR(VLOOKUP($A36,Program[],10,0),0)</f>
        <v>0</v>
      </c>
      <c r="AH36" s="41">
        <f>IFERROR(VLOOKUP($A36,Program[],11,0),0)</f>
        <v>0</v>
      </c>
      <c r="AI36" s="41">
        <f>IFERROR(VLOOKUP($A36,Program[],12,0),0)</f>
        <v>0</v>
      </c>
      <c r="AJ36" s="41"/>
      <c r="AK36" s="41">
        <f>IFERROR(VLOOKUP($A36,Program[],13,0),0)</f>
        <v>0</v>
      </c>
      <c r="AL36" s="41"/>
      <c r="AM36" s="41"/>
      <c r="AN36" s="41"/>
      <c r="AO36" s="41"/>
      <c r="AP36" s="41"/>
      <c r="AQ36" s="41"/>
      <c r="AR36" s="41"/>
      <c r="AS36" s="41">
        <f>IFERROR(VLOOKUP($A36,Program[],14,0),0)</f>
        <v>0</v>
      </c>
      <c r="AT36" s="41"/>
      <c r="AU36" s="41"/>
      <c r="AV36" s="41">
        <f>IFERROR(VLOOKUP($A36,Program[],15,0),0)</f>
        <v>0</v>
      </c>
      <c r="AW36" s="41"/>
      <c r="AX36" s="41">
        <f>IFERROR(VLOOKUP($A36,Program[],16,0),0)</f>
        <v>0</v>
      </c>
      <c r="AY36" s="41">
        <f>IFERROR(VLOOKUP($A36,Program[],17,0),0)</f>
        <v>0</v>
      </c>
      <c r="AZ36" s="41">
        <f>IFERROR(VLOOKUP($A36,Program[],18,0),0)</f>
        <v>0</v>
      </c>
      <c r="BA36" s="41">
        <f>IFERROR(VLOOKUP($A36,Program[],19,0),0)</f>
        <v>0</v>
      </c>
      <c r="BB36" s="77">
        <f t="shared" si="8"/>
        <v>89822.550000000017</v>
      </c>
      <c r="BC36" s="41">
        <f>IFERROR(VLOOKUP(A36,Food[],3,0),0)</f>
        <v>158803.82</v>
      </c>
      <c r="BD36" s="41">
        <f>IFERROR(VLOOKUP($A36,FoodRev[],2,0),0)</f>
        <v>32559.87</v>
      </c>
      <c r="BE36" s="41">
        <f>IFERROR(VLOOKUP($A36,FoodRev[],3,0),0)</f>
        <v>1356.76</v>
      </c>
      <c r="BF36" s="41">
        <f>IFERROR(VLOOKUP($A36,FoodRev[],4,0),0)</f>
        <v>0</v>
      </c>
      <c r="BG36" s="41">
        <f>IFERROR(VLOOKUP($A36,FoodRev[],5,0),0)</f>
        <v>32437.27</v>
      </c>
      <c r="BH36" s="41">
        <f>IFERROR(VLOOKUP($A36,FoodRev[],6,0),0)</f>
        <v>0</v>
      </c>
      <c r="BI36" s="41">
        <f>IFERROR(VLOOKUP($A36,FoodRev[],7,0),0)</f>
        <v>0</v>
      </c>
      <c r="BJ36" s="41">
        <f>IFERROR(VLOOKUP($A36,FoodRev[],8,0),0)</f>
        <v>2627.37</v>
      </c>
      <c r="BK36" s="41">
        <f>IFERROR(VLOOKUP($A36,FoodRev[],9,0),0)</f>
        <v>0</v>
      </c>
      <c r="BL36" s="41">
        <f>IFERROR(VLOOKUP($A36,FoodRev[],10,0),0)</f>
        <v>0</v>
      </c>
      <c r="BM36" s="41">
        <f t="shared" si="6"/>
        <v>68981.26999999999</v>
      </c>
      <c r="BN36" s="42">
        <f t="shared" si="2"/>
        <v>89822.550000000017</v>
      </c>
      <c r="BO36" s="78">
        <f t="shared" si="7"/>
        <v>89822.550000000017</v>
      </c>
      <c r="BP36" s="78">
        <f t="shared" si="3"/>
        <v>0</v>
      </c>
    </row>
    <row r="37" spans="1:68" x14ac:dyDescent="0.25">
      <c r="A37" s="40" t="s">
        <v>174</v>
      </c>
      <c r="B37" s="40" t="s">
        <v>737</v>
      </c>
      <c r="D37" s="203">
        <f t="shared" si="4"/>
        <v>7.4505805969238281E-9</v>
      </c>
      <c r="E37" s="41">
        <f>IFERROR(VLOOKUP(A37,Items[],5,0),0)</f>
        <v>45909492.450000003</v>
      </c>
      <c r="F37" s="42">
        <f t="shared" si="5"/>
        <v>45909492.449999996</v>
      </c>
      <c r="G37" s="41">
        <v>0</v>
      </c>
      <c r="H37" s="41">
        <f>IFERROR(VLOOKUP(A37,Items[],4,0),0)</f>
        <v>49224618.07</v>
      </c>
      <c r="I37" s="41">
        <f>IFERROR(VLOOKUP(A37,Community[],4,0),0)</f>
        <v>0</v>
      </c>
      <c r="J37" s="41">
        <f>IFERROR(VLOOKUP(A37,Community[],5,0),0)</f>
        <v>0</v>
      </c>
      <c r="K37" s="41">
        <f>IFERROR(VLOOKUP(A37,Community[],6,0),0)</f>
        <v>0</v>
      </c>
      <c r="L37" s="41">
        <f>IFERROR(VLOOKUP(A37,Community[],7,0),0)</f>
        <v>260376.81000000003</v>
      </c>
      <c r="M37" s="41">
        <f>IFERROR(VLOOKUP(A37,Debt[],3,0),0)</f>
        <v>137.72</v>
      </c>
      <c r="N37" s="41">
        <f>IFERROR(VLOOKUP(A37,Debt[],4,0),0)</f>
        <v>3265.84</v>
      </c>
      <c r="O37" s="41">
        <f>IFERROR(VLOOKUP(A37,Debt[],5,0),0)</f>
        <v>0</v>
      </c>
      <c r="P37" s="41">
        <f>IFERROR(VLOOKUP(A37,Items[],3,0),0)</f>
        <v>351729.72</v>
      </c>
      <c r="Q37" s="41">
        <f>IFERROR(VLOOKUP($A37,Federal[],2,0),0)</f>
        <v>10.74</v>
      </c>
      <c r="R37" s="41">
        <f>IFERROR(VLOOKUP($A37,Federal[],4,0),0)</f>
        <v>2377317.7599999998</v>
      </c>
      <c r="S37" s="41"/>
      <c r="T37" s="47">
        <f>IFERROR(VLOOKUP($A37,Program[],3,0),0)</f>
        <v>0</v>
      </c>
      <c r="U37" s="47"/>
      <c r="V37" s="41">
        <f>IFERROR(VLOOKUP($A37,Program[],4,0),0)</f>
        <v>0</v>
      </c>
      <c r="W37" s="41">
        <f>IFERROR(VLOOKUP($A37,Program[],5,0),0)</f>
        <v>0</v>
      </c>
      <c r="X37" s="41"/>
      <c r="Y37" s="41"/>
      <c r="Z37" s="41"/>
      <c r="AA37" s="41">
        <f>IFERROR(VLOOKUP($A37,Program[],6,0),0)</f>
        <v>0</v>
      </c>
      <c r="AB37" s="41"/>
      <c r="AC37" s="41"/>
      <c r="AD37" s="41">
        <f>IFERROR(VLOOKUP($A37,Program[],7,0),0)</f>
        <v>31214.37</v>
      </c>
      <c r="AE37" s="41">
        <f>IFERROR(VLOOKUP($A37,Program[],8,0),0)</f>
        <v>0</v>
      </c>
      <c r="AF37" s="41">
        <f>IFERROR(VLOOKUP($A37,Program[],9,0),0)</f>
        <v>0</v>
      </c>
      <c r="AG37" s="41">
        <f>IFERROR(VLOOKUP($A37,Program[],10,0),0)</f>
        <v>0</v>
      </c>
      <c r="AH37" s="41">
        <f>IFERROR(VLOOKUP($A37,Program[],11,0),0)</f>
        <v>0</v>
      </c>
      <c r="AI37" s="41">
        <f>IFERROR(VLOOKUP($A37,Program[],12,0),0)</f>
        <v>0</v>
      </c>
      <c r="AJ37" s="41"/>
      <c r="AK37" s="41">
        <f>IFERROR(VLOOKUP($A37,Program[],13,0),0)</f>
        <v>0</v>
      </c>
      <c r="AL37" s="41"/>
      <c r="AM37" s="41"/>
      <c r="AN37" s="41"/>
      <c r="AO37" s="41"/>
      <c r="AP37" s="41"/>
      <c r="AQ37" s="41"/>
      <c r="AR37" s="41"/>
      <c r="AS37" s="41">
        <f>IFERROR(VLOOKUP($A37,Program[],14,0),0)</f>
        <v>0</v>
      </c>
      <c r="AT37" s="41"/>
      <c r="AU37" s="41"/>
      <c r="AV37" s="41">
        <f>IFERROR(VLOOKUP($A37,Program[],15,0),0)</f>
        <v>0</v>
      </c>
      <c r="AW37" s="41"/>
      <c r="AX37" s="41">
        <f>IFERROR(VLOOKUP($A37,Program[],16,0),0)</f>
        <v>0</v>
      </c>
      <c r="AY37" s="41">
        <f>IFERROR(VLOOKUP($A37,Program[],17,0),0)</f>
        <v>0</v>
      </c>
      <c r="AZ37" s="41">
        <f>IFERROR(VLOOKUP($A37,Program[],18,0),0)</f>
        <v>0</v>
      </c>
      <c r="BA37" s="41">
        <f>IFERROR(VLOOKUP($A37,Program[],19,0),0)</f>
        <v>0</v>
      </c>
      <c r="BB37" s="77">
        <f t="shared" si="8"/>
        <v>586686.13999999966</v>
      </c>
      <c r="BC37" s="41">
        <f>IFERROR(VLOOKUP(A37,Food[],3,0),0)</f>
        <v>1501677.3299999998</v>
      </c>
      <c r="BD37" s="41">
        <f>IFERROR(VLOOKUP($A37,FoodRev[],2,0),0)</f>
        <v>138957.76000000001</v>
      </c>
      <c r="BE37" s="41">
        <f>IFERROR(VLOOKUP($A37,FoodRev[],3,0),0)</f>
        <v>214543.64</v>
      </c>
      <c r="BF37" s="41">
        <f>IFERROR(VLOOKUP($A37,FoodRev[],4,0),0)</f>
        <v>0</v>
      </c>
      <c r="BG37" s="41">
        <f>IFERROR(VLOOKUP($A37,FoodRev[],5,0),0)</f>
        <v>472279.22</v>
      </c>
      <c r="BH37" s="41">
        <f>IFERROR(VLOOKUP($A37,FoodRev[],6,0),0)</f>
        <v>0</v>
      </c>
      <c r="BI37" s="41">
        <f>IFERROR(VLOOKUP($A37,FoodRev[],7,0),0)</f>
        <v>0</v>
      </c>
      <c r="BJ37" s="41">
        <f>IFERROR(VLOOKUP($A37,FoodRev[],8,0),0)</f>
        <v>89210.57</v>
      </c>
      <c r="BK37" s="41">
        <f>IFERROR(VLOOKUP($A37,FoodRev[],9,0),0)</f>
        <v>0</v>
      </c>
      <c r="BL37" s="41">
        <f>IFERROR(VLOOKUP($A37,FoodRev[],10,0),0)</f>
        <v>0</v>
      </c>
      <c r="BM37" s="41">
        <f t="shared" si="6"/>
        <v>914991.19</v>
      </c>
      <c r="BN37" s="42">
        <f t="shared" si="2"/>
        <v>586686.13999999966</v>
      </c>
      <c r="BO37" s="78">
        <f t="shared" si="7"/>
        <v>586686.13999999966</v>
      </c>
      <c r="BP37" s="78">
        <f t="shared" si="3"/>
        <v>0</v>
      </c>
    </row>
    <row r="38" spans="1:68" x14ac:dyDescent="0.25">
      <c r="A38" s="40" t="s">
        <v>14</v>
      </c>
      <c r="B38" s="40" t="s">
        <v>1006</v>
      </c>
      <c r="D38" s="203">
        <f t="shared" si="4"/>
        <v>-5.9604644775390625E-8</v>
      </c>
      <c r="E38" s="41">
        <f>IFERROR(VLOOKUP(A38,Items[],5,0),0)</f>
        <v>403422132.69999999</v>
      </c>
      <c r="F38" s="42">
        <f t="shared" si="5"/>
        <v>403422132.70000005</v>
      </c>
      <c r="G38" s="41">
        <v>0</v>
      </c>
      <c r="H38" s="41">
        <f>IFERROR(VLOOKUP(A38,Items[],4,0),0)</f>
        <v>440213647.82999998</v>
      </c>
      <c r="I38" s="41">
        <f>IFERROR(VLOOKUP(A38,Community[],4,0),0)</f>
        <v>0</v>
      </c>
      <c r="J38" s="41">
        <f>IFERROR(VLOOKUP(A38,Community[],5,0),0)</f>
        <v>0</v>
      </c>
      <c r="K38" s="41">
        <f>IFERROR(VLOOKUP(A38,Community[],6,0),0)</f>
        <v>0</v>
      </c>
      <c r="L38" s="41">
        <f>IFERROR(VLOOKUP(A38,Community[],7,0),0)</f>
        <v>109584.35</v>
      </c>
      <c r="M38" s="41">
        <f>IFERROR(VLOOKUP(A38,Debt[],3,0),0)</f>
        <v>149326.89000000001</v>
      </c>
      <c r="N38" s="41">
        <f>IFERROR(VLOOKUP(A38,Debt[],4,0),0)</f>
        <v>2371616.46</v>
      </c>
      <c r="O38" s="41">
        <f>IFERROR(VLOOKUP(A38,Debt[],5,0),0)</f>
        <v>0</v>
      </c>
      <c r="P38" s="41">
        <f>IFERROR(VLOOKUP(A38,Items[],3,0),0)</f>
        <v>8186654.4400000004</v>
      </c>
      <c r="Q38" s="41">
        <f>IFERROR(VLOOKUP($A38,Federal[],2,0),0)</f>
        <v>93.65</v>
      </c>
      <c r="R38" s="41">
        <f>IFERROR(VLOOKUP($A38,Federal[],4,0),0)</f>
        <v>24244581.68</v>
      </c>
      <c r="S38" s="41"/>
      <c r="T38" s="47">
        <f>IFERROR(VLOOKUP($A38,Program[],3,0),0)</f>
        <v>0</v>
      </c>
      <c r="U38" s="47"/>
      <c r="V38" s="41">
        <f>IFERROR(VLOOKUP($A38,Program[],4,0),0)</f>
        <v>0</v>
      </c>
      <c r="W38" s="41">
        <f>IFERROR(VLOOKUP($A38,Program[],5,0),0)</f>
        <v>0</v>
      </c>
      <c r="X38" s="41"/>
      <c r="Y38" s="41"/>
      <c r="Z38" s="41"/>
      <c r="AA38" s="41">
        <f>IFERROR(VLOOKUP($A38,Program[],6,0),0)</f>
        <v>0</v>
      </c>
      <c r="AB38" s="41"/>
      <c r="AC38" s="41"/>
      <c r="AD38" s="41">
        <f>IFERROR(VLOOKUP($A38,Program[],7,0),0)</f>
        <v>27191.3</v>
      </c>
      <c r="AE38" s="41">
        <f>IFERROR(VLOOKUP($A38,Program[],8,0),0)</f>
        <v>0</v>
      </c>
      <c r="AF38" s="41">
        <f>IFERROR(VLOOKUP($A38,Program[],9,0),0)</f>
        <v>0</v>
      </c>
      <c r="AG38" s="41">
        <f>IFERROR(VLOOKUP($A38,Program[],10,0),0)</f>
        <v>0</v>
      </c>
      <c r="AH38" s="41">
        <f>IFERROR(VLOOKUP($A38,Program[],11,0),0)</f>
        <v>0</v>
      </c>
      <c r="AI38" s="41">
        <f>IFERROR(VLOOKUP($A38,Program[],12,0),0)</f>
        <v>0</v>
      </c>
      <c r="AJ38" s="41"/>
      <c r="AK38" s="41">
        <f>IFERROR(VLOOKUP($A38,Program[],13,0),0)</f>
        <v>0</v>
      </c>
      <c r="AL38" s="41"/>
      <c r="AM38" s="41"/>
      <c r="AN38" s="41"/>
      <c r="AO38" s="41"/>
      <c r="AP38" s="41"/>
      <c r="AQ38" s="41"/>
      <c r="AR38" s="41"/>
      <c r="AS38" s="41">
        <f>IFERROR(VLOOKUP($A38,Program[],14,0),0)</f>
        <v>0</v>
      </c>
      <c r="AT38" s="41"/>
      <c r="AU38" s="41"/>
      <c r="AV38" s="41">
        <f>IFERROR(VLOOKUP($A38,Program[],15,0),0)</f>
        <v>0</v>
      </c>
      <c r="AW38" s="41"/>
      <c r="AX38" s="41">
        <f>IFERROR(VLOOKUP($A38,Program[],16,0),0)</f>
        <v>0</v>
      </c>
      <c r="AY38" s="41">
        <f>IFERROR(VLOOKUP($A38,Program[],17,0),0)</f>
        <v>0</v>
      </c>
      <c r="AZ38" s="41">
        <f>IFERROR(VLOOKUP($A38,Program[],18,0),0)</f>
        <v>0</v>
      </c>
      <c r="BA38" s="41">
        <f>IFERROR(VLOOKUP($A38,Program[],19,0),0)</f>
        <v>2140537.7200000002</v>
      </c>
      <c r="BB38" s="77">
        <f t="shared" si="8"/>
        <v>1285524.9100000006</v>
      </c>
      <c r="BC38" s="41">
        <f>IFERROR(VLOOKUP(A38,Food[],3,0),0)</f>
        <v>13826681.800000001</v>
      </c>
      <c r="BD38" s="41">
        <f>IFERROR(VLOOKUP($A38,FoodRev[],2,0),0)</f>
        <v>153105.20000000001</v>
      </c>
      <c r="BE38" s="41">
        <f>IFERROR(VLOOKUP($A38,FoodRev[],3,0),0)</f>
        <v>3744281.48</v>
      </c>
      <c r="BF38" s="41">
        <f>IFERROR(VLOOKUP($A38,FoodRev[],4,0),0)</f>
        <v>0</v>
      </c>
      <c r="BG38" s="41">
        <f>IFERROR(VLOOKUP($A38,FoodRev[],5,0),0)</f>
        <v>7872498.6500000004</v>
      </c>
      <c r="BH38" s="41">
        <f>IFERROR(VLOOKUP($A38,FoodRev[],6,0),0)</f>
        <v>0</v>
      </c>
      <c r="BI38" s="41">
        <f>IFERROR(VLOOKUP($A38,FoodRev[],7,0),0)</f>
        <v>0</v>
      </c>
      <c r="BJ38" s="41">
        <f>IFERROR(VLOOKUP($A38,FoodRev[],8,0),0)</f>
        <v>771271.56</v>
      </c>
      <c r="BK38" s="41">
        <f>IFERROR(VLOOKUP($A38,FoodRev[],9,0),0)</f>
        <v>0</v>
      </c>
      <c r="BL38" s="41">
        <f>IFERROR(VLOOKUP($A38,FoodRev[],10,0),0)</f>
        <v>0</v>
      </c>
      <c r="BM38" s="41">
        <f t="shared" si="6"/>
        <v>12541156.890000001</v>
      </c>
      <c r="BN38" s="42">
        <f t="shared" si="2"/>
        <v>1285524.9100000006</v>
      </c>
      <c r="BO38" s="78">
        <f t="shared" si="7"/>
        <v>1285524.9100000006</v>
      </c>
      <c r="BP38" s="78">
        <f t="shared" si="3"/>
        <v>0</v>
      </c>
    </row>
    <row r="39" spans="1:68" x14ac:dyDescent="0.25">
      <c r="A39" s="40" t="s">
        <v>88</v>
      </c>
      <c r="B39" s="40" t="s">
        <v>738</v>
      </c>
      <c r="D39" s="203">
        <f t="shared" si="4"/>
        <v>-1.4901161193847656E-8</v>
      </c>
      <c r="E39" s="41">
        <f>IFERROR(VLOOKUP(A39,Items[],5,0),0)</f>
        <v>119732401.19</v>
      </c>
      <c r="F39" s="42">
        <f t="shared" si="5"/>
        <v>119732401.19000001</v>
      </c>
      <c r="G39" s="41">
        <v>0</v>
      </c>
      <c r="H39" s="41">
        <f>IFERROR(VLOOKUP(A39,Items[],4,0),0)</f>
        <v>127587744.25</v>
      </c>
      <c r="I39" s="41">
        <f>IFERROR(VLOOKUP(A39,Community[],4,0),0)</f>
        <v>0</v>
      </c>
      <c r="J39" s="41">
        <f>IFERROR(VLOOKUP(A39,Community[],5,0),0)</f>
        <v>0</v>
      </c>
      <c r="K39" s="41">
        <f>IFERROR(VLOOKUP(A39,Community[],6,0),0)</f>
        <v>0</v>
      </c>
      <c r="L39" s="41">
        <f>IFERROR(VLOOKUP(A39,Community[],7,0),0)</f>
        <v>2971851.09</v>
      </c>
      <c r="M39" s="41">
        <f>IFERROR(VLOOKUP(A39,Debt[],3,0),0)</f>
        <v>18346.78</v>
      </c>
      <c r="N39" s="41">
        <f>IFERROR(VLOOKUP(A39,Debt[],4,0),0)</f>
        <v>212586.83</v>
      </c>
      <c r="O39" s="41">
        <f>IFERROR(VLOOKUP(A39,Debt[],5,0),0)</f>
        <v>0</v>
      </c>
      <c r="P39" s="41">
        <f>IFERROR(VLOOKUP(A39,Items[],3,0),0)</f>
        <v>69008.240000000005</v>
      </c>
      <c r="Q39" s="41">
        <f>IFERROR(VLOOKUP($A39,Federal[],2,0),0)</f>
        <v>29.82</v>
      </c>
      <c r="R39" s="41">
        <f>IFERROR(VLOOKUP($A39,Federal[],4,0),0)</f>
        <v>3197607.1</v>
      </c>
      <c r="S39" s="41"/>
      <c r="T39" s="47">
        <f>IFERROR(VLOOKUP($A39,Program[],3,0),0)</f>
        <v>0</v>
      </c>
      <c r="U39" s="47"/>
      <c r="V39" s="41">
        <f>IFERROR(VLOOKUP($A39,Program[],4,0),0)</f>
        <v>0</v>
      </c>
      <c r="W39" s="41">
        <f>IFERROR(VLOOKUP($A39,Program[],5,0),0)</f>
        <v>0</v>
      </c>
      <c r="X39" s="41"/>
      <c r="Y39" s="41"/>
      <c r="Z39" s="41"/>
      <c r="AA39" s="41">
        <f>IFERROR(VLOOKUP($A39,Program[],6,0),0)</f>
        <v>0</v>
      </c>
      <c r="AB39" s="41"/>
      <c r="AC39" s="41"/>
      <c r="AD39" s="41">
        <f>IFERROR(VLOOKUP($A39,Program[],7,0),0)</f>
        <v>0</v>
      </c>
      <c r="AE39" s="41">
        <f>IFERROR(VLOOKUP($A39,Program[],8,0),0)</f>
        <v>0</v>
      </c>
      <c r="AF39" s="41">
        <f>IFERROR(VLOOKUP($A39,Program[],9,0),0)</f>
        <v>0</v>
      </c>
      <c r="AG39" s="41">
        <f>IFERROR(VLOOKUP($A39,Program[],10,0),0)</f>
        <v>0</v>
      </c>
      <c r="AH39" s="41">
        <f>IFERROR(VLOOKUP($A39,Program[],11,0),0)</f>
        <v>0</v>
      </c>
      <c r="AI39" s="41">
        <f>IFERROR(VLOOKUP($A39,Program[],12,0),0)</f>
        <v>0</v>
      </c>
      <c r="AJ39" s="41"/>
      <c r="AK39" s="41">
        <f>IFERROR(VLOOKUP($A39,Program[],13,0),0)</f>
        <v>0</v>
      </c>
      <c r="AL39" s="41"/>
      <c r="AM39" s="41"/>
      <c r="AN39" s="41"/>
      <c r="AO39" s="41"/>
      <c r="AP39" s="41"/>
      <c r="AQ39" s="41"/>
      <c r="AR39" s="41"/>
      <c r="AS39" s="41">
        <f>IFERROR(VLOOKUP($A39,Program[],14,0),0)</f>
        <v>0</v>
      </c>
      <c r="AT39" s="41"/>
      <c r="AU39" s="41"/>
      <c r="AV39" s="41">
        <f>IFERROR(VLOOKUP($A39,Program[],15,0),0)</f>
        <v>0</v>
      </c>
      <c r="AW39" s="41"/>
      <c r="AX39" s="41">
        <f>IFERROR(VLOOKUP($A39,Program[],16,0),0)</f>
        <v>0</v>
      </c>
      <c r="AY39" s="41">
        <f>IFERROR(VLOOKUP($A39,Program[],17,0),0)</f>
        <v>0</v>
      </c>
      <c r="AZ39" s="41">
        <f>IFERROR(VLOOKUP($A39,Program[],18,0),0)</f>
        <v>0</v>
      </c>
      <c r="BA39" s="41">
        <f>IFERROR(VLOOKUP($A39,Program[],19,0),0)</f>
        <v>0</v>
      </c>
      <c r="BB39" s="77">
        <f t="shared" si="8"/>
        <v>1407431.3300000003</v>
      </c>
      <c r="BC39" s="41">
        <f>IFERROR(VLOOKUP(A39,Food[],3,0),0)</f>
        <v>3802819.8300000005</v>
      </c>
      <c r="BD39" s="41">
        <f>IFERROR(VLOOKUP($A39,FoodRev[],2,0),0)</f>
        <v>1363878.68</v>
      </c>
      <c r="BE39" s="41">
        <f>IFERROR(VLOOKUP($A39,FoodRev[],3,0),0)</f>
        <v>22034.52</v>
      </c>
      <c r="BF39" s="41">
        <f>IFERROR(VLOOKUP($A39,FoodRev[],4,0),0)</f>
        <v>0</v>
      </c>
      <c r="BG39" s="41">
        <f>IFERROR(VLOOKUP($A39,FoodRev[],5,0),0)</f>
        <v>805844.6</v>
      </c>
      <c r="BH39" s="41">
        <f>IFERROR(VLOOKUP($A39,FoodRev[],6,0),0)</f>
        <v>0</v>
      </c>
      <c r="BI39" s="41">
        <f>IFERROR(VLOOKUP($A39,FoodRev[],7,0),0)</f>
        <v>0</v>
      </c>
      <c r="BJ39" s="41">
        <f>IFERROR(VLOOKUP($A39,FoodRev[],8,0),0)</f>
        <v>203630.7</v>
      </c>
      <c r="BK39" s="41">
        <f>IFERROR(VLOOKUP($A39,FoodRev[],9,0),0)</f>
        <v>0</v>
      </c>
      <c r="BL39" s="41">
        <f>IFERROR(VLOOKUP($A39,FoodRev[],10,0),0)</f>
        <v>0</v>
      </c>
      <c r="BM39" s="41">
        <f t="shared" si="6"/>
        <v>2395388.5</v>
      </c>
      <c r="BN39" s="42">
        <f t="shared" ref="BN39:BN71" si="13">BC39-BD39-BE39-BF39-BG39-BH39-BI39-BJ39-BK39-BL39</f>
        <v>1407431.3300000003</v>
      </c>
      <c r="BO39" s="78">
        <f t="shared" ref="BO39:BO71" si="14">IF(BN39&lt;0,0,BN39)</f>
        <v>1407431.3300000003</v>
      </c>
      <c r="BP39" s="78">
        <f t="shared" ref="BP39:BP71" si="15">IF(BN39&lt;0,BN39,0)</f>
        <v>0</v>
      </c>
    </row>
    <row r="40" spans="1:68" x14ac:dyDescent="0.25">
      <c r="A40" s="40" t="s">
        <v>54</v>
      </c>
      <c r="B40" s="40" t="s">
        <v>739</v>
      </c>
      <c r="D40" s="203">
        <f t="shared" si="4"/>
        <v>0</v>
      </c>
      <c r="E40" s="41">
        <f>IFERROR(VLOOKUP(A40,Items[],5,0),0)</f>
        <v>218199756.69</v>
      </c>
      <c r="F40" s="42">
        <f t="shared" si="5"/>
        <v>218199756.69</v>
      </c>
      <c r="G40" s="41">
        <v>0</v>
      </c>
      <c r="H40" s="41">
        <f>IFERROR(VLOOKUP(A40,Items[],4,0),0)</f>
        <v>230769042.77000001</v>
      </c>
      <c r="I40" s="41">
        <f>IFERROR(VLOOKUP(A40,Community[],4,0),0)</f>
        <v>0</v>
      </c>
      <c r="J40" s="41">
        <f>IFERROR(VLOOKUP(A40,Community[],5,0),0)</f>
        <v>0</v>
      </c>
      <c r="K40" s="41">
        <f>IFERROR(VLOOKUP(A40,Community[],6,0),0)</f>
        <v>153203.64000000001</v>
      </c>
      <c r="L40" s="41">
        <f>IFERROR(VLOOKUP(A40,Community[],7,0),0)</f>
        <v>242476.03999999998</v>
      </c>
      <c r="M40" s="41">
        <f>IFERROR(VLOOKUP(A40,Debt[],3,0),0)</f>
        <v>18845.71</v>
      </c>
      <c r="N40" s="41">
        <f>IFERROR(VLOOKUP(A40,Debt[],4,0),0)</f>
        <v>236561.05</v>
      </c>
      <c r="O40" s="41">
        <f>IFERROR(VLOOKUP(A40,Debt[],5,0),0)</f>
        <v>0</v>
      </c>
      <c r="P40" s="41">
        <f>IFERROR(VLOOKUP(A40,Items[],3,0),0)</f>
        <v>708611.85</v>
      </c>
      <c r="Q40" s="41">
        <f>IFERROR(VLOOKUP($A40,Federal[],2,0),0)</f>
        <v>52.83</v>
      </c>
      <c r="R40" s="41">
        <f>IFERROR(VLOOKUP($A40,Federal[],4,0),0)</f>
        <v>9685459.6799999997</v>
      </c>
      <c r="S40" s="41"/>
      <c r="T40" s="47">
        <f>IFERROR(VLOOKUP($A40,Program[],3,0),0)</f>
        <v>0</v>
      </c>
      <c r="U40" s="47"/>
      <c r="V40" s="41">
        <f>IFERROR(VLOOKUP($A40,Program[],4,0),0)</f>
        <v>0</v>
      </c>
      <c r="W40" s="41">
        <f>IFERROR(VLOOKUP($A40,Program[],5,0),0)</f>
        <v>0</v>
      </c>
      <c r="X40" s="41"/>
      <c r="Y40" s="41"/>
      <c r="Z40" s="41"/>
      <c r="AA40" s="41">
        <f>IFERROR(VLOOKUP($A40,Program[],6,0),0)</f>
        <v>0</v>
      </c>
      <c r="AB40" s="41"/>
      <c r="AC40" s="41"/>
      <c r="AD40" s="41">
        <f>IFERROR(VLOOKUP($A40,Program[],7,0),0)</f>
        <v>0</v>
      </c>
      <c r="AE40" s="41">
        <f>IFERROR(VLOOKUP($A40,Program[],8,0),0)</f>
        <v>0</v>
      </c>
      <c r="AF40" s="41">
        <f>IFERROR(VLOOKUP($A40,Program[],9,0),0)</f>
        <v>0</v>
      </c>
      <c r="AG40" s="41">
        <f>IFERROR(VLOOKUP($A40,Program[],10,0),0)</f>
        <v>0</v>
      </c>
      <c r="AH40" s="41">
        <f>IFERROR(VLOOKUP($A40,Program[],11,0),0)</f>
        <v>0</v>
      </c>
      <c r="AI40" s="41">
        <f>IFERROR(VLOOKUP($A40,Program[],12,0),0)</f>
        <v>0</v>
      </c>
      <c r="AJ40" s="41"/>
      <c r="AK40" s="41">
        <f>IFERROR(VLOOKUP($A40,Program[],13,0),0)</f>
        <v>0</v>
      </c>
      <c r="AL40" s="41"/>
      <c r="AM40" s="41"/>
      <c r="AN40" s="41"/>
      <c r="AO40" s="41"/>
      <c r="AP40" s="41"/>
      <c r="AQ40" s="41"/>
      <c r="AR40" s="41"/>
      <c r="AS40" s="41">
        <f>IFERROR(VLOOKUP($A40,Program[],14,0),0)</f>
        <v>0</v>
      </c>
      <c r="AT40" s="41"/>
      <c r="AU40" s="41"/>
      <c r="AV40" s="41">
        <f>IFERROR(VLOOKUP($A40,Program[],15,0),0)</f>
        <v>32395.71</v>
      </c>
      <c r="AW40" s="41"/>
      <c r="AX40" s="41">
        <f>IFERROR(VLOOKUP($A40,Program[],16,0),0)</f>
        <v>0</v>
      </c>
      <c r="AY40" s="41">
        <f>IFERROR(VLOOKUP($A40,Program[],17,0),0)</f>
        <v>0</v>
      </c>
      <c r="AZ40" s="41">
        <f>IFERROR(VLOOKUP($A40,Program[],18,0),0)</f>
        <v>0</v>
      </c>
      <c r="BA40" s="41">
        <f>IFERROR(VLOOKUP($A40,Program[],19,0),0)</f>
        <v>16391.38</v>
      </c>
      <c r="BB40" s="77">
        <f t="shared" si="8"/>
        <v>0</v>
      </c>
      <c r="BC40" s="41">
        <f>IFERROR(VLOOKUP(A40,Food[],3,0),0)</f>
        <v>4300650.67</v>
      </c>
      <c r="BD40" s="41">
        <f>IFERROR(VLOOKUP($A40,FoodRev[],2,0),0)</f>
        <v>694113.86</v>
      </c>
      <c r="BE40" s="41">
        <f>IFERROR(VLOOKUP($A40,FoodRev[],3,0),0)</f>
        <v>1208570.44</v>
      </c>
      <c r="BF40" s="41">
        <f>IFERROR(VLOOKUP($A40,FoodRev[],4,0),0)</f>
        <v>0</v>
      </c>
      <c r="BG40" s="41">
        <f>IFERROR(VLOOKUP($A40,FoodRev[],5,0),0)</f>
        <v>2399962.54</v>
      </c>
      <c r="BH40" s="41">
        <f>IFERROR(VLOOKUP($A40,FoodRev[],6,0),0)</f>
        <v>0</v>
      </c>
      <c r="BI40" s="41">
        <f>IFERROR(VLOOKUP($A40,FoodRev[],7,0),0)</f>
        <v>0</v>
      </c>
      <c r="BJ40" s="41">
        <f>IFERROR(VLOOKUP($A40,FoodRev[],8,0),0)</f>
        <v>327825.76</v>
      </c>
      <c r="BK40" s="41">
        <f>IFERROR(VLOOKUP($A40,FoodRev[],9,0),0)</f>
        <v>0</v>
      </c>
      <c r="BL40" s="41">
        <f>IFERROR(VLOOKUP($A40,FoodRev[],10,0),0)</f>
        <v>0</v>
      </c>
      <c r="BM40" s="41">
        <f t="shared" si="6"/>
        <v>4630472.5999999996</v>
      </c>
      <c r="BN40" s="42">
        <f t="shared" si="13"/>
        <v>-329821.92999999993</v>
      </c>
      <c r="BO40" s="78">
        <f t="shared" si="14"/>
        <v>0</v>
      </c>
      <c r="BP40" s="78">
        <f t="shared" si="15"/>
        <v>-329821.92999999993</v>
      </c>
    </row>
    <row r="41" spans="1:68" x14ac:dyDescent="0.25">
      <c r="A41" s="40" t="s">
        <v>192</v>
      </c>
      <c r="B41" s="40" t="s">
        <v>740</v>
      </c>
      <c r="D41" s="203">
        <f t="shared" si="4"/>
        <v>-1.4901161193847656E-8</v>
      </c>
      <c r="E41" s="41">
        <f>IFERROR(VLOOKUP(A41,Items[],5,0),0)</f>
        <v>63798394.119999997</v>
      </c>
      <c r="F41" s="42">
        <f t="shared" si="5"/>
        <v>63798394.120000012</v>
      </c>
      <c r="G41" s="41">
        <v>0</v>
      </c>
      <c r="H41" s="41">
        <f>IFERROR(VLOOKUP(A41,Items[],4,0),0)</f>
        <v>68236180.420000002</v>
      </c>
      <c r="I41" s="41">
        <f>IFERROR(VLOOKUP(A41,Community[],4,0),0)</f>
        <v>0</v>
      </c>
      <c r="J41" s="41">
        <f>IFERROR(VLOOKUP(A41,Community[],5,0),0)</f>
        <v>409379.19</v>
      </c>
      <c r="K41" s="41">
        <f>IFERROR(VLOOKUP(A41,Community[],6,0),0)</f>
        <v>572771.67000000004</v>
      </c>
      <c r="L41" s="41">
        <f>IFERROR(VLOOKUP(A41,Community[],7,0),0)</f>
        <v>311581.45</v>
      </c>
      <c r="M41" s="41">
        <f>IFERROR(VLOOKUP(A41,Debt[],3,0),0)</f>
        <v>13401.9</v>
      </c>
      <c r="N41" s="41">
        <f>IFERROR(VLOOKUP(A41,Debt[],4,0),0)</f>
        <v>153153.16</v>
      </c>
      <c r="O41" s="41">
        <f>IFERROR(VLOOKUP(A41,Debt[],5,0),0)</f>
        <v>0</v>
      </c>
      <c r="P41" s="41">
        <f>IFERROR(VLOOKUP(A41,Items[],3,0),0)</f>
        <v>499752.83</v>
      </c>
      <c r="Q41" s="41">
        <f>IFERROR(VLOOKUP($A41,Federal[],2,0),0)</f>
        <v>17.649999999999999</v>
      </c>
      <c r="R41" s="41">
        <f>IFERROR(VLOOKUP($A41,Federal[],4,0),0)</f>
        <v>1719842.21</v>
      </c>
      <c r="S41" s="41"/>
      <c r="T41" s="47">
        <f>IFERROR(VLOOKUP($A41,Program[],3,0),0)</f>
        <v>0</v>
      </c>
      <c r="U41" s="47"/>
      <c r="V41" s="41">
        <f>IFERROR(VLOOKUP($A41,Program[],4,0),0)</f>
        <v>0</v>
      </c>
      <c r="W41" s="41">
        <f>IFERROR(VLOOKUP($A41,Program[],5,0),0)</f>
        <v>0</v>
      </c>
      <c r="X41" s="41"/>
      <c r="Y41" s="41"/>
      <c r="Z41" s="41"/>
      <c r="AA41" s="41">
        <f>IFERROR(VLOOKUP($A41,Program[],6,0),0)</f>
        <v>0</v>
      </c>
      <c r="AB41" s="41"/>
      <c r="AC41" s="41"/>
      <c r="AD41" s="41">
        <f>IFERROR(VLOOKUP($A41,Program[],7,0),0)</f>
        <v>0</v>
      </c>
      <c r="AE41" s="41">
        <f>IFERROR(VLOOKUP($A41,Program[],8,0),0)</f>
        <v>0</v>
      </c>
      <c r="AF41" s="41">
        <f>IFERROR(VLOOKUP($A41,Program[],9,0),0)</f>
        <v>0</v>
      </c>
      <c r="AG41" s="41">
        <f>IFERROR(VLOOKUP($A41,Program[],10,0),0)</f>
        <v>0</v>
      </c>
      <c r="AH41" s="41">
        <f>IFERROR(VLOOKUP($A41,Program[],11,0),0)</f>
        <v>0</v>
      </c>
      <c r="AI41" s="41">
        <f>IFERROR(VLOOKUP($A41,Program[],12,0),0)</f>
        <v>0</v>
      </c>
      <c r="AJ41" s="41"/>
      <c r="AK41" s="41">
        <f>IFERROR(VLOOKUP($A41,Program[],13,0),0)</f>
        <v>0</v>
      </c>
      <c r="AL41" s="41"/>
      <c r="AM41" s="41"/>
      <c r="AN41" s="41"/>
      <c r="AO41" s="41"/>
      <c r="AP41" s="41"/>
      <c r="AQ41" s="41"/>
      <c r="AR41" s="41"/>
      <c r="AS41" s="41">
        <f>IFERROR(VLOOKUP($A41,Program[],14,0),0)</f>
        <v>0</v>
      </c>
      <c r="AT41" s="41"/>
      <c r="AU41" s="41"/>
      <c r="AV41" s="41">
        <f>IFERROR(VLOOKUP($A41,Program[],15,0),0)</f>
        <v>0</v>
      </c>
      <c r="AW41" s="41"/>
      <c r="AX41" s="41">
        <f>IFERROR(VLOOKUP($A41,Program[],16,0),0)</f>
        <v>0</v>
      </c>
      <c r="AY41" s="41">
        <f>IFERROR(VLOOKUP($A41,Program[],17,0),0)</f>
        <v>0</v>
      </c>
      <c r="AZ41" s="41">
        <f>IFERROR(VLOOKUP($A41,Program[],18,0),0)</f>
        <v>28805.5</v>
      </c>
      <c r="BA41" s="41">
        <f>IFERROR(VLOOKUP($A41,Program[],19,0),0)</f>
        <v>0</v>
      </c>
      <c r="BB41" s="77">
        <f t="shared" si="8"/>
        <v>0</v>
      </c>
      <c r="BC41" s="41">
        <f>IFERROR(VLOOKUP(A41,Food[],3,0),0)</f>
        <v>1438057.32</v>
      </c>
      <c r="BD41" s="41">
        <f>IFERROR(VLOOKUP($A41,FoodRev[],2,0),0)</f>
        <v>823460.05</v>
      </c>
      <c r="BE41" s="41">
        <f>IFERROR(VLOOKUP($A41,FoodRev[],3,0),0)</f>
        <v>18345.189999999999</v>
      </c>
      <c r="BF41" s="41">
        <f>IFERROR(VLOOKUP($A41,FoodRev[],4,0),0)</f>
        <v>0</v>
      </c>
      <c r="BG41" s="41">
        <f>IFERROR(VLOOKUP($A41,FoodRev[],5,0),0)</f>
        <v>528989.24</v>
      </c>
      <c r="BH41" s="41">
        <f>IFERROR(VLOOKUP($A41,FoodRev[],6,0),0)</f>
        <v>0</v>
      </c>
      <c r="BI41" s="41">
        <f>IFERROR(VLOOKUP($A41,FoodRev[],7,0),0)</f>
        <v>0</v>
      </c>
      <c r="BJ41" s="41">
        <f>IFERROR(VLOOKUP($A41,FoodRev[],8,0),0)</f>
        <v>122376.34</v>
      </c>
      <c r="BK41" s="41">
        <f>IFERROR(VLOOKUP($A41,FoodRev[],9,0),0)</f>
        <v>0</v>
      </c>
      <c r="BL41" s="41">
        <f>IFERROR(VLOOKUP($A41,FoodRev[],10,0),0)</f>
        <v>0</v>
      </c>
      <c r="BM41" s="41">
        <f t="shared" si="6"/>
        <v>1493170.82</v>
      </c>
      <c r="BN41" s="42">
        <f t="shared" si="13"/>
        <v>-55113.499999999913</v>
      </c>
      <c r="BO41" s="78">
        <f t="shared" si="14"/>
        <v>0</v>
      </c>
      <c r="BP41" s="78">
        <f t="shared" si="15"/>
        <v>-55113.499999999913</v>
      </c>
    </row>
    <row r="42" spans="1:68" x14ac:dyDescent="0.25">
      <c r="A42" s="40" t="s">
        <v>1253</v>
      </c>
      <c r="B42" s="40" t="s">
        <v>1260</v>
      </c>
      <c r="D42" s="203">
        <f t="shared" si="4"/>
        <v>2.3283064365386963E-10</v>
      </c>
      <c r="E42" s="41">
        <f>IFERROR(VLOOKUP(A42,Items[],5,0),0)</f>
        <v>1638702.55</v>
      </c>
      <c r="F42" s="42">
        <f t="shared" ref="F42" si="16">H42-I42-J42-K42-L42-M42-N42-O42-P42-Q42-R42-S42+T42+U42+V42+W42+X42+Y42+Z42+AA42+AB42+AC42+AD42+AE42+AF42+AG42+AH42+AI42+AJ42+AK42+AL42+AM42+AN42+AO42+AP42+AQ42+AR42+AS42+AT42+AU42+AV42+AW42+AX42+AY42+AZ42+BA42+BB42-BC42+BG42+BH42+BI42+BJ42+G42</f>
        <v>1638702.5499999998</v>
      </c>
      <c r="G42" s="41">
        <v>0</v>
      </c>
      <c r="H42" s="41">
        <f>IFERROR(VLOOKUP(A42,Items[],4,0),0)</f>
        <v>2106008.59</v>
      </c>
      <c r="I42" s="41">
        <f>IFERROR(VLOOKUP(A42,Community[],4,0),0)</f>
        <v>0</v>
      </c>
      <c r="J42" s="41">
        <f>IFERROR(VLOOKUP(A42,Community[],5,0),0)</f>
        <v>0</v>
      </c>
      <c r="K42" s="41">
        <f>IFERROR(VLOOKUP(A42,Community[],6,0),0)</f>
        <v>0</v>
      </c>
      <c r="L42" s="41">
        <f>IFERROR(VLOOKUP(A42,Community[],7,0),0)</f>
        <v>0</v>
      </c>
      <c r="M42" s="41">
        <f>IFERROR(VLOOKUP(A42,Debt[],3,0),0)</f>
        <v>62886.66</v>
      </c>
      <c r="N42" s="41">
        <f>IFERROR(VLOOKUP(A42,Debt[],4,0),0)</f>
        <v>53469.06</v>
      </c>
      <c r="O42" s="41">
        <f>IFERROR(VLOOKUP(A42,Debt[],5,0),0)</f>
        <v>0</v>
      </c>
      <c r="P42" s="41">
        <f>IFERROR(VLOOKUP(A42,Items[],3,0),0)</f>
        <v>0</v>
      </c>
      <c r="Q42" s="41">
        <f>IFERROR(VLOOKUP($A42,Federal[],2,0),0)</f>
        <v>0</v>
      </c>
      <c r="R42" s="41">
        <f>IFERROR(VLOOKUP($A42,Federal[],4,0),0)</f>
        <v>348391.07</v>
      </c>
      <c r="S42" s="41"/>
      <c r="T42" s="47">
        <f>IFERROR(VLOOKUP($A42,Program[],3,0),0)</f>
        <v>0</v>
      </c>
      <c r="U42" s="47"/>
      <c r="V42" s="41">
        <f>IFERROR(VLOOKUP($A42,Program[],4,0),0)</f>
        <v>0</v>
      </c>
      <c r="W42" s="41">
        <f>IFERROR(VLOOKUP($A42,Program[],5,0),0)</f>
        <v>0</v>
      </c>
      <c r="X42" s="41"/>
      <c r="Y42" s="41"/>
      <c r="Z42" s="41"/>
      <c r="AA42" s="41">
        <f>IFERROR(VLOOKUP($A42,Program[],6,0),0)</f>
        <v>0</v>
      </c>
      <c r="AB42" s="41"/>
      <c r="AC42" s="41"/>
      <c r="AD42" s="41">
        <f>IFERROR(VLOOKUP($A42,Program[],7,0),0)</f>
        <v>0</v>
      </c>
      <c r="AE42" s="41">
        <f>IFERROR(VLOOKUP($A42,Program[],8,0),0)</f>
        <v>0</v>
      </c>
      <c r="AF42" s="41">
        <f>IFERROR(VLOOKUP($A42,Program[],9,0),0)</f>
        <v>0</v>
      </c>
      <c r="AG42" s="41">
        <f>IFERROR(VLOOKUP($A42,Program[],10,0),0)</f>
        <v>0</v>
      </c>
      <c r="AH42" s="41">
        <f>IFERROR(VLOOKUP($A42,Program[],11,0),0)</f>
        <v>0</v>
      </c>
      <c r="AI42" s="41">
        <f>IFERROR(VLOOKUP($A42,Program[],12,0),0)</f>
        <v>0</v>
      </c>
      <c r="AJ42" s="41"/>
      <c r="AK42" s="41">
        <f>IFERROR(VLOOKUP($A42,Program[],13,0),0)</f>
        <v>0</v>
      </c>
      <c r="AL42" s="41"/>
      <c r="AM42" s="41"/>
      <c r="AN42" s="41"/>
      <c r="AO42" s="41"/>
      <c r="AP42" s="41"/>
      <c r="AQ42" s="41"/>
      <c r="AR42" s="41"/>
      <c r="AS42" s="41">
        <f>IFERROR(VLOOKUP($A42,Program[],14,0),0)</f>
        <v>0</v>
      </c>
      <c r="AT42" s="41"/>
      <c r="AU42" s="41"/>
      <c r="AV42" s="41">
        <f>IFERROR(VLOOKUP($A42,Program[],15,0),0)</f>
        <v>0</v>
      </c>
      <c r="AW42" s="41"/>
      <c r="AX42" s="41">
        <f>IFERROR(VLOOKUP($A42,Program[],16,0),0)</f>
        <v>0</v>
      </c>
      <c r="AY42" s="41">
        <f>IFERROR(VLOOKUP($A42,Program[],17,0),0)</f>
        <v>0</v>
      </c>
      <c r="AZ42" s="41">
        <f>IFERROR(VLOOKUP($A42,Program[],18,0),0)</f>
        <v>0</v>
      </c>
      <c r="BA42" s="41">
        <f>IFERROR(VLOOKUP($A42,Program[],19,0),0)</f>
        <v>0</v>
      </c>
      <c r="BB42" s="77">
        <f t="shared" ref="BB42" si="17">IF(BN42&gt;0,BN42,0)</f>
        <v>9773.08</v>
      </c>
      <c r="BC42" s="41">
        <f>IFERROR(VLOOKUP(A42,Food[],3,0),0)</f>
        <v>13380.59</v>
      </c>
      <c r="BD42" s="41">
        <f>IFERROR(VLOOKUP($A42,FoodRev[],2,0),0)</f>
        <v>2559.25</v>
      </c>
      <c r="BE42" s="41">
        <f>IFERROR(VLOOKUP($A42,FoodRev[],3,0),0)</f>
        <v>0</v>
      </c>
      <c r="BF42" s="41">
        <f>IFERROR(VLOOKUP($A42,FoodRev[],4,0),0)</f>
        <v>0</v>
      </c>
      <c r="BG42" s="41">
        <f>IFERROR(VLOOKUP($A42,FoodRev[],5,0),0)</f>
        <v>1048.26</v>
      </c>
      <c r="BH42" s="41">
        <f>IFERROR(VLOOKUP($A42,FoodRev[],6,0),0)</f>
        <v>0</v>
      </c>
      <c r="BI42" s="41">
        <f>IFERROR(VLOOKUP($A42,FoodRev[],7,0),0)</f>
        <v>0</v>
      </c>
      <c r="BJ42" s="41">
        <f>IFERROR(VLOOKUP($A42,FoodRev[],8,0),0)</f>
        <v>0</v>
      </c>
      <c r="BK42" s="41">
        <f>IFERROR(VLOOKUP($A42,FoodRev[],9,0),0)</f>
        <v>0</v>
      </c>
      <c r="BL42" s="41">
        <f>IFERROR(VLOOKUP($A42,FoodRev[],10,0),0)</f>
        <v>0</v>
      </c>
      <c r="BM42" s="41">
        <f t="shared" ref="BM42" si="18">SUM(BD42:BL42)</f>
        <v>3607.51</v>
      </c>
      <c r="BN42" s="42">
        <f t="shared" ref="BN42" si="19">BC42-BD42-BE42-BF42-BG42-BH42-BI42-BJ42-BK42-BL42</f>
        <v>9773.08</v>
      </c>
      <c r="BO42" s="78">
        <f t="shared" ref="BO42" si="20">IF(BN42&lt;0,0,BN42)</f>
        <v>9773.08</v>
      </c>
      <c r="BP42" s="78">
        <f t="shared" ref="BP42" si="21">IF(BN42&lt;0,BN42,0)</f>
        <v>0</v>
      </c>
    </row>
    <row r="43" spans="1:68" x14ac:dyDescent="0.25">
      <c r="A43" s="40" t="s">
        <v>402</v>
      </c>
      <c r="B43" s="40" t="s">
        <v>741</v>
      </c>
      <c r="D43" s="203">
        <f t="shared" si="4"/>
        <v>0</v>
      </c>
      <c r="E43" s="41">
        <f>IFERROR(VLOOKUP(A43,Items[],5,0),0)</f>
        <v>7545103.6600000001</v>
      </c>
      <c r="F43" s="42">
        <f t="shared" si="5"/>
        <v>7545103.6600000001</v>
      </c>
      <c r="G43" s="41">
        <v>0</v>
      </c>
      <c r="H43" s="41">
        <f>IFERROR(VLOOKUP(A43,Items[],4,0),0)</f>
        <v>8065091.8700000001</v>
      </c>
      <c r="I43" s="41">
        <f>IFERROR(VLOOKUP(A43,Community[],4,0),0)</f>
        <v>0</v>
      </c>
      <c r="J43" s="41">
        <f>IFERROR(VLOOKUP(A43,Community[],5,0),0)</f>
        <v>0</v>
      </c>
      <c r="K43" s="41">
        <f>IFERROR(VLOOKUP(A43,Community[],6,0),0)</f>
        <v>0</v>
      </c>
      <c r="L43" s="41">
        <f>IFERROR(VLOOKUP(A43,Community[],7,0),0)</f>
        <v>0</v>
      </c>
      <c r="M43" s="41">
        <f>IFERROR(VLOOKUP(A43,Debt[],3,0),0)</f>
        <v>0</v>
      </c>
      <c r="N43" s="41">
        <f>IFERROR(VLOOKUP(A43,Debt[],4,0),0)</f>
        <v>0</v>
      </c>
      <c r="O43" s="41">
        <f>IFERROR(VLOOKUP(A43,Debt[],5,0),0)</f>
        <v>0</v>
      </c>
      <c r="P43" s="41">
        <f>IFERROR(VLOOKUP(A43,Items[],3,0),0)</f>
        <v>93560.66</v>
      </c>
      <c r="Q43" s="41">
        <f>IFERROR(VLOOKUP($A43,Federal[],2,0),0)</f>
        <v>16318.64</v>
      </c>
      <c r="R43" s="41">
        <f>IFERROR(VLOOKUP($A43,Federal[],4,0),0)</f>
        <v>423651.6</v>
      </c>
      <c r="S43" s="41"/>
      <c r="T43" s="47">
        <f>IFERROR(VLOOKUP($A43,Program[],3,0),0)</f>
        <v>0</v>
      </c>
      <c r="U43" s="47"/>
      <c r="V43" s="41">
        <f>IFERROR(VLOOKUP($A43,Program[],4,0),0)</f>
        <v>0</v>
      </c>
      <c r="W43" s="41">
        <f>IFERROR(VLOOKUP($A43,Program[],5,0),0)</f>
        <v>0</v>
      </c>
      <c r="X43" s="41"/>
      <c r="Y43" s="41"/>
      <c r="Z43" s="41"/>
      <c r="AA43" s="41">
        <f>IFERROR(VLOOKUP($A43,Program[],6,0),0)</f>
        <v>0</v>
      </c>
      <c r="AB43" s="41"/>
      <c r="AC43" s="41"/>
      <c r="AD43" s="41">
        <f>IFERROR(VLOOKUP($A43,Program[],7,0),0)</f>
        <v>0</v>
      </c>
      <c r="AE43" s="41">
        <f>IFERROR(VLOOKUP($A43,Program[],8,0),0)</f>
        <v>0</v>
      </c>
      <c r="AF43" s="41">
        <f>IFERROR(VLOOKUP($A43,Program[],9,0),0)</f>
        <v>0</v>
      </c>
      <c r="AG43" s="41">
        <f>IFERROR(VLOOKUP($A43,Program[],10,0),0)</f>
        <v>0</v>
      </c>
      <c r="AH43" s="41">
        <f>IFERROR(VLOOKUP($A43,Program[],11,0),0)</f>
        <v>0</v>
      </c>
      <c r="AI43" s="41">
        <f>IFERROR(VLOOKUP($A43,Program[],12,0),0)</f>
        <v>0</v>
      </c>
      <c r="AJ43" s="41"/>
      <c r="AK43" s="41">
        <f>IFERROR(VLOOKUP($A43,Program[],13,0),0)</f>
        <v>0</v>
      </c>
      <c r="AL43" s="41"/>
      <c r="AM43" s="41"/>
      <c r="AN43" s="41"/>
      <c r="AO43" s="41"/>
      <c r="AP43" s="41"/>
      <c r="AQ43" s="41"/>
      <c r="AR43" s="41"/>
      <c r="AS43" s="41">
        <f>IFERROR(VLOOKUP($A43,Program[],14,0),0)</f>
        <v>0</v>
      </c>
      <c r="AT43" s="41"/>
      <c r="AU43" s="41"/>
      <c r="AV43" s="41">
        <f>IFERROR(VLOOKUP($A43,Program[],15,0),0)</f>
        <v>93560.66</v>
      </c>
      <c r="AW43" s="41"/>
      <c r="AX43" s="41">
        <f>IFERROR(VLOOKUP($A43,Program[],16,0),0)</f>
        <v>0</v>
      </c>
      <c r="AY43" s="41">
        <f>IFERROR(VLOOKUP($A43,Program[],17,0),0)</f>
        <v>0</v>
      </c>
      <c r="AZ43" s="41">
        <f>IFERROR(VLOOKUP($A43,Program[],18,0),0)</f>
        <v>0</v>
      </c>
      <c r="BA43" s="41">
        <f>IFERROR(VLOOKUP($A43,Program[],19,0),0)</f>
        <v>0</v>
      </c>
      <c r="BB43" s="77">
        <f t="shared" si="8"/>
        <v>68597.049999999959</v>
      </c>
      <c r="BC43" s="41">
        <f>IFERROR(VLOOKUP(A43,Food[],3,0),0)</f>
        <v>318136.37</v>
      </c>
      <c r="BD43" s="41">
        <f>IFERROR(VLOOKUP($A43,FoodRev[],2,0),0)</f>
        <v>7277.7</v>
      </c>
      <c r="BE43" s="41">
        <f>IFERROR(VLOOKUP($A43,FoodRev[],3,0),0)</f>
        <v>72740.27</v>
      </c>
      <c r="BF43" s="41">
        <f>IFERROR(VLOOKUP($A43,FoodRev[],4,0),0)</f>
        <v>0</v>
      </c>
      <c r="BG43" s="41">
        <f>IFERROR(VLOOKUP($A43,FoodRev[],5,0),0)</f>
        <v>156469.38</v>
      </c>
      <c r="BH43" s="41">
        <f>IFERROR(VLOOKUP($A43,FoodRev[],6,0),0)</f>
        <v>0</v>
      </c>
      <c r="BI43" s="41">
        <f>IFERROR(VLOOKUP($A43,FoodRev[],7,0),0)</f>
        <v>0</v>
      </c>
      <c r="BJ43" s="41">
        <f>IFERROR(VLOOKUP($A43,FoodRev[],8,0),0)</f>
        <v>13051.97</v>
      </c>
      <c r="BK43" s="41">
        <f>IFERROR(VLOOKUP($A43,FoodRev[],9,0),0)</f>
        <v>0</v>
      </c>
      <c r="BL43" s="41">
        <f>IFERROR(VLOOKUP($A43,FoodRev[],10,0),0)</f>
        <v>0</v>
      </c>
      <c r="BM43" s="41">
        <f t="shared" si="6"/>
        <v>249539.32</v>
      </c>
      <c r="BN43" s="42">
        <f t="shared" si="13"/>
        <v>68597.049999999959</v>
      </c>
      <c r="BO43" s="78">
        <f t="shared" si="14"/>
        <v>68597.049999999959</v>
      </c>
      <c r="BP43" s="78">
        <f t="shared" si="15"/>
        <v>0</v>
      </c>
    </row>
    <row r="44" spans="1:68" x14ac:dyDescent="0.25">
      <c r="A44" s="40" t="s">
        <v>598</v>
      </c>
      <c r="B44" s="40" t="s">
        <v>742</v>
      </c>
      <c r="D44" s="203">
        <f t="shared" si="4"/>
        <v>0</v>
      </c>
      <c r="E44" s="41">
        <f>IFERROR(VLOOKUP(A44,Items[],5,0),0)</f>
        <v>9420587.1300000008</v>
      </c>
      <c r="F44" s="42">
        <f t="shared" si="5"/>
        <v>9420587.1300000008</v>
      </c>
      <c r="G44" s="41">
        <v>0</v>
      </c>
      <c r="H44" s="41">
        <f>IFERROR(VLOOKUP(A44,Items[],4,0),0)</f>
        <v>9477932.4399999995</v>
      </c>
      <c r="I44" s="41">
        <f>IFERROR(VLOOKUP(A44,Community[],4,0),0)</f>
        <v>0</v>
      </c>
      <c r="J44" s="41">
        <f>IFERROR(VLOOKUP(A44,Community[],5,0),0)</f>
        <v>0</v>
      </c>
      <c r="K44" s="41">
        <f>IFERROR(VLOOKUP(A44,Community[],6,0),0)</f>
        <v>0</v>
      </c>
      <c r="L44" s="41">
        <f>IFERROR(VLOOKUP(A44,Community[],7,0),0)</f>
        <v>0</v>
      </c>
      <c r="M44" s="41">
        <f>IFERROR(VLOOKUP(A44,Debt[],3,0),0)</f>
        <v>0</v>
      </c>
      <c r="N44" s="41">
        <f>IFERROR(VLOOKUP(A44,Debt[],4,0),0)</f>
        <v>0</v>
      </c>
      <c r="O44" s="41">
        <f>IFERROR(VLOOKUP(A44,Debt[],5,0),0)</f>
        <v>0</v>
      </c>
      <c r="P44" s="41">
        <f>IFERROR(VLOOKUP(A44,Items[],3,0),0)</f>
        <v>0</v>
      </c>
      <c r="Q44" s="41">
        <f>IFERROR(VLOOKUP($A44,Federal[],2,0),0)</f>
        <v>1019.13</v>
      </c>
      <c r="R44" s="41">
        <f>IFERROR(VLOOKUP($A44,Federal[],4,0),0)</f>
        <v>52741.54</v>
      </c>
      <c r="S44" s="41"/>
      <c r="T44" s="47">
        <f>IFERROR(VLOOKUP($A44,Program[],3,0),0)</f>
        <v>0</v>
      </c>
      <c r="U44" s="47"/>
      <c r="V44" s="41">
        <f>IFERROR(VLOOKUP($A44,Program[],4,0),0)</f>
        <v>0</v>
      </c>
      <c r="W44" s="41">
        <f>IFERROR(VLOOKUP($A44,Program[],5,0),0)</f>
        <v>0</v>
      </c>
      <c r="X44" s="41"/>
      <c r="Y44" s="41"/>
      <c r="Z44" s="41"/>
      <c r="AA44" s="41">
        <f>IFERROR(VLOOKUP($A44,Program[],6,0),0)</f>
        <v>0</v>
      </c>
      <c r="AB44" s="41"/>
      <c r="AC44" s="41"/>
      <c r="AD44" s="41">
        <f>IFERROR(VLOOKUP($A44,Program[],7,0),0)</f>
        <v>0</v>
      </c>
      <c r="AE44" s="41">
        <f>IFERROR(VLOOKUP($A44,Program[],8,0),0)</f>
        <v>0</v>
      </c>
      <c r="AF44" s="41">
        <f>IFERROR(VLOOKUP($A44,Program[],9,0),0)</f>
        <v>0</v>
      </c>
      <c r="AG44" s="41">
        <f>IFERROR(VLOOKUP($A44,Program[],10,0),0)</f>
        <v>0</v>
      </c>
      <c r="AH44" s="41">
        <f>IFERROR(VLOOKUP($A44,Program[],11,0),0)</f>
        <v>0</v>
      </c>
      <c r="AI44" s="41">
        <f>IFERROR(VLOOKUP($A44,Program[],12,0),0)</f>
        <v>0</v>
      </c>
      <c r="AJ44" s="41"/>
      <c r="AK44" s="41">
        <f>IFERROR(VLOOKUP($A44,Program[],13,0),0)</f>
        <v>0</v>
      </c>
      <c r="AL44" s="41"/>
      <c r="AM44" s="41"/>
      <c r="AN44" s="41"/>
      <c r="AO44" s="41"/>
      <c r="AP44" s="41"/>
      <c r="AQ44" s="41"/>
      <c r="AR44" s="41"/>
      <c r="AS44" s="41">
        <f>IFERROR(VLOOKUP($A44,Program[],14,0),0)</f>
        <v>0</v>
      </c>
      <c r="AT44" s="41"/>
      <c r="AU44" s="41"/>
      <c r="AV44" s="41">
        <f>IFERROR(VLOOKUP($A44,Program[],15,0),0)</f>
        <v>0</v>
      </c>
      <c r="AW44" s="41"/>
      <c r="AX44" s="41">
        <f>IFERROR(VLOOKUP($A44,Program[],16,0),0)</f>
        <v>0</v>
      </c>
      <c r="AY44" s="41">
        <f>IFERROR(VLOOKUP($A44,Program[],17,0),0)</f>
        <v>0</v>
      </c>
      <c r="AZ44" s="41">
        <f>IFERROR(VLOOKUP($A44,Program[],18,0),0)</f>
        <v>0</v>
      </c>
      <c r="BA44" s="41">
        <f>IFERROR(VLOOKUP($A44,Program[],19,0),0)</f>
        <v>0</v>
      </c>
      <c r="BB44" s="77">
        <f t="shared" si="8"/>
        <v>50632.05</v>
      </c>
      <c r="BC44" s="41">
        <f>IFERROR(VLOOKUP(A44,Food[],3,0),0)</f>
        <v>77526.740000000005</v>
      </c>
      <c r="BD44" s="41">
        <f>IFERROR(VLOOKUP($A44,FoodRev[],2,0),0)</f>
        <v>378</v>
      </c>
      <c r="BE44" s="41">
        <f>IFERROR(VLOOKUP($A44,FoodRev[],3,0),0)</f>
        <v>3206.64</v>
      </c>
      <c r="BF44" s="41">
        <f>IFERROR(VLOOKUP($A44,FoodRev[],4,0),0)</f>
        <v>0</v>
      </c>
      <c r="BG44" s="41">
        <f>IFERROR(VLOOKUP($A44,FoodRev[],5,0),0)</f>
        <v>23310.05</v>
      </c>
      <c r="BH44" s="41">
        <f>IFERROR(VLOOKUP($A44,FoodRev[],6,0),0)</f>
        <v>0</v>
      </c>
      <c r="BI44" s="41">
        <f>IFERROR(VLOOKUP($A44,FoodRev[],7,0),0)</f>
        <v>0</v>
      </c>
      <c r="BJ44" s="41">
        <f>IFERROR(VLOOKUP($A44,FoodRev[],8,0),0)</f>
        <v>0</v>
      </c>
      <c r="BK44" s="41">
        <f>IFERROR(VLOOKUP($A44,FoodRev[],9,0),0)</f>
        <v>0</v>
      </c>
      <c r="BL44" s="41">
        <f>IFERROR(VLOOKUP($A44,FoodRev[],10,0),0)</f>
        <v>0</v>
      </c>
      <c r="BM44" s="41">
        <f t="shared" si="6"/>
        <v>26894.69</v>
      </c>
      <c r="BN44" s="42">
        <f t="shared" si="13"/>
        <v>50632.05</v>
      </c>
      <c r="BO44" s="78">
        <f t="shared" si="14"/>
        <v>50632.05</v>
      </c>
      <c r="BP44" s="78">
        <f t="shared" si="15"/>
        <v>0</v>
      </c>
    </row>
    <row r="45" spans="1:68" x14ac:dyDescent="0.25">
      <c r="A45" s="40" t="s">
        <v>100</v>
      </c>
      <c r="B45" s="40" t="s">
        <v>743</v>
      </c>
      <c r="D45" s="203">
        <f t="shared" si="4"/>
        <v>0</v>
      </c>
      <c r="E45" s="41">
        <f>IFERROR(VLOOKUP(A45,Items[],5,0),0)</f>
        <v>107263120.45</v>
      </c>
      <c r="F45" s="42">
        <f t="shared" si="5"/>
        <v>107263120.45</v>
      </c>
      <c r="G45" s="41">
        <v>0</v>
      </c>
      <c r="H45" s="41">
        <f>IFERROR(VLOOKUP(A45,Items[],4,0),0)</f>
        <v>116904954.23999999</v>
      </c>
      <c r="I45" s="41">
        <f>IFERROR(VLOOKUP(A45,Community[],4,0),0)</f>
        <v>0</v>
      </c>
      <c r="J45" s="41">
        <f>IFERROR(VLOOKUP(A45,Community[],5,0),0)</f>
        <v>0</v>
      </c>
      <c r="K45" s="41">
        <f>IFERROR(VLOOKUP(A45,Community[],6,0),0)</f>
        <v>3829.22</v>
      </c>
      <c r="L45" s="41">
        <f>IFERROR(VLOOKUP(A45,Community[],7,0),0)</f>
        <v>2139.7399999999998</v>
      </c>
      <c r="M45" s="41">
        <f>IFERROR(VLOOKUP(A45,Debt[],3,0),0)</f>
        <v>5947.45</v>
      </c>
      <c r="N45" s="41">
        <f>IFERROR(VLOOKUP(A45,Debt[],4,0),0)</f>
        <v>28499.65</v>
      </c>
      <c r="O45" s="41">
        <f>IFERROR(VLOOKUP(A45,Debt[],5,0),0)</f>
        <v>0</v>
      </c>
      <c r="P45" s="41">
        <f>IFERROR(VLOOKUP(A45,Items[],3,0),0)</f>
        <v>76524.960000000006</v>
      </c>
      <c r="Q45" s="41">
        <f>IFERROR(VLOOKUP($A45,Federal[],2,0),0)</f>
        <v>3745.26</v>
      </c>
      <c r="R45" s="41">
        <f>IFERROR(VLOOKUP($A45,Federal[],4,0),0)</f>
        <v>8952940.5999999996</v>
      </c>
      <c r="S45" s="41"/>
      <c r="T45" s="47">
        <f>IFERROR(VLOOKUP($A45,Program[],3,0),0)</f>
        <v>0</v>
      </c>
      <c r="U45" s="47"/>
      <c r="V45" s="41">
        <f>IFERROR(VLOOKUP($A45,Program[],4,0),0)</f>
        <v>0</v>
      </c>
      <c r="W45" s="41">
        <f>IFERROR(VLOOKUP($A45,Program[],5,0),0)</f>
        <v>0</v>
      </c>
      <c r="X45" s="41"/>
      <c r="Y45" s="41"/>
      <c r="Z45" s="41"/>
      <c r="AA45" s="41">
        <f>IFERROR(VLOOKUP($A45,Program[],6,0),0)</f>
        <v>0</v>
      </c>
      <c r="AB45" s="41"/>
      <c r="AC45" s="41"/>
      <c r="AD45" s="41">
        <f>IFERROR(VLOOKUP($A45,Program[],7,0),0)</f>
        <v>0</v>
      </c>
      <c r="AE45" s="41">
        <f>IFERROR(VLOOKUP($A45,Program[],8,0),0)</f>
        <v>0</v>
      </c>
      <c r="AF45" s="41">
        <f>IFERROR(VLOOKUP($A45,Program[],9,0),0)</f>
        <v>0</v>
      </c>
      <c r="AG45" s="41">
        <f>IFERROR(VLOOKUP($A45,Program[],10,0),0)</f>
        <v>0</v>
      </c>
      <c r="AH45" s="41">
        <f>IFERROR(VLOOKUP($A45,Program[],11,0),0)</f>
        <v>0</v>
      </c>
      <c r="AI45" s="41">
        <f>IFERROR(VLOOKUP($A45,Program[],12,0),0)</f>
        <v>0</v>
      </c>
      <c r="AJ45" s="41"/>
      <c r="AK45" s="41">
        <f>IFERROR(VLOOKUP($A45,Program[],13,0),0)</f>
        <v>0</v>
      </c>
      <c r="AL45" s="41"/>
      <c r="AM45" s="41"/>
      <c r="AN45" s="41"/>
      <c r="AO45" s="41"/>
      <c r="AP45" s="41"/>
      <c r="AQ45" s="41"/>
      <c r="AR45" s="41"/>
      <c r="AS45" s="41">
        <f>IFERROR(VLOOKUP($A45,Program[],14,0),0)</f>
        <v>0</v>
      </c>
      <c r="AT45" s="41"/>
      <c r="AU45" s="41"/>
      <c r="AV45" s="41">
        <f>IFERROR(VLOOKUP($A45,Program[],15,0),0)</f>
        <v>0</v>
      </c>
      <c r="AW45" s="41"/>
      <c r="AX45" s="41">
        <f>IFERROR(VLOOKUP($A45,Program[],16,0),0)</f>
        <v>0</v>
      </c>
      <c r="AY45" s="41">
        <f>IFERROR(VLOOKUP($A45,Program[],17,0),0)</f>
        <v>0</v>
      </c>
      <c r="AZ45" s="41">
        <f>IFERROR(VLOOKUP($A45,Program[],18,0),0)</f>
        <v>0</v>
      </c>
      <c r="BA45" s="41">
        <f>IFERROR(VLOOKUP($A45,Program[],19,0),0)</f>
        <v>435.11</v>
      </c>
      <c r="BB45" s="77">
        <f t="shared" si="8"/>
        <v>0</v>
      </c>
      <c r="BC45" s="41">
        <f>IFERROR(VLOOKUP(A45,Food[],3,0),0)</f>
        <v>3973216.1000000006</v>
      </c>
      <c r="BD45" s="41">
        <f>IFERROR(VLOOKUP($A45,FoodRev[],2,0),0)</f>
        <v>10116.42</v>
      </c>
      <c r="BE45" s="41">
        <f>IFERROR(VLOOKUP($A45,FoodRev[],3,0),0)</f>
        <v>630822.97</v>
      </c>
      <c r="BF45" s="41">
        <f>IFERROR(VLOOKUP($A45,FoodRev[],4,0),0)</f>
        <v>0</v>
      </c>
      <c r="BG45" s="41">
        <f>IFERROR(VLOOKUP($A45,FoodRev[],5,0),0)</f>
        <v>3128548.08</v>
      </c>
      <c r="BH45" s="41">
        <f>IFERROR(VLOOKUP($A45,FoodRev[],6,0),0)</f>
        <v>0</v>
      </c>
      <c r="BI45" s="41">
        <f>IFERROR(VLOOKUP($A45,FoodRev[],7,0),0)</f>
        <v>0</v>
      </c>
      <c r="BJ45" s="41">
        <f>IFERROR(VLOOKUP($A45,FoodRev[],8,0),0)</f>
        <v>276026</v>
      </c>
      <c r="BK45" s="41">
        <f>IFERROR(VLOOKUP($A45,FoodRev[],9,0),0)</f>
        <v>25926.3</v>
      </c>
      <c r="BL45" s="41">
        <f>IFERROR(VLOOKUP($A45,FoodRev[],10,0),0)</f>
        <v>0</v>
      </c>
      <c r="BM45" s="41">
        <f t="shared" si="6"/>
        <v>4071439.77</v>
      </c>
      <c r="BN45" s="42">
        <f t="shared" si="13"/>
        <v>-98223.669999999183</v>
      </c>
      <c r="BO45" s="78">
        <f t="shared" si="14"/>
        <v>0</v>
      </c>
      <c r="BP45" s="78">
        <f t="shared" si="15"/>
        <v>-98223.669999999183</v>
      </c>
    </row>
    <row r="46" spans="1:68" x14ac:dyDescent="0.25">
      <c r="A46" s="40" t="s">
        <v>348</v>
      </c>
      <c r="B46" s="40" t="s">
        <v>744</v>
      </c>
      <c r="D46" s="203">
        <f t="shared" si="4"/>
        <v>1.862645149230957E-9</v>
      </c>
      <c r="E46" s="41">
        <f>IFERROR(VLOOKUP(A46,Items[],5,0),0)</f>
        <v>11405912.23</v>
      </c>
      <c r="F46" s="42">
        <f t="shared" si="5"/>
        <v>11405912.229999999</v>
      </c>
      <c r="G46" s="41">
        <v>0</v>
      </c>
      <c r="H46" s="41">
        <f>IFERROR(VLOOKUP(A46,Items[],4,0),0)</f>
        <v>12227765.59</v>
      </c>
      <c r="I46" s="41">
        <f>IFERROR(VLOOKUP(A46,Community[],4,0),0)</f>
        <v>0</v>
      </c>
      <c r="J46" s="41">
        <f>IFERROR(VLOOKUP(A46,Community[],5,0),0)</f>
        <v>0</v>
      </c>
      <c r="K46" s="41">
        <f>IFERROR(VLOOKUP(A46,Community[],6,0),0)</f>
        <v>84661.53</v>
      </c>
      <c r="L46" s="41">
        <f>IFERROR(VLOOKUP(A46,Community[],7,0),0)</f>
        <v>0</v>
      </c>
      <c r="M46" s="41">
        <f>IFERROR(VLOOKUP(A46,Debt[],3,0),0)</f>
        <v>0</v>
      </c>
      <c r="N46" s="41">
        <f>IFERROR(VLOOKUP(A46,Debt[],4,0),0)</f>
        <v>11825.64</v>
      </c>
      <c r="O46" s="41">
        <f>IFERROR(VLOOKUP(A46,Debt[],5,0),0)</f>
        <v>0</v>
      </c>
      <c r="P46" s="41">
        <f>IFERROR(VLOOKUP(A46,Items[],3,0),0)</f>
        <v>23048.38</v>
      </c>
      <c r="Q46" s="41">
        <f>IFERROR(VLOOKUP($A46,Federal[],2,0),0)</f>
        <v>341.14</v>
      </c>
      <c r="R46" s="41">
        <f>IFERROR(VLOOKUP($A46,Federal[],4,0),0)</f>
        <v>494392.97</v>
      </c>
      <c r="S46" s="41"/>
      <c r="T46" s="47">
        <f>IFERROR(VLOOKUP($A46,Program[],3,0),0)</f>
        <v>0</v>
      </c>
      <c r="U46" s="47"/>
      <c r="V46" s="41">
        <f>IFERROR(VLOOKUP($A46,Program[],4,0),0)</f>
        <v>0</v>
      </c>
      <c r="W46" s="41">
        <f>IFERROR(VLOOKUP($A46,Program[],5,0),0)</f>
        <v>0</v>
      </c>
      <c r="X46" s="41"/>
      <c r="Y46" s="41"/>
      <c r="Z46" s="41"/>
      <c r="AA46" s="41">
        <f>IFERROR(VLOOKUP($A46,Program[],6,0),0)</f>
        <v>0</v>
      </c>
      <c r="AB46" s="41"/>
      <c r="AC46" s="41"/>
      <c r="AD46" s="41">
        <f>IFERROR(VLOOKUP($A46,Program[],7,0),0)</f>
        <v>0</v>
      </c>
      <c r="AE46" s="41">
        <f>IFERROR(VLOOKUP($A46,Program[],8,0),0)</f>
        <v>0</v>
      </c>
      <c r="AF46" s="41">
        <f>IFERROR(VLOOKUP($A46,Program[],9,0),0)</f>
        <v>0</v>
      </c>
      <c r="AG46" s="41">
        <f>IFERROR(VLOOKUP($A46,Program[],10,0),0)</f>
        <v>0</v>
      </c>
      <c r="AH46" s="41">
        <f>IFERROR(VLOOKUP($A46,Program[],11,0),0)</f>
        <v>0</v>
      </c>
      <c r="AI46" s="41">
        <f>IFERROR(VLOOKUP($A46,Program[],12,0),0)</f>
        <v>0</v>
      </c>
      <c r="AJ46" s="41"/>
      <c r="AK46" s="41">
        <f>IFERROR(VLOOKUP($A46,Program[],13,0),0)</f>
        <v>0</v>
      </c>
      <c r="AL46" s="41"/>
      <c r="AM46" s="41"/>
      <c r="AN46" s="41"/>
      <c r="AO46" s="41"/>
      <c r="AP46" s="41"/>
      <c r="AQ46" s="41"/>
      <c r="AR46" s="41"/>
      <c r="AS46" s="41">
        <f>IFERROR(VLOOKUP($A46,Program[],14,0),0)</f>
        <v>0</v>
      </c>
      <c r="AT46" s="41"/>
      <c r="AU46" s="41"/>
      <c r="AV46" s="41">
        <f>IFERROR(VLOOKUP($A46,Program[],15,0),0)</f>
        <v>0</v>
      </c>
      <c r="AW46" s="41"/>
      <c r="AX46" s="41">
        <f>IFERROR(VLOOKUP($A46,Program[],16,0),0)</f>
        <v>0</v>
      </c>
      <c r="AY46" s="41">
        <f>IFERROR(VLOOKUP($A46,Program[],17,0),0)</f>
        <v>0</v>
      </c>
      <c r="AZ46" s="41">
        <f>IFERROR(VLOOKUP($A46,Program[],18,0),0)</f>
        <v>0</v>
      </c>
      <c r="BA46" s="41">
        <f>IFERROR(VLOOKUP($A46,Program[],19,0),0)</f>
        <v>0</v>
      </c>
      <c r="BB46" s="77">
        <f t="shared" si="8"/>
        <v>87892.300000000017</v>
      </c>
      <c r="BC46" s="41">
        <f>IFERROR(VLOOKUP(A46,Food[],3,0),0)</f>
        <v>553864.47</v>
      </c>
      <c r="BD46" s="41">
        <f>IFERROR(VLOOKUP($A46,FoodRev[],2,0),0)</f>
        <v>54221.98</v>
      </c>
      <c r="BE46" s="41">
        <f>IFERROR(VLOOKUP($A46,FoodRev[],3,0),0)</f>
        <v>153361.72</v>
      </c>
      <c r="BF46" s="41">
        <f>IFERROR(VLOOKUP($A46,FoodRev[],4,0),0)</f>
        <v>0</v>
      </c>
      <c r="BG46" s="41">
        <f>IFERROR(VLOOKUP($A46,FoodRev[],5,0),0)</f>
        <v>238107.07</v>
      </c>
      <c r="BH46" s="41">
        <f>IFERROR(VLOOKUP($A46,FoodRev[],6,0),0)</f>
        <v>0</v>
      </c>
      <c r="BI46" s="41">
        <f>IFERROR(VLOOKUP($A46,FoodRev[],7,0),0)</f>
        <v>0</v>
      </c>
      <c r="BJ46" s="41">
        <f>IFERROR(VLOOKUP($A46,FoodRev[],8,0),0)</f>
        <v>20281.400000000001</v>
      </c>
      <c r="BK46" s="41">
        <f>IFERROR(VLOOKUP($A46,FoodRev[],9,0),0)</f>
        <v>0</v>
      </c>
      <c r="BL46" s="41">
        <f>IFERROR(VLOOKUP($A46,FoodRev[],10,0),0)</f>
        <v>0</v>
      </c>
      <c r="BM46" s="41">
        <f t="shared" si="6"/>
        <v>465972.17000000004</v>
      </c>
      <c r="BN46" s="42">
        <f t="shared" si="13"/>
        <v>87892.300000000017</v>
      </c>
      <c r="BO46" s="78">
        <f t="shared" si="14"/>
        <v>87892.300000000017</v>
      </c>
      <c r="BP46" s="78">
        <f t="shared" si="15"/>
        <v>0</v>
      </c>
    </row>
    <row r="47" spans="1:68" x14ac:dyDescent="0.25">
      <c r="A47" s="40" t="s">
        <v>272</v>
      </c>
      <c r="B47" s="40" t="s">
        <v>745</v>
      </c>
      <c r="D47" s="203">
        <f t="shared" si="4"/>
        <v>-3.7252902984619141E-9</v>
      </c>
      <c r="E47" s="41">
        <f>IFERROR(VLOOKUP(A47,Items[],5,0),0)</f>
        <v>22489736.079999998</v>
      </c>
      <c r="F47" s="42">
        <f t="shared" si="5"/>
        <v>22489736.080000002</v>
      </c>
      <c r="G47" s="41">
        <v>0</v>
      </c>
      <c r="H47" s="41">
        <f>IFERROR(VLOOKUP(A47,Items[],4,0),0)</f>
        <v>24096770.859999999</v>
      </c>
      <c r="I47" s="41">
        <f>IFERROR(VLOOKUP(A47,Community[],4,0),0)</f>
        <v>0</v>
      </c>
      <c r="J47" s="41">
        <f>IFERROR(VLOOKUP(A47,Community[],5,0),0)</f>
        <v>0</v>
      </c>
      <c r="K47" s="41">
        <f>IFERROR(VLOOKUP(A47,Community[],6,0),0)</f>
        <v>2556.4499999999998</v>
      </c>
      <c r="L47" s="41">
        <f>IFERROR(VLOOKUP(A47,Community[],7,0),0)</f>
        <v>0</v>
      </c>
      <c r="M47" s="41">
        <f>IFERROR(VLOOKUP(A47,Debt[],3,0),0)</f>
        <v>379.11</v>
      </c>
      <c r="N47" s="41">
        <f>IFERROR(VLOOKUP(A47,Debt[],4,0),0)</f>
        <v>11641.17</v>
      </c>
      <c r="O47" s="41">
        <f>IFERROR(VLOOKUP(A47,Debt[],5,0),0)</f>
        <v>0</v>
      </c>
      <c r="P47" s="41">
        <f>IFERROR(VLOOKUP(A47,Items[],3,0),0)</f>
        <v>5024.3</v>
      </c>
      <c r="Q47" s="41">
        <f>IFERROR(VLOOKUP($A47,Federal[],2,0),0)</f>
        <v>742.56</v>
      </c>
      <c r="R47" s="41">
        <f>IFERROR(VLOOKUP($A47,Federal[],4,0),0)</f>
        <v>1494175.55</v>
      </c>
      <c r="S47" s="41"/>
      <c r="T47" s="47">
        <f>IFERROR(VLOOKUP($A47,Program[],3,0),0)</f>
        <v>0</v>
      </c>
      <c r="U47" s="47"/>
      <c r="V47" s="41">
        <f>IFERROR(VLOOKUP($A47,Program[],4,0),0)</f>
        <v>0</v>
      </c>
      <c r="W47" s="41">
        <f>IFERROR(VLOOKUP($A47,Program[],5,0),0)</f>
        <v>0</v>
      </c>
      <c r="X47" s="41"/>
      <c r="Y47" s="41"/>
      <c r="Z47" s="41"/>
      <c r="AA47" s="41">
        <f>IFERROR(VLOOKUP($A47,Program[],6,0),0)</f>
        <v>0</v>
      </c>
      <c r="AB47" s="41"/>
      <c r="AC47" s="41"/>
      <c r="AD47" s="41">
        <f>IFERROR(VLOOKUP($A47,Program[],7,0),0)</f>
        <v>0</v>
      </c>
      <c r="AE47" s="41">
        <f>IFERROR(VLOOKUP($A47,Program[],8,0),0)</f>
        <v>0</v>
      </c>
      <c r="AF47" s="41">
        <f>IFERROR(VLOOKUP($A47,Program[],9,0),0)</f>
        <v>0</v>
      </c>
      <c r="AG47" s="41">
        <f>IFERROR(VLOOKUP($A47,Program[],10,0),0)</f>
        <v>0</v>
      </c>
      <c r="AH47" s="41">
        <f>IFERROR(VLOOKUP($A47,Program[],11,0),0)</f>
        <v>0</v>
      </c>
      <c r="AI47" s="41">
        <f>IFERROR(VLOOKUP($A47,Program[],12,0),0)</f>
        <v>0</v>
      </c>
      <c r="AJ47" s="41"/>
      <c r="AK47" s="41">
        <f>IFERROR(VLOOKUP($A47,Program[],13,0),0)</f>
        <v>0</v>
      </c>
      <c r="AL47" s="41"/>
      <c r="AM47" s="41"/>
      <c r="AN47" s="41"/>
      <c r="AO47" s="41"/>
      <c r="AP47" s="41"/>
      <c r="AQ47" s="41"/>
      <c r="AR47" s="41"/>
      <c r="AS47" s="41">
        <f>IFERROR(VLOOKUP($A47,Program[],14,0),0)</f>
        <v>0</v>
      </c>
      <c r="AT47" s="41"/>
      <c r="AU47" s="41"/>
      <c r="AV47" s="41">
        <f>IFERROR(VLOOKUP($A47,Program[],15,0),0)</f>
        <v>0</v>
      </c>
      <c r="AW47" s="41"/>
      <c r="AX47" s="41">
        <f>IFERROR(VLOOKUP($A47,Program[],16,0),0)</f>
        <v>0</v>
      </c>
      <c r="AY47" s="41">
        <f>IFERROR(VLOOKUP($A47,Program[],17,0),0)</f>
        <v>0</v>
      </c>
      <c r="AZ47" s="41">
        <f>IFERROR(VLOOKUP($A47,Program[],18,0),0)</f>
        <v>0</v>
      </c>
      <c r="BA47" s="41">
        <f>IFERROR(VLOOKUP($A47,Program[],19,0),0)</f>
        <v>0</v>
      </c>
      <c r="BB47" s="77">
        <f t="shared" si="8"/>
        <v>256815.44000000012</v>
      </c>
      <c r="BC47" s="41">
        <f>IFERROR(VLOOKUP(A47,Food[],3,0),0)</f>
        <v>1055626.21</v>
      </c>
      <c r="BD47" s="41">
        <f>IFERROR(VLOOKUP($A47,FoodRev[],2,0),0)</f>
        <v>581.44000000000005</v>
      </c>
      <c r="BE47" s="41">
        <f>IFERROR(VLOOKUP($A47,FoodRev[],3,0),0)</f>
        <v>91934.2</v>
      </c>
      <c r="BF47" s="41">
        <f>IFERROR(VLOOKUP($A47,FoodRev[],4,0),0)</f>
        <v>0</v>
      </c>
      <c r="BG47" s="41">
        <f>IFERROR(VLOOKUP($A47,FoodRev[],5,0),0)</f>
        <v>648807.43999999994</v>
      </c>
      <c r="BH47" s="41">
        <f>IFERROR(VLOOKUP($A47,FoodRev[],6,0),0)</f>
        <v>0</v>
      </c>
      <c r="BI47" s="41">
        <f>IFERROR(VLOOKUP($A47,FoodRev[],7,0),0)</f>
        <v>0</v>
      </c>
      <c r="BJ47" s="41">
        <f>IFERROR(VLOOKUP($A47,FoodRev[],8,0),0)</f>
        <v>57487.69</v>
      </c>
      <c r="BK47" s="41">
        <f>IFERROR(VLOOKUP($A47,FoodRev[],9,0),0)</f>
        <v>0</v>
      </c>
      <c r="BL47" s="41">
        <f>IFERROR(VLOOKUP($A47,FoodRev[],10,0),0)</f>
        <v>0</v>
      </c>
      <c r="BM47" s="41">
        <f t="shared" si="6"/>
        <v>798810.77</v>
      </c>
      <c r="BN47" s="42">
        <f t="shared" si="13"/>
        <v>256815.44000000012</v>
      </c>
      <c r="BO47" s="78">
        <f t="shared" si="14"/>
        <v>256815.44000000012</v>
      </c>
      <c r="BP47" s="78">
        <f t="shared" si="15"/>
        <v>0</v>
      </c>
    </row>
    <row r="48" spans="1:68" x14ac:dyDescent="0.25">
      <c r="A48" s="40" t="s">
        <v>300</v>
      </c>
      <c r="B48" s="40" t="s">
        <v>746</v>
      </c>
      <c r="D48" s="203">
        <f t="shared" si="4"/>
        <v>0</v>
      </c>
      <c r="E48" s="41">
        <f>IFERROR(VLOOKUP(A48,Items[],5,0),0)</f>
        <v>18658583.649999999</v>
      </c>
      <c r="F48" s="42">
        <f t="shared" si="5"/>
        <v>18658583.649999999</v>
      </c>
      <c r="G48" s="41">
        <v>0</v>
      </c>
      <c r="H48" s="41">
        <f>IFERROR(VLOOKUP(A48,Items[],4,0),0)</f>
        <v>19888575.09</v>
      </c>
      <c r="I48" s="41">
        <f>IFERROR(VLOOKUP(A48,Community[],4,0),0)</f>
        <v>0</v>
      </c>
      <c r="J48" s="41">
        <f>IFERROR(VLOOKUP(A48,Community[],5,0),0)</f>
        <v>0</v>
      </c>
      <c r="K48" s="41">
        <f>IFERROR(VLOOKUP(A48,Community[],6,0),0)</f>
        <v>108922.31999999999</v>
      </c>
      <c r="L48" s="41">
        <f>IFERROR(VLOOKUP(A48,Community[],7,0),0)</f>
        <v>0</v>
      </c>
      <c r="M48" s="41">
        <f>IFERROR(VLOOKUP(A48,Debt[],3,0),0)</f>
        <v>3834.28</v>
      </c>
      <c r="N48" s="41">
        <f>IFERROR(VLOOKUP(A48,Debt[],4,0),0)</f>
        <v>116712.83</v>
      </c>
      <c r="O48" s="41">
        <f>IFERROR(VLOOKUP(A48,Debt[],5,0),0)</f>
        <v>1350</v>
      </c>
      <c r="P48" s="41">
        <f>IFERROR(VLOOKUP(A48,Items[],3,0),0)</f>
        <v>208224.38</v>
      </c>
      <c r="Q48" s="41">
        <f>IFERROR(VLOOKUP($A48,Federal[],2,0),0)</f>
        <v>559.6</v>
      </c>
      <c r="R48" s="41">
        <f>IFERROR(VLOOKUP($A48,Federal[],4,0),0)</f>
        <v>537448.59</v>
      </c>
      <c r="S48" s="41"/>
      <c r="T48" s="47">
        <f>IFERROR(VLOOKUP($A48,Program[],3,0),0)</f>
        <v>0</v>
      </c>
      <c r="U48" s="47"/>
      <c r="V48" s="41">
        <f>IFERROR(VLOOKUP($A48,Program[],4,0),0)</f>
        <v>0</v>
      </c>
      <c r="W48" s="41">
        <f>IFERROR(VLOOKUP($A48,Program[],5,0),0)</f>
        <v>0</v>
      </c>
      <c r="X48" s="41"/>
      <c r="Y48" s="41"/>
      <c r="Z48" s="41"/>
      <c r="AA48" s="41">
        <f>IFERROR(VLOOKUP($A48,Program[],6,0),0)</f>
        <v>0</v>
      </c>
      <c r="AB48" s="41"/>
      <c r="AC48" s="41"/>
      <c r="AD48" s="41">
        <f>IFERROR(VLOOKUP($A48,Program[],7,0),0)</f>
        <v>8000</v>
      </c>
      <c r="AE48" s="41">
        <f>IFERROR(VLOOKUP($A48,Program[],8,0),0)</f>
        <v>0</v>
      </c>
      <c r="AF48" s="41">
        <f>IFERROR(VLOOKUP($A48,Program[],9,0),0)</f>
        <v>0</v>
      </c>
      <c r="AG48" s="41">
        <f>IFERROR(VLOOKUP($A48,Program[],10,0),0)</f>
        <v>0</v>
      </c>
      <c r="AH48" s="41">
        <f>IFERROR(VLOOKUP($A48,Program[],11,0),0)</f>
        <v>0</v>
      </c>
      <c r="AI48" s="41">
        <f>IFERROR(VLOOKUP($A48,Program[],12,0),0)</f>
        <v>0</v>
      </c>
      <c r="AJ48" s="41"/>
      <c r="AK48" s="41">
        <f>IFERROR(VLOOKUP($A48,Program[],13,0),0)</f>
        <v>0</v>
      </c>
      <c r="AL48" s="41"/>
      <c r="AM48" s="41"/>
      <c r="AN48" s="41"/>
      <c r="AO48" s="41"/>
      <c r="AP48" s="41"/>
      <c r="AQ48" s="41"/>
      <c r="AR48" s="41"/>
      <c r="AS48" s="41">
        <f>IFERROR(VLOOKUP($A48,Program[],14,0),0)</f>
        <v>0</v>
      </c>
      <c r="AT48" s="41"/>
      <c r="AU48" s="41"/>
      <c r="AV48" s="41">
        <f>IFERROR(VLOOKUP($A48,Program[],15,0),0)</f>
        <v>0</v>
      </c>
      <c r="AW48" s="41"/>
      <c r="AX48" s="41">
        <f>IFERROR(VLOOKUP($A48,Program[],16,0),0)</f>
        <v>0</v>
      </c>
      <c r="AY48" s="41">
        <f>IFERROR(VLOOKUP($A48,Program[],17,0),0)</f>
        <v>0</v>
      </c>
      <c r="AZ48" s="41">
        <f>IFERROR(VLOOKUP($A48,Program[],18,0),0)</f>
        <v>0</v>
      </c>
      <c r="BA48" s="41">
        <f>IFERROR(VLOOKUP($A48,Program[],19,0),0)</f>
        <v>267.83999999999997</v>
      </c>
      <c r="BB48" s="77">
        <f t="shared" si="8"/>
        <v>134489.84000000008</v>
      </c>
      <c r="BC48" s="41">
        <f>IFERROR(VLOOKUP(A48,Food[],3,0),0)</f>
        <v>679605.25000000012</v>
      </c>
      <c r="BD48" s="41">
        <f>IFERROR(VLOOKUP($A48,FoodRev[],2,0),0)</f>
        <v>82172.39</v>
      </c>
      <c r="BE48" s="41">
        <f>IFERROR(VLOOKUP($A48,FoodRev[],3,0),0)</f>
        <v>179034.89</v>
      </c>
      <c r="BF48" s="41">
        <f>IFERROR(VLOOKUP($A48,FoodRev[],4,0),0)</f>
        <v>0</v>
      </c>
      <c r="BG48" s="41">
        <f>IFERROR(VLOOKUP($A48,FoodRev[],5,0),0)</f>
        <v>251897.54</v>
      </c>
      <c r="BH48" s="41">
        <f>IFERROR(VLOOKUP($A48,FoodRev[],6,0),0)</f>
        <v>0</v>
      </c>
      <c r="BI48" s="41">
        <f>IFERROR(VLOOKUP($A48,FoodRev[],7,0),0)</f>
        <v>0</v>
      </c>
      <c r="BJ48" s="41">
        <f>IFERROR(VLOOKUP($A48,FoodRev[],8,0),0)</f>
        <v>32010.59</v>
      </c>
      <c r="BK48" s="41">
        <f>IFERROR(VLOOKUP($A48,FoodRev[],9,0),0)</f>
        <v>0</v>
      </c>
      <c r="BL48" s="41">
        <f>IFERROR(VLOOKUP($A48,FoodRev[],10,0),0)</f>
        <v>0</v>
      </c>
      <c r="BM48" s="41">
        <f t="shared" si="6"/>
        <v>545115.41</v>
      </c>
      <c r="BN48" s="42">
        <f t="shared" si="13"/>
        <v>134489.84000000008</v>
      </c>
      <c r="BO48" s="78">
        <f t="shared" si="14"/>
        <v>134489.84000000008</v>
      </c>
      <c r="BP48" s="78">
        <f t="shared" si="15"/>
        <v>0</v>
      </c>
    </row>
    <row r="49" spans="1:68" x14ac:dyDescent="0.25">
      <c r="A49" s="40" t="s">
        <v>204</v>
      </c>
      <c r="B49" s="40" t="s">
        <v>747</v>
      </c>
      <c r="D49" s="203">
        <f t="shared" si="4"/>
        <v>0</v>
      </c>
      <c r="E49" s="41">
        <f>IFERROR(VLOOKUP(A49,Items[],5,0),0)</f>
        <v>44513740.140000001</v>
      </c>
      <c r="F49" s="42">
        <f t="shared" si="5"/>
        <v>44513740.140000001</v>
      </c>
      <c r="G49" s="41">
        <v>0</v>
      </c>
      <c r="H49" s="41">
        <f>IFERROR(VLOOKUP(A49,Items[],4,0),0)</f>
        <v>47824344.939999998</v>
      </c>
      <c r="I49" s="41">
        <f>IFERROR(VLOOKUP(A49,Community[],4,0),0)</f>
        <v>0</v>
      </c>
      <c r="J49" s="41">
        <f>IFERROR(VLOOKUP(A49,Community[],5,0),0)</f>
        <v>0</v>
      </c>
      <c r="K49" s="41">
        <f>IFERROR(VLOOKUP(A49,Community[],6,0),0)</f>
        <v>357138.85</v>
      </c>
      <c r="L49" s="41">
        <f>IFERROR(VLOOKUP(A49,Community[],7,0),0)</f>
        <v>363398.29000000004</v>
      </c>
      <c r="M49" s="41">
        <f>IFERROR(VLOOKUP(A49,Debt[],3,0),0)</f>
        <v>7488.93</v>
      </c>
      <c r="N49" s="41">
        <f>IFERROR(VLOOKUP(A49,Debt[],4,0),0)</f>
        <v>97821.72</v>
      </c>
      <c r="O49" s="41">
        <f>IFERROR(VLOOKUP(A49,Debt[],5,0),0)</f>
        <v>0</v>
      </c>
      <c r="P49" s="41">
        <f>IFERROR(VLOOKUP(A49,Items[],3,0),0)</f>
        <v>40115.58</v>
      </c>
      <c r="Q49" s="41">
        <f>IFERROR(VLOOKUP($A49,Federal[],2,0),0)</f>
        <v>1230.29</v>
      </c>
      <c r="R49" s="41">
        <f>IFERROR(VLOOKUP($A49,Federal[],4,0),0)</f>
        <v>2033296.83</v>
      </c>
      <c r="S49" s="41"/>
      <c r="T49" s="47">
        <f>IFERROR(VLOOKUP($A49,Program[],3,0),0)</f>
        <v>0</v>
      </c>
      <c r="U49" s="47"/>
      <c r="V49" s="41">
        <f>IFERROR(VLOOKUP($A49,Program[],4,0),0)</f>
        <v>0</v>
      </c>
      <c r="W49" s="41">
        <f>IFERROR(VLOOKUP($A49,Program[],5,0),0)</f>
        <v>0</v>
      </c>
      <c r="X49" s="41"/>
      <c r="Y49" s="41"/>
      <c r="Z49" s="41"/>
      <c r="AA49" s="41">
        <f>IFERROR(VLOOKUP($A49,Program[],6,0),0)</f>
        <v>0</v>
      </c>
      <c r="AB49" s="41"/>
      <c r="AC49" s="41"/>
      <c r="AD49" s="41">
        <f>IFERROR(VLOOKUP($A49,Program[],7,0),0)</f>
        <v>0</v>
      </c>
      <c r="AE49" s="41">
        <f>IFERROR(VLOOKUP($A49,Program[],8,0),0)</f>
        <v>0</v>
      </c>
      <c r="AF49" s="41">
        <f>IFERROR(VLOOKUP($A49,Program[],9,0),0)</f>
        <v>0</v>
      </c>
      <c r="AG49" s="41">
        <f>IFERROR(VLOOKUP($A49,Program[],10,0),0)</f>
        <v>0</v>
      </c>
      <c r="AH49" s="41">
        <f>IFERROR(VLOOKUP($A49,Program[],11,0),0)</f>
        <v>0</v>
      </c>
      <c r="AI49" s="41">
        <f>IFERROR(VLOOKUP($A49,Program[],12,0),0)</f>
        <v>0</v>
      </c>
      <c r="AJ49" s="41"/>
      <c r="AK49" s="41">
        <f>IFERROR(VLOOKUP($A49,Program[],13,0),0)</f>
        <v>0</v>
      </c>
      <c r="AL49" s="41"/>
      <c r="AM49" s="41"/>
      <c r="AN49" s="41"/>
      <c r="AO49" s="41"/>
      <c r="AP49" s="41"/>
      <c r="AQ49" s="41"/>
      <c r="AR49" s="41"/>
      <c r="AS49" s="41">
        <f>IFERROR(VLOOKUP($A49,Program[],14,0),0)</f>
        <v>0</v>
      </c>
      <c r="AT49" s="41"/>
      <c r="AU49" s="41"/>
      <c r="AV49" s="41">
        <f>IFERROR(VLOOKUP($A49,Program[],15,0),0)</f>
        <v>0</v>
      </c>
      <c r="AW49" s="41"/>
      <c r="AX49" s="41">
        <f>IFERROR(VLOOKUP($A49,Program[],16,0),0)</f>
        <v>0</v>
      </c>
      <c r="AY49" s="41">
        <f>IFERROR(VLOOKUP($A49,Program[],17,0),0)</f>
        <v>0</v>
      </c>
      <c r="AZ49" s="41">
        <f>IFERROR(VLOOKUP($A49,Program[],18,0),0)</f>
        <v>0</v>
      </c>
      <c r="BA49" s="41">
        <f>IFERROR(VLOOKUP($A49,Program[],19,0),0)</f>
        <v>0</v>
      </c>
      <c r="BB49" s="77">
        <f t="shared" si="8"/>
        <v>190176.0399999998</v>
      </c>
      <c r="BC49" s="41">
        <f>IFERROR(VLOOKUP(A49,Food[],3,0),0)</f>
        <v>1381457.6199999999</v>
      </c>
      <c r="BD49" s="41">
        <f>IFERROR(VLOOKUP($A49,FoodRev[],2,0),0)</f>
        <v>154060.57</v>
      </c>
      <c r="BE49" s="41">
        <f>IFERROR(VLOOKUP($A49,FoodRev[],3,0),0)</f>
        <v>256053.74</v>
      </c>
      <c r="BF49" s="41">
        <f>IFERROR(VLOOKUP($A49,FoodRev[],4,0),0)</f>
        <v>0</v>
      </c>
      <c r="BG49" s="41">
        <f>IFERROR(VLOOKUP($A49,FoodRev[],5,0),0)</f>
        <v>695244.54</v>
      </c>
      <c r="BH49" s="41">
        <f>IFERROR(VLOOKUP($A49,FoodRev[],6,0),0)</f>
        <v>0</v>
      </c>
      <c r="BI49" s="41">
        <f>IFERROR(VLOOKUP($A49,FoodRev[],7,0),0)</f>
        <v>0</v>
      </c>
      <c r="BJ49" s="41">
        <f>IFERROR(VLOOKUP($A49,FoodRev[],8,0),0)</f>
        <v>85922.73</v>
      </c>
      <c r="BK49" s="41">
        <f>IFERROR(VLOOKUP($A49,FoodRev[],9,0),0)</f>
        <v>0</v>
      </c>
      <c r="BL49" s="41">
        <f>IFERROR(VLOOKUP($A49,FoodRev[],10,0),0)</f>
        <v>0</v>
      </c>
      <c r="BM49" s="41">
        <f t="shared" si="6"/>
        <v>1191281.58</v>
      </c>
      <c r="BN49" s="42">
        <f t="shared" si="13"/>
        <v>190176.0399999998</v>
      </c>
      <c r="BO49" s="78">
        <f t="shared" si="14"/>
        <v>190176.0399999998</v>
      </c>
      <c r="BP49" s="78">
        <f t="shared" si="15"/>
        <v>0</v>
      </c>
    </row>
    <row r="50" spans="1:68" x14ac:dyDescent="0.25">
      <c r="A50" s="40" t="s">
        <v>122</v>
      </c>
      <c r="B50" s="40" t="s">
        <v>748</v>
      </c>
      <c r="D50" s="203">
        <f t="shared" si="4"/>
        <v>1.4901161193847656E-8</v>
      </c>
      <c r="E50" s="41">
        <f>IFERROR(VLOOKUP(A50,Items[],5,0),0)</f>
        <v>82198282.549999997</v>
      </c>
      <c r="F50" s="42">
        <f t="shared" si="5"/>
        <v>82198282.549999982</v>
      </c>
      <c r="G50" s="41">
        <v>0</v>
      </c>
      <c r="H50" s="41">
        <f>IFERROR(VLOOKUP(A50,Items[],4,0),0)</f>
        <v>90458528.450000003</v>
      </c>
      <c r="I50" s="41">
        <f>IFERROR(VLOOKUP(A50,Community[],4,0),0)</f>
        <v>0</v>
      </c>
      <c r="J50" s="41">
        <f>IFERROR(VLOOKUP(A50,Community[],5,0),0)</f>
        <v>0</v>
      </c>
      <c r="K50" s="41">
        <f>IFERROR(VLOOKUP(A50,Community[],6,0),0)</f>
        <v>0</v>
      </c>
      <c r="L50" s="41">
        <f>IFERROR(VLOOKUP(A50,Community[],7,0),0)</f>
        <v>258110.65999999997</v>
      </c>
      <c r="M50" s="41">
        <f>IFERROR(VLOOKUP(A50,Debt[],3,0),0)</f>
        <v>3431.49</v>
      </c>
      <c r="N50" s="41">
        <f>IFERROR(VLOOKUP(A50,Debt[],4,0),0)</f>
        <v>148225.43</v>
      </c>
      <c r="O50" s="41">
        <f>IFERROR(VLOOKUP(A50,Debt[],5,0),0)</f>
        <v>0</v>
      </c>
      <c r="P50" s="41">
        <f>IFERROR(VLOOKUP(A50,Items[],3,0),0)</f>
        <v>152266.37</v>
      </c>
      <c r="Q50" s="41">
        <f>IFERROR(VLOOKUP($A50,Federal[],2,0),0)</f>
        <v>2577.69</v>
      </c>
      <c r="R50" s="41">
        <f>IFERROR(VLOOKUP($A50,Federal[],4,0),0)</f>
        <v>6813459.6799999997</v>
      </c>
      <c r="S50" s="41"/>
      <c r="T50" s="47">
        <f>IFERROR(VLOOKUP($A50,Program[],3,0),0)</f>
        <v>0</v>
      </c>
      <c r="U50" s="47"/>
      <c r="V50" s="41">
        <f>IFERROR(VLOOKUP($A50,Program[],4,0),0)</f>
        <v>0</v>
      </c>
      <c r="W50" s="41">
        <f>IFERROR(VLOOKUP($A50,Program[],5,0),0)</f>
        <v>0</v>
      </c>
      <c r="X50" s="41"/>
      <c r="Y50" s="41"/>
      <c r="Z50" s="41"/>
      <c r="AA50" s="41">
        <f>IFERROR(VLOOKUP($A50,Program[],6,0),0)</f>
        <v>0</v>
      </c>
      <c r="AB50" s="41"/>
      <c r="AC50" s="41"/>
      <c r="AD50" s="41">
        <f>IFERROR(VLOOKUP($A50,Program[],7,0),0)</f>
        <v>0</v>
      </c>
      <c r="AE50" s="41">
        <f>IFERROR(VLOOKUP($A50,Program[],8,0),0)</f>
        <v>0</v>
      </c>
      <c r="AF50" s="41">
        <f>IFERROR(VLOOKUP($A50,Program[],9,0),0)</f>
        <v>0</v>
      </c>
      <c r="AG50" s="41">
        <f>IFERROR(VLOOKUP($A50,Program[],10,0),0)</f>
        <v>0</v>
      </c>
      <c r="AH50" s="41">
        <f>IFERROR(VLOOKUP($A50,Program[],11,0),0)</f>
        <v>0</v>
      </c>
      <c r="AI50" s="41">
        <f>IFERROR(VLOOKUP($A50,Program[],12,0),0)</f>
        <v>0</v>
      </c>
      <c r="AJ50" s="41"/>
      <c r="AK50" s="41">
        <f>IFERROR(VLOOKUP($A50,Program[],13,0),0)</f>
        <v>0</v>
      </c>
      <c r="AL50" s="41"/>
      <c r="AM50" s="41"/>
      <c r="AN50" s="41"/>
      <c r="AO50" s="41"/>
      <c r="AP50" s="41"/>
      <c r="AQ50" s="41"/>
      <c r="AR50" s="41"/>
      <c r="AS50" s="41">
        <f>IFERROR(VLOOKUP($A50,Program[],14,0),0)</f>
        <v>0</v>
      </c>
      <c r="AT50" s="41"/>
      <c r="AU50" s="41"/>
      <c r="AV50" s="41">
        <f>IFERROR(VLOOKUP($A50,Program[],15,0),0)</f>
        <v>0</v>
      </c>
      <c r="AW50" s="41"/>
      <c r="AX50" s="41">
        <f>IFERROR(VLOOKUP($A50,Program[],16,0),0)</f>
        <v>0</v>
      </c>
      <c r="AY50" s="41">
        <f>IFERROR(VLOOKUP($A50,Program[],17,0),0)</f>
        <v>0</v>
      </c>
      <c r="AZ50" s="41">
        <f>IFERROR(VLOOKUP($A50,Program[],18,0),0)</f>
        <v>0</v>
      </c>
      <c r="BA50" s="41">
        <f>IFERROR(VLOOKUP($A50,Program[],19,0),0)</f>
        <v>14664.85</v>
      </c>
      <c r="BB50" s="77">
        <f t="shared" si="8"/>
        <v>216330.62999999925</v>
      </c>
      <c r="BC50" s="41">
        <f>IFERROR(VLOOKUP(A50,Food[],3,0),0)</f>
        <v>4112841.7499999995</v>
      </c>
      <c r="BD50" s="41">
        <f>IFERROR(VLOOKUP($A50,FoodRev[],2,0),0)</f>
        <v>6456.19</v>
      </c>
      <c r="BE50" s="41">
        <f>IFERROR(VLOOKUP($A50,FoodRev[],3,0),0)</f>
        <v>890383.24</v>
      </c>
      <c r="BF50" s="41">
        <f>IFERROR(VLOOKUP($A50,FoodRev[],4,0),0)</f>
        <v>0</v>
      </c>
      <c r="BG50" s="41">
        <f>IFERROR(VLOOKUP($A50,FoodRev[],5,0),0)</f>
        <v>2745532.89</v>
      </c>
      <c r="BH50" s="41">
        <f>IFERROR(VLOOKUP($A50,FoodRev[],6,0),0)</f>
        <v>0</v>
      </c>
      <c r="BI50" s="41">
        <f>IFERROR(VLOOKUP($A50,FoodRev[],7,0),0)</f>
        <v>0</v>
      </c>
      <c r="BJ50" s="41">
        <f>IFERROR(VLOOKUP($A50,FoodRev[],8,0),0)</f>
        <v>254138.8</v>
      </c>
      <c r="BK50" s="41">
        <f>IFERROR(VLOOKUP($A50,FoodRev[],9,0),0)</f>
        <v>0</v>
      </c>
      <c r="BL50" s="41">
        <f>IFERROR(VLOOKUP($A50,FoodRev[],10,0),0)</f>
        <v>0</v>
      </c>
      <c r="BM50" s="41">
        <f t="shared" si="6"/>
        <v>3896511.12</v>
      </c>
      <c r="BN50" s="42">
        <f t="shared" si="13"/>
        <v>216330.62999999925</v>
      </c>
      <c r="BO50" s="78">
        <f t="shared" si="14"/>
        <v>216330.62999999925</v>
      </c>
      <c r="BP50" s="78">
        <f t="shared" si="15"/>
        <v>0</v>
      </c>
    </row>
    <row r="51" spans="1:68" x14ac:dyDescent="0.25">
      <c r="A51" s="40" t="s">
        <v>482</v>
      </c>
      <c r="B51" s="40" t="s">
        <v>749</v>
      </c>
      <c r="D51" s="203">
        <f t="shared" si="4"/>
        <v>0</v>
      </c>
      <c r="E51" s="41">
        <f>IFERROR(VLOOKUP(A51,Items[],5,0),0)</f>
        <v>3088362.53</v>
      </c>
      <c r="F51" s="42">
        <f t="shared" si="5"/>
        <v>3088362.53</v>
      </c>
      <c r="G51" s="41">
        <v>0</v>
      </c>
      <c r="H51" s="41">
        <f>IFERROR(VLOOKUP(A51,Items[],4,0),0)</f>
        <v>4065483.81</v>
      </c>
      <c r="I51" s="41">
        <f>IFERROR(VLOOKUP(A51,Community[],4,0),0)</f>
        <v>0</v>
      </c>
      <c r="J51" s="41">
        <f>IFERROR(VLOOKUP(A51,Community[],5,0),0)</f>
        <v>531.75</v>
      </c>
      <c r="K51" s="41">
        <f>IFERROR(VLOOKUP(A51,Community[],6,0),0)</f>
        <v>183270.22999999998</v>
      </c>
      <c r="L51" s="41">
        <f>IFERROR(VLOOKUP(A51,Community[],7,0),0)</f>
        <v>333.41</v>
      </c>
      <c r="M51" s="41">
        <f>IFERROR(VLOOKUP(A51,Debt[],3,0),0)</f>
        <v>22.25</v>
      </c>
      <c r="N51" s="41">
        <f>IFERROR(VLOOKUP(A51,Debt[],4,0),0)</f>
        <v>3929.53</v>
      </c>
      <c r="O51" s="41">
        <f>IFERROR(VLOOKUP(A51,Debt[],5,0),0)</f>
        <v>0</v>
      </c>
      <c r="P51" s="41">
        <f>IFERROR(VLOOKUP(A51,Items[],3,0),0)</f>
        <v>27047.82</v>
      </c>
      <c r="Q51" s="41">
        <f>IFERROR(VLOOKUP($A51,Federal[],2,0),0)</f>
        <v>84.25</v>
      </c>
      <c r="R51" s="41">
        <f>IFERROR(VLOOKUP($A51,Federal[],4,0),0)</f>
        <v>751800.16</v>
      </c>
      <c r="S51" s="41"/>
      <c r="T51" s="47">
        <f>IFERROR(VLOOKUP($A51,Program[],3,0),0)</f>
        <v>0</v>
      </c>
      <c r="U51" s="47"/>
      <c r="V51" s="41">
        <f>IFERROR(VLOOKUP($A51,Program[],4,0),0)</f>
        <v>0</v>
      </c>
      <c r="W51" s="41">
        <f>IFERROR(VLOOKUP($A51,Program[],5,0),0)</f>
        <v>0</v>
      </c>
      <c r="X51" s="41"/>
      <c r="Y51" s="41"/>
      <c r="Z51" s="41"/>
      <c r="AA51" s="41">
        <f>IFERROR(VLOOKUP($A51,Program[],6,0),0)</f>
        <v>0</v>
      </c>
      <c r="AB51" s="41"/>
      <c r="AC51" s="41"/>
      <c r="AD51" s="41">
        <f>IFERROR(VLOOKUP($A51,Program[],7,0),0)</f>
        <v>0</v>
      </c>
      <c r="AE51" s="41">
        <f>IFERROR(VLOOKUP($A51,Program[],8,0),0)</f>
        <v>0</v>
      </c>
      <c r="AF51" s="41">
        <f>IFERROR(VLOOKUP($A51,Program[],9,0),0)</f>
        <v>0</v>
      </c>
      <c r="AG51" s="41">
        <f>IFERROR(VLOOKUP($A51,Program[],10,0),0)</f>
        <v>0</v>
      </c>
      <c r="AH51" s="41">
        <f>IFERROR(VLOOKUP($A51,Program[],11,0),0)</f>
        <v>0</v>
      </c>
      <c r="AI51" s="41">
        <f>IFERROR(VLOOKUP($A51,Program[],12,0),0)</f>
        <v>0</v>
      </c>
      <c r="AJ51" s="41"/>
      <c r="AK51" s="41">
        <f>IFERROR(VLOOKUP($A51,Program[],13,0),0)</f>
        <v>0</v>
      </c>
      <c r="AL51" s="41"/>
      <c r="AM51" s="41"/>
      <c r="AN51" s="41"/>
      <c r="AO51" s="41"/>
      <c r="AP51" s="41"/>
      <c r="AQ51" s="41"/>
      <c r="AR51" s="41"/>
      <c r="AS51" s="41">
        <f>IFERROR(VLOOKUP($A51,Program[],14,0),0)</f>
        <v>0</v>
      </c>
      <c r="AT51" s="41"/>
      <c r="AU51" s="41"/>
      <c r="AV51" s="41">
        <f>IFERROR(VLOOKUP($A51,Program[],15,0),0)</f>
        <v>0</v>
      </c>
      <c r="AW51" s="41"/>
      <c r="AX51" s="41">
        <f>IFERROR(VLOOKUP($A51,Program[],16,0),0)</f>
        <v>0</v>
      </c>
      <c r="AY51" s="41">
        <f>IFERROR(VLOOKUP($A51,Program[],17,0),0)</f>
        <v>0</v>
      </c>
      <c r="AZ51" s="41">
        <f>IFERROR(VLOOKUP($A51,Program[],18,0),0)</f>
        <v>0</v>
      </c>
      <c r="BA51" s="41">
        <f>IFERROR(VLOOKUP($A51,Program[],19,0),0)</f>
        <v>0</v>
      </c>
      <c r="BB51" s="77">
        <f t="shared" si="8"/>
        <v>34040.34000000004</v>
      </c>
      <c r="BC51" s="41">
        <f>IFERROR(VLOOKUP(A51,Food[],3,0),0)</f>
        <v>172029.17000000004</v>
      </c>
      <c r="BD51" s="41">
        <f>IFERROR(VLOOKUP($A51,FoodRev[],2,0),0)</f>
        <v>696.5</v>
      </c>
      <c r="BE51" s="41">
        <f>IFERROR(VLOOKUP($A51,FoodRev[],3,0),0)</f>
        <v>9405.3799999999992</v>
      </c>
      <c r="BF51" s="41">
        <f>IFERROR(VLOOKUP($A51,FoodRev[],4,0),0)</f>
        <v>0</v>
      </c>
      <c r="BG51" s="41">
        <f>IFERROR(VLOOKUP($A51,FoodRev[],5,0),0)</f>
        <v>120362.11</v>
      </c>
      <c r="BH51" s="41">
        <f>IFERROR(VLOOKUP($A51,FoodRev[],6,0),0)</f>
        <v>0</v>
      </c>
      <c r="BI51" s="41">
        <f>IFERROR(VLOOKUP($A51,FoodRev[],7,0),0)</f>
        <v>0</v>
      </c>
      <c r="BJ51" s="41">
        <f>IFERROR(VLOOKUP($A51,FoodRev[],8,0),0)</f>
        <v>7524.84</v>
      </c>
      <c r="BK51" s="41">
        <f>IFERROR(VLOOKUP($A51,FoodRev[],9,0),0)</f>
        <v>0</v>
      </c>
      <c r="BL51" s="41">
        <f>IFERROR(VLOOKUP($A51,FoodRev[],10,0),0)</f>
        <v>0</v>
      </c>
      <c r="BM51" s="41">
        <f t="shared" si="6"/>
        <v>137988.83000000002</v>
      </c>
      <c r="BN51" s="42">
        <f t="shared" si="13"/>
        <v>34040.34000000004</v>
      </c>
      <c r="BO51" s="78">
        <f t="shared" si="14"/>
        <v>34040.34000000004</v>
      </c>
      <c r="BP51" s="78">
        <f t="shared" si="15"/>
        <v>0</v>
      </c>
    </row>
    <row r="52" spans="1:68" x14ac:dyDescent="0.25">
      <c r="A52" s="40" t="s">
        <v>316</v>
      </c>
      <c r="B52" s="40" t="s">
        <v>750</v>
      </c>
      <c r="D52" s="203">
        <f t="shared" si="4"/>
        <v>0</v>
      </c>
      <c r="E52" s="41">
        <f>IFERROR(VLOOKUP(A52,Items[],5,0),0)</f>
        <v>11947456.619999999</v>
      </c>
      <c r="F52" s="42">
        <f t="shared" si="5"/>
        <v>11947456.619999999</v>
      </c>
      <c r="G52" s="41">
        <v>0</v>
      </c>
      <c r="H52" s="41">
        <f>IFERROR(VLOOKUP(A52,Items[],4,0),0)</f>
        <v>13888690.24</v>
      </c>
      <c r="I52" s="41">
        <f>IFERROR(VLOOKUP(A52,Community[],4,0),0)</f>
        <v>0</v>
      </c>
      <c r="J52" s="41">
        <f>IFERROR(VLOOKUP(A52,Community[],5,0),0)</f>
        <v>0</v>
      </c>
      <c r="K52" s="41">
        <f>IFERROR(VLOOKUP(A52,Community[],6,0),0)</f>
        <v>0</v>
      </c>
      <c r="L52" s="41">
        <f>IFERROR(VLOOKUP(A52,Community[],7,0),0)</f>
        <v>296</v>
      </c>
      <c r="M52" s="41">
        <f>IFERROR(VLOOKUP(A52,Debt[],3,0),0)</f>
        <v>1036.32</v>
      </c>
      <c r="N52" s="41">
        <f>IFERROR(VLOOKUP(A52,Debt[],4,0),0)</f>
        <v>21618.36</v>
      </c>
      <c r="O52" s="41">
        <f>IFERROR(VLOOKUP(A52,Debt[],5,0),0)</f>
        <v>0</v>
      </c>
      <c r="P52" s="41">
        <f>IFERROR(VLOOKUP(A52,Items[],3,0),0)</f>
        <v>182438.32</v>
      </c>
      <c r="Q52" s="41">
        <f>IFERROR(VLOOKUP($A52,Federal[],2,0),0)</f>
        <v>577.32000000000005</v>
      </c>
      <c r="R52" s="41">
        <f>IFERROR(VLOOKUP($A52,Federal[],4,0),0)</f>
        <v>1632145.78</v>
      </c>
      <c r="S52" s="41"/>
      <c r="T52" s="47">
        <f>IFERROR(VLOOKUP($A52,Program[],3,0),0)</f>
        <v>0</v>
      </c>
      <c r="U52" s="47"/>
      <c r="V52" s="41">
        <f>IFERROR(VLOOKUP($A52,Program[],4,0),0)</f>
        <v>0</v>
      </c>
      <c r="W52" s="41">
        <f>IFERROR(VLOOKUP($A52,Program[],5,0),0)</f>
        <v>0</v>
      </c>
      <c r="X52" s="41"/>
      <c r="Y52" s="41"/>
      <c r="Z52" s="41"/>
      <c r="AA52" s="41">
        <f>IFERROR(VLOOKUP($A52,Program[],6,0),0)</f>
        <v>0</v>
      </c>
      <c r="AB52" s="41"/>
      <c r="AC52" s="41"/>
      <c r="AD52" s="41">
        <f>IFERROR(VLOOKUP($A52,Program[],7,0),0)</f>
        <v>0</v>
      </c>
      <c r="AE52" s="41">
        <f>IFERROR(VLOOKUP($A52,Program[],8,0),0)</f>
        <v>0</v>
      </c>
      <c r="AF52" s="41">
        <f>IFERROR(VLOOKUP($A52,Program[],9,0),0)</f>
        <v>0</v>
      </c>
      <c r="AG52" s="41">
        <f>IFERROR(VLOOKUP($A52,Program[],10,0),0)</f>
        <v>0</v>
      </c>
      <c r="AH52" s="41">
        <f>IFERROR(VLOOKUP($A52,Program[],11,0),0)</f>
        <v>0</v>
      </c>
      <c r="AI52" s="41">
        <f>IFERROR(VLOOKUP($A52,Program[],12,0),0)</f>
        <v>0</v>
      </c>
      <c r="AJ52" s="41"/>
      <c r="AK52" s="41">
        <f>IFERROR(VLOOKUP($A52,Program[],13,0),0)</f>
        <v>0</v>
      </c>
      <c r="AL52" s="41"/>
      <c r="AM52" s="41"/>
      <c r="AN52" s="41"/>
      <c r="AO52" s="41"/>
      <c r="AP52" s="41"/>
      <c r="AQ52" s="41"/>
      <c r="AR52" s="41"/>
      <c r="AS52" s="41">
        <f>IFERROR(VLOOKUP($A52,Program[],14,0),0)</f>
        <v>0</v>
      </c>
      <c r="AT52" s="41"/>
      <c r="AU52" s="41"/>
      <c r="AV52" s="41">
        <f>IFERROR(VLOOKUP($A52,Program[],15,0),0)</f>
        <v>0</v>
      </c>
      <c r="AW52" s="41"/>
      <c r="AX52" s="41">
        <f>IFERROR(VLOOKUP($A52,Program[],16,0),0)</f>
        <v>0</v>
      </c>
      <c r="AY52" s="41">
        <f>IFERROR(VLOOKUP($A52,Program[],17,0),0)</f>
        <v>0</v>
      </c>
      <c r="AZ52" s="41">
        <f>IFERROR(VLOOKUP($A52,Program[],18,0),0)</f>
        <v>0</v>
      </c>
      <c r="BA52" s="41">
        <f>IFERROR(VLOOKUP($A52,Program[],19,0),0)</f>
        <v>0</v>
      </c>
      <c r="BB52" s="77">
        <f t="shared" si="8"/>
        <v>57458.100000000028</v>
      </c>
      <c r="BC52" s="41">
        <f>IFERROR(VLOOKUP(A52,Food[],3,0),0)</f>
        <v>717281.54</v>
      </c>
      <c r="BD52" s="41">
        <f>IFERROR(VLOOKUP($A52,FoodRev[],2,0),0)</f>
        <v>187.5</v>
      </c>
      <c r="BE52" s="41">
        <f>IFERROR(VLOOKUP($A52,FoodRev[],3,0),0)</f>
        <v>102934.02</v>
      </c>
      <c r="BF52" s="41">
        <f>IFERROR(VLOOKUP($A52,FoodRev[],4,0),0)</f>
        <v>0</v>
      </c>
      <c r="BG52" s="41">
        <f>IFERROR(VLOOKUP($A52,FoodRev[],5,0),0)</f>
        <v>498548.68</v>
      </c>
      <c r="BH52" s="41">
        <f>IFERROR(VLOOKUP($A52,FoodRev[],6,0),0)</f>
        <v>0</v>
      </c>
      <c r="BI52" s="41">
        <f>IFERROR(VLOOKUP($A52,FoodRev[],7,0),0)</f>
        <v>0</v>
      </c>
      <c r="BJ52" s="41">
        <f>IFERROR(VLOOKUP($A52,FoodRev[],8,0),0)</f>
        <v>58153.24</v>
      </c>
      <c r="BK52" s="41">
        <f>IFERROR(VLOOKUP($A52,FoodRev[],9,0),0)</f>
        <v>0</v>
      </c>
      <c r="BL52" s="41">
        <f>IFERROR(VLOOKUP($A52,FoodRev[],10,0),0)</f>
        <v>0</v>
      </c>
      <c r="BM52" s="41">
        <f t="shared" si="6"/>
        <v>659823.43999999994</v>
      </c>
      <c r="BN52" s="42">
        <f t="shared" si="13"/>
        <v>57458.100000000028</v>
      </c>
      <c r="BO52" s="78">
        <f t="shared" si="14"/>
        <v>57458.100000000028</v>
      </c>
      <c r="BP52" s="78">
        <f t="shared" si="15"/>
        <v>0</v>
      </c>
    </row>
    <row r="53" spans="1:68" x14ac:dyDescent="0.25">
      <c r="A53" s="40" t="s">
        <v>594</v>
      </c>
      <c r="B53" s="40" t="s">
        <v>751</v>
      </c>
      <c r="D53" s="203">
        <f t="shared" si="4"/>
        <v>-1.1641532182693481E-10</v>
      </c>
      <c r="E53" s="41">
        <f>IFERROR(VLOOKUP(A53,Items[],5,0),0)</f>
        <v>874290.75</v>
      </c>
      <c r="F53" s="42">
        <f t="shared" si="5"/>
        <v>874290.75000000012</v>
      </c>
      <c r="G53" s="41">
        <v>0</v>
      </c>
      <c r="H53" s="41">
        <f>IFERROR(VLOOKUP(A53,Items[],4,0),0)</f>
        <v>1004911.54</v>
      </c>
      <c r="I53" s="41">
        <f>IFERROR(VLOOKUP(A53,Community[],4,0),0)</f>
        <v>0</v>
      </c>
      <c r="J53" s="41">
        <f>IFERROR(VLOOKUP(A53,Community[],5,0),0)</f>
        <v>0</v>
      </c>
      <c r="K53" s="41">
        <f>IFERROR(VLOOKUP(A53,Community[],6,0),0)</f>
        <v>0</v>
      </c>
      <c r="L53" s="41">
        <f>IFERROR(VLOOKUP(A53,Community[],7,0),0)</f>
        <v>0</v>
      </c>
      <c r="M53" s="41">
        <f>IFERROR(VLOOKUP(A53,Debt[],3,0),0)</f>
        <v>9.94</v>
      </c>
      <c r="N53" s="41">
        <f>IFERROR(VLOOKUP(A53,Debt[],4,0),0)</f>
        <v>1197.32</v>
      </c>
      <c r="O53" s="41">
        <f>IFERROR(VLOOKUP(A53,Debt[],5,0),0)</f>
        <v>0</v>
      </c>
      <c r="P53" s="41">
        <f>IFERROR(VLOOKUP(A53,Items[],3,0),0)</f>
        <v>6085.28</v>
      </c>
      <c r="Q53" s="41">
        <f>IFERROR(VLOOKUP($A53,Federal[],2,0),0)</f>
        <v>22.63</v>
      </c>
      <c r="R53" s="41">
        <f>IFERROR(VLOOKUP($A53,Federal[],4,0),0)</f>
        <v>122254.58</v>
      </c>
      <c r="S53" s="41"/>
      <c r="T53" s="47">
        <f>IFERROR(VLOOKUP($A53,Program[],3,0),0)</f>
        <v>0</v>
      </c>
      <c r="U53" s="47"/>
      <c r="V53" s="41">
        <f>IFERROR(VLOOKUP($A53,Program[],4,0),0)</f>
        <v>0</v>
      </c>
      <c r="W53" s="41">
        <f>IFERROR(VLOOKUP($A53,Program[],5,0),0)</f>
        <v>0</v>
      </c>
      <c r="X53" s="41"/>
      <c r="Y53" s="41"/>
      <c r="Z53" s="41"/>
      <c r="AA53" s="41">
        <f>IFERROR(VLOOKUP($A53,Program[],6,0),0)</f>
        <v>0</v>
      </c>
      <c r="AB53" s="41"/>
      <c r="AC53" s="41"/>
      <c r="AD53" s="41">
        <f>IFERROR(VLOOKUP($A53,Program[],7,0),0)</f>
        <v>0</v>
      </c>
      <c r="AE53" s="41">
        <f>IFERROR(VLOOKUP($A53,Program[],8,0),0)</f>
        <v>0</v>
      </c>
      <c r="AF53" s="41">
        <f>IFERROR(VLOOKUP($A53,Program[],9,0),0)</f>
        <v>0</v>
      </c>
      <c r="AG53" s="41">
        <f>IFERROR(VLOOKUP($A53,Program[],10,0),0)</f>
        <v>0</v>
      </c>
      <c r="AH53" s="41">
        <f>IFERROR(VLOOKUP($A53,Program[],11,0),0)</f>
        <v>0</v>
      </c>
      <c r="AI53" s="41">
        <f>IFERROR(VLOOKUP($A53,Program[],12,0),0)</f>
        <v>0</v>
      </c>
      <c r="AJ53" s="41"/>
      <c r="AK53" s="41">
        <f>IFERROR(VLOOKUP($A53,Program[],13,0),0)</f>
        <v>0</v>
      </c>
      <c r="AL53" s="41"/>
      <c r="AM53" s="41"/>
      <c r="AN53" s="41"/>
      <c r="AO53" s="41"/>
      <c r="AP53" s="41"/>
      <c r="AQ53" s="41"/>
      <c r="AR53" s="41"/>
      <c r="AS53" s="41">
        <f>IFERROR(VLOOKUP($A53,Program[],14,0),0)</f>
        <v>0</v>
      </c>
      <c r="AT53" s="41"/>
      <c r="AU53" s="41"/>
      <c r="AV53" s="41">
        <f>IFERROR(VLOOKUP($A53,Program[],15,0),0)</f>
        <v>0</v>
      </c>
      <c r="AW53" s="41"/>
      <c r="AX53" s="41">
        <f>IFERROR(VLOOKUP($A53,Program[],16,0),0)</f>
        <v>0</v>
      </c>
      <c r="AY53" s="41">
        <f>IFERROR(VLOOKUP($A53,Program[],17,0),0)</f>
        <v>0</v>
      </c>
      <c r="AZ53" s="41">
        <f>IFERROR(VLOOKUP($A53,Program[],18,0),0)</f>
        <v>0</v>
      </c>
      <c r="BA53" s="41">
        <f>IFERROR(VLOOKUP($A53,Program[],19,0),0)</f>
        <v>0</v>
      </c>
      <c r="BB53" s="77">
        <f t="shared" si="8"/>
        <v>12953.339999999997</v>
      </c>
      <c r="BC53" s="41">
        <f>IFERROR(VLOOKUP(A53,Food[],3,0),0)</f>
        <v>41701.519999999997</v>
      </c>
      <c r="BD53" s="41">
        <f>IFERROR(VLOOKUP($A53,FoodRev[],2,0),0)</f>
        <v>0</v>
      </c>
      <c r="BE53" s="41">
        <f>IFERROR(VLOOKUP($A53,FoodRev[],3,0),0)</f>
        <v>1051.04</v>
      </c>
      <c r="BF53" s="41">
        <f>IFERROR(VLOOKUP($A53,FoodRev[],4,0),0)</f>
        <v>0</v>
      </c>
      <c r="BG53" s="41">
        <f>IFERROR(VLOOKUP($A53,FoodRev[],5,0),0)</f>
        <v>27697.14</v>
      </c>
      <c r="BH53" s="41">
        <f>IFERROR(VLOOKUP($A53,FoodRev[],6,0),0)</f>
        <v>0</v>
      </c>
      <c r="BI53" s="41">
        <f>IFERROR(VLOOKUP($A53,FoodRev[],7,0),0)</f>
        <v>0</v>
      </c>
      <c r="BJ53" s="41">
        <f>IFERROR(VLOOKUP($A53,FoodRev[],8,0),0)</f>
        <v>0</v>
      </c>
      <c r="BK53" s="41">
        <f>IFERROR(VLOOKUP($A53,FoodRev[],9,0),0)</f>
        <v>0</v>
      </c>
      <c r="BL53" s="41">
        <f>IFERROR(VLOOKUP($A53,FoodRev[],10,0),0)</f>
        <v>0</v>
      </c>
      <c r="BM53" s="41">
        <f t="shared" si="6"/>
        <v>28748.18</v>
      </c>
      <c r="BN53" s="42">
        <f t="shared" si="13"/>
        <v>12953.339999999997</v>
      </c>
      <c r="BO53" s="78">
        <f t="shared" si="14"/>
        <v>12953.339999999997</v>
      </c>
      <c r="BP53" s="78">
        <f t="shared" si="15"/>
        <v>0</v>
      </c>
    </row>
    <row r="54" spans="1:68" x14ac:dyDescent="0.25">
      <c r="A54" s="40" t="s">
        <v>102</v>
      </c>
      <c r="B54" s="40" t="s">
        <v>752</v>
      </c>
      <c r="D54" s="203">
        <f>SUM(E54-F54)</f>
        <v>-1.4901161193847656E-8</v>
      </c>
      <c r="E54" s="41">
        <f>IFERROR(VLOOKUP(A54,Items[],5,0),0)</f>
        <v>93654658.099999994</v>
      </c>
      <c r="F54" s="42">
        <f>H54-I54-J54-K54-L54-M54-N54-O54-P54-Q54-R54-S54+T54+U54+V54+W54+X54+Y54+Z54+AA54+AB54+AC54+AD54+AE54+AF54+AG54+AH54+AI54+AJ54+AK54+AL54+AM54+AN54+AO54+AP54+AQ54+AR54+AS54+AT54+AU54+AV54+AW54+AX54+AY54+AZ54+BA54+BB54-BC54+BG54+BH54+BI54+BJ54+G54</f>
        <v>93654658.100000009</v>
      </c>
      <c r="G54" s="41">
        <v>0</v>
      </c>
      <c r="H54" s="41">
        <f>IFERROR(VLOOKUP(A54,Items[],4,0),0)</f>
        <v>102900252.37</v>
      </c>
      <c r="I54" s="41">
        <f>IFERROR(VLOOKUP(A54,Community[],4,0),0)</f>
        <v>0</v>
      </c>
      <c r="J54" s="41">
        <f>IFERROR(VLOOKUP(A54,Community[],5,0),0)</f>
        <v>0</v>
      </c>
      <c r="K54" s="41">
        <f>IFERROR(VLOOKUP(A54,Community[],6,0),0)</f>
        <v>494441.69</v>
      </c>
      <c r="L54" s="41">
        <f>IFERROR(VLOOKUP(A54,Community[],7,0),0)</f>
        <v>65654.91</v>
      </c>
      <c r="M54" s="41">
        <f>IFERROR(VLOOKUP(A54,Debt[],3,0),0)</f>
        <v>37170.78</v>
      </c>
      <c r="N54" s="41">
        <f>IFERROR(VLOOKUP(A54,Debt[],4,0),0)</f>
        <v>92445.96</v>
      </c>
      <c r="O54" s="41">
        <f>IFERROR(VLOOKUP(A54,Debt[],5,0),0)</f>
        <v>0</v>
      </c>
      <c r="P54" s="41">
        <f>IFERROR(VLOOKUP(A54,Items[],3,0),0)</f>
        <v>506932.04</v>
      </c>
      <c r="Q54" s="41">
        <f>IFERROR(VLOOKUP($A54,Federal[],2,0),0)</f>
        <v>4560.09</v>
      </c>
      <c r="R54" s="41">
        <f>IFERROR(VLOOKUP($A54,Federal[],4,0),0)</f>
        <v>7604447.0899999999</v>
      </c>
      <c r="S54" s="41"/>
      <c r="T54" s="47">
        <f>IFERROR(VLOOKUP($A54,Program[],3,0),0)</f>
        <v>0</v>
      </c>
      <c r="U54" s="47"/>
      <c r="V54" s="41">
        <f>IFERROR(VLOOKUP($A54,Program[],4,0),0)</f>
        <v>0</v>
      </c>
      <c r="W54" s="41">
        <f>IFERROR(VLOOKUP($A54,Program[],5,0),0)</f>
        <v>0</v>
      </c>
      <c r="X54" s="41"/>
      <c r="Y54" s="41"/>
      <c r="Z54" s="41"/>
      <c r="AA54" s="41">
        <f>IFERROR(VLOOKUP($A54,Program[],6,0),0)</f>
        <v>0</v>
      </c>
      <c r="AB54" s="41"/>
      <c r="AC54" s="41"/>
      <c r="AD54" s="41">
        <f>IFERROR(VLOOKUP($A54,Program[],7,0),0)</f>
        <v>0</v>
      </c>
      <c r="AE54" s="41">
        <f>IFERROR(VLOOKUP($A54,Program[],8,0),0)</f>
        <v>0</v>
      </c>
      <c r="AF54" s="41">
        <f>IFERROR(VLOOKUP($A54,Program[],9,0),0)</f>
        <v>0</v>
      </c>
      <c r="AG54" s="41">
        <f>IFERROR(VLOOKUP($A54,Program[],10,0),0)</f>
        <v>0</v>
      </c>
      <c r="AH54" s="41">
        <f>IFERROR(VLOOKUP($A54,Program[],11,0),0)</f>
        <v>0</v>
      </c>
      <c r="AI54" s="41">
        <f>IFERROR(VLOOKUP($A54,Program[],12,0),0)</f>
        <v>0</v>
      </c>
      <c r="AJ54" s="41"/>
      <c r="AK54" s="41">
        <f>IFERROR(VLOOKUP($A54,Program[],13,0),0)</f>
        <v>0</v>
      </c>
      <c r="AL54" s="41"/>
      <c r="AM54" s="41"/>
      <c r="AN54" s="41"/>
      <c r="AO54" s="41"/>
      <c r="AP54" s="41"/>
      <c r="AQ54" s="41"/>
      <c r="AR54" s="41"/>
      <c r="AS54" s="41">
        <f>IFERROR(VLOOKUP($A54,Program[],14,0),0)</f>
        <v>0</v>
      </c>
      <c r="AT54" s="41"/>
      <c r="AU54" s="41"/>
      <c r="AV54" s="41">
        <f>IFERROR(VLOOKUP($A54,Program[],15,0),0)</f>
        <v>0</v>
      </c>
      <c r="AW54" s="41"/>
      <c r="AX54" s="41">
        <f>IFERROR(VLOOKUP($A54,Program[],16,0),0)</f>
        <v>0</v>
      </c>
      <c r="AY54" s="41">
        <f>IFERROR(VLOOKUP($A54,Program[],17,0),0)</f>
        <v>0</v>
      </c>
      <c r="AZ54" s="41">
        <f>IFERROR(VLOOKUP($A54,Program[],18,0),0)</f>
        <v>0</v>
      </c>
      <c r="BA54" s="41">
        <f>IFERROR(VLOOKUP($A54,Program[],19,0),0)</f>
        <v>0</v>
      </c>
      <c r="BB54" s="77">
        <f t="shared" si="8"/>
        <v>0</v>
      </c>
      <c r="BC54" s="41">
        <f>IFERROR(VLOOKUP(A54,Food[],3,0),0)</f>
        <v>3645372.49</v>
      </c>
      <c r="BD54" s="41">
        <f>IFERROR(VLOOKUP($A54,FoodRev[],2,0),0)</f>
        <v>1866.14</v>
      </c>
      <c r="BE54" s="41">
        <f>IFERROR(VLOOKUP($A54,FoodRev[],3,0),0)</f>
        <v>882426.18</v>
      </c>
      <c r="BF54" s="41">
        <f>IFERROR(VLOOKUP($A54,FoodRev[],4,0),0)</f>
        <v>0</v>
      </c>
      <c r="BG54" s="41">
        <f>IFERROR(VLOOKUP($A54,FoodRev[],5,0),0)</f>
        <v>3025653.22</v>
      </c>
      <c r="BH54" s="41">
        <f>IFERROR(VLOOKUP($A54,FoodRev[],6,0),0)</f>
        <v>0</v>
      </c>
      <c r="BI54" s="41">
        <f>IFERROR(VLOOKUP($A54,FoodRev[],7,0),0)</f>
        <v>0</v>
      </c>
      <c r="BJ54" s="41">
        <f>IFERROR(VLOOKUP($A54,FoodRev[],8,0),0)</f>
        <v>179777.56</v>
      </c>
      <c r="BK54" s="41">
        <f>IFERROR(VLOOKUP($A54,FoodRev[],9,0),0)</f>
        <v>0</v>
      </c>
      <c r="BL54" s="41">
        <f>IFERROR(VLOOKUP($A54,FoodRev[],10,0),0)</f>
        <v>0</v>
      </c>
      <c r="BM54" s="41">
        <f t="shared" si="6"/>
        <v>4089723.1</v>
      </c>
      <c r="BN54" s="42">
        <f t="shared" si="13"/>
        <v>-444350.61000000028</v>
      </c>
      <c r="BO54" s="78">
        <f t="shared" si="14"/>
        <v>0</v>
      </c>
      <c r="BP54" s="78">
        <f t="shared" si="15"/>
        <v>-444350.61000000028</v>
      </c>
    </row>
    <row r="55" spans="1:68" x14ac:dyDescent="0.25">
      <c r="A55" s="40" t="s">
        <v>524</v>
      </c>
      <c r="B55" s="40" t="s">
        <v>753</v>
      </c>
      <c r="D55" s="203">
        <f>SUM(E55-F55)</f>
        <v>4.6566128730773926E-10</v>
      </c>
      <c r="E55" s="41">
        <f>IFERROR(VLOOKUP(A55,Items[],5,0),0)</f>
        <v>3126307.7</v>
      </c>
      <c r="F55" s="42">
        <f>H55-I55-J55-K55-L55-M55-N55-O55-P55-Q55-R55-S55+T55+U55+V55+W55+X55+Y55+Z55+AA55+AB55+AC55+AD55+AE55+AF55+AG55+AH55+AI55+AJ55+AK55+AL55+AM55+AN55+AO55+AP55+AQ55+AR55+AS55+AT55+AU55+AV55+AW55+AX55+AY55+AZ55+BA55+BB55-BC55+BG55+BH55+BI55+BJ55+G55</f>
        <v>3126307.6999999997</v>
      </c>
      <c r="G55" s="41">
        <v>0</v>
      </c>
      <c r="H55" s="41">
        <f>IFERROR(VLOOKUP(A55,Items[],4,0),0)</f>
        <v>3438498.77</v>
      </c>
      <c r="I55" s="41">
        <f>IFERROR(VLOOKUP(A55,Community[],4,0),0)</f>
        <v>0</v>
      </c>
      <c r="J55" s="41">
        <f>IFERROR(VLOOKUP(A55,Community[],5,0),0)</f>
        <v>0</v>
      </c>
      <c r="K55" s="41">
        <f>IFERROR(VLOOKUP(A55,Community[],6,0),0)</f>
        <v>0</v>
      </c>
      <c r="L55" s="41">
        <f>IFERROR(VLOOKUP(A55,Community[],7,0),0)</f>
        <v>0</v>
      </c>
      <c r="M55" s="41">
        <f>IFERROR(VLOOKUP(A55,Debt[],3,0),0)</f>
        <v>0</v>
      </c>
      <c r="N55" s="41">
        <f>IFERROR(VLOOKUP(A55,Debt[],4,0),0)</f>
        <v>0</v>
      </c>
      <c r="O55" s="41">
        <f>IFERROR(VLOOKUP(A55,Debt[],5,0),0)</f>
        <v>0</v>
      </c>
      <c r="P55" s="41">
        <f>IFERROR(VLOOKUP(A55,Items[],3,0),0)</f>
        <v>115249.86</v>
      </c>
      <c r="Q55" s="41">
        <f>IFERROR(VLOOKUP($A55,Federal[],2,0),0)</f>
        <v>0</v>
      </c>
      <c r="R55" s="41">
        <f>IFERROR(VLOOKUP($A55,Federal[],4,0),0)</f>
        <v>168460.06</v>
      </c>
      <c r="S55" s="41"/>
      <c r="T55" s="47">
        <f>IFERROR(VLOOKUP($A55,Program[],3,0),0)</f>
        <v>0</v>
      </c>
      <c r="U55" s="47"/>
      <c r="V55" s="41">
        <f>IFERROR(VLOOKUP($A55,Program[],4,0),0)</f>
        <v>0</v>
      </c>
      <c r="W55" s="41">
        <f>IFERROR(VLOOKUP($A55,Program[],5,0),0)</f>
        <v>0</v>
      </c>
      <c r="X55" s="41"/>
      <c r="Y55" s="41"/>
      <c r="Z55" s="41"/>
      <c r="AA55" s="41">
        <f>IFERROR(VLOOKUP($A55,Program[],6,0),0)</f>
        <v>0</v>
      </c>
      <c r="AB55" s="41"/>
      <c r="AC55" s="41"/>
      <c r="AD55" s="41">
        <f>IFERROR(VLOOKUP($A55,Program[],7,0),0)</f>
        <v>0</v>
      </c>
      <c r="AE55" s="41">
        <f>IFERROR(VLOOKUP($A55,Program[],8,0),0)</f>
        <v>0</v>
      </c>
      <c r="AF55" s="41">
        <f>IFERROR(VLOOKUP($A55,Program[],9,0),0)</f>
        <v>0</v>
      </c>
      <c r="AG55" s="41">
        <f>IFERROR(VLOOKUP($A55,Program[],10,0),0)</f>
        <v>0</v>
      </c>
      <c r="AH55" s="41">
        <f>IFERROR(VLOOKUP($A55,Program[],11,0),0)</f>
        <v>0</v>
      </c>
      <c r="AI55" s="41">
        <f>IFERROR(VLOOKUP($A55,Program[],12,0),0)</f>
        <v>0</v>
      </c>
      <c r="AJ55" s="41"/>
      <c r="AK55" s="41">
        <f>IFERROR(VLOOKUP($A55,Program[],13,0),0)</f>
        <v>0</v>
      </c>
      <c r="AL55" s="41"/>
      <c r="AM55" s="41"/>
      <c r="AN55" s="41"/>
      <c r="AO55" s="41"/>
      <c r="AP55" s="41"/>
      <c r="AQ55" s="41"/>
      <c r="AR55" s="41"/>
      <c r="AS55" s="41">
        <f>IFERROR(VLOOKUP($A55,Program[],14,0),0)</f>
        <v>0</v>
      </c>
      <c r="AT55" s="41"/>
      <c r="AU55" s="41"/>
      <c r="AV55" s="41">
        <f>IFERROR(VLOOKUP($A55,Program[],15,0),0)</f>
        <v>0</v>
      </c>
      <c r="AW55" s="41"/>
      <c r="AX55" s="41">
        <f>IFERROR(VLOOKUP($A55,Program[],16,0),0)</f>
        <v>0</v>
      </c>
      <c r="AY55" s="41">
        <f>IFERROR(VLOOKUP($A55,Program[],17,0),0)</f>
        <v>0</v>
      </c>
      <c r="AZ55" s="41">
        <f>IFERROR(VLOOKUP($A55,Program[],18,0),0)</f>
        <v>0</v>
      </c>
      <c r="BA55" s="41">
        <f>IFERROR(VLOOKUP($A55,Program[],19,0),0)</f>
        <v>0</v>
      </c>
      <c r="BB55" s="77">
        <f t="shared" si="8"/>
        <v>62999.59</v>
      </c>
      <c r="BC55" s="41">
        <f>IFERROR(VLOOKUP(A55,Food[],3,0),0)</f>
        <v>141552.47</v>
      </c>
      <c r="BD55" s="41">
        <f>IFERROR(VLOOKUP($A55,FoodRev[],2,0),0)</f>
        <v>2782.92</v>
      </c>
      <c r="BE55" s="41">
        <f>IFERROR(VLOOKUP($A55,FoodRev[],3,0),0)</f>
        <v>25698.23</v>
      </c>
      <c r="BF55" s="41">
        <f>IFERROR(VLOOKUP($A55,FoodRev[],4,0),0)</f>
        <v>0</v>
      </c>
      <c r="BG55" s="41">
        <f>IFERROR(VLOOKUP($A55,FoodRev[],5,0),0)</f>
        <v>46932.26</v>
      </c>
      <c r="BH55" s="41">
        <f>IFERROR(VLOOKUP($A55,FoodRev[],6,0),0)</f>
        <v>0</v>
      </c>
      <c r="BI55" s="41">
        <f>IFERROR(VLOOKUP($A55,FoodRev[],7,0),0)</f>
        <v>0</v>
      </c>
      <c r="BJ55" s="41">
        <f>IFERROR(VLOOKUP($A55,FoodRev[],8,0),0)</f>
        <v>3139.47</v>
      </c>
      <c r="BK55" s="41">
        <f>IFERROR(VLOOKUP($A55,FoodRev[],9,0),0)</f>
        <v>0</v>
      </c>
      <c r="BL55" s="41">
        <f>IFERROR(VLOOKUP($A55,FoodRev[],10,0),0)</f>
        <v>0</v>
      </c>
      <c r="BM55" s="41">
        <f t="shared" si="6"/>
        <v>78552.88</v>
      </c>
      <c r="BN55" s="42">
        <f t="shared" si="13"/>
        <v>62999.59</v>
      </c>
      <c r="BO55" s="78">
        <f t="shared" si="14"/>
        <v>62999.59</v>
      </c>
      <c r="BP55" s="78">
        <f t="shared" si="15"/>
        <v>0</v>
      </c>
    </row>
    <row r="56" spans="1:68" x14ac:dyDescent="0.25">
      <c r="A56" s="40" t="s">
        <v>432</v>
      </c>
      <c r="B56" s="40" t="s">
        <v>754</v>
      </c>
      <c r="D56" s="203">
        <f t="shared" si="4"/>
        <v>-9.3132257461547852E-10</v>
      </c>
      <c r="E56" s="41">
        <f>IFERROR(VLOOKUP(A56,Items[],5,0),0)</f>
        <v>5443226.6500000004</v>
      </c>
      <c r="F56" s="42">
        <f t="shared" si="5"/>
        <v>5443226.6500000013</v>
      </c>
      <c r="G56" s="41">
        <v>0</v>
      </c>
      <c r="H56" s="41">
        <f>IFERROR(VLOOKUP(A56,Items[],4,0),0)</f>
        <v>6024860.3200000003</v>
      </c>
      <c r="I56" s="41">
        <f>IFERROR(VLOOKUP(A56,Community[],4,0),0)</f>
        <v>0</v>
      </c>
      <c r="J56" s="41">
        <f>IFERROR(VLOOKUP(A56,Community[],5,0),0)</f>
        <v>0</v>
      </c>
      <c r="K56" s="41">
        <f>IFERROR(VLOOKUP(A56,Community[],6,0),0)</f>
        <v>0</v>
      </c>
      <c r="L56" s="41">
        <f>IFERROR(VLOOKUP(A56,Community[],7,0),0)</f>
        <v>0</v>
      </c>
      <c r="M56" s="41">
        <f>IFERROR(VLOOKUP(A56,Debt[],3,0),0)</f>
        <v>753.67</v>
      </c>
      <c r="N56" s="41">
        <f>IFERROR(VLOOKUP(A56,Debt[],4,0),0)</f>
        <v>9312.4500000000007</v>
      </c>
      <c r="O56" s="41">
        <f>IFERROR(VLOOKUP(A56,Debt[],5,0),0)</f>
        <v>0</v>
      </c>
      <c r="P56" s="41">
        <f>IFERROR(VLOOKUP(A56,Items[],3,0),0)</f>
        <v>102513.5</v>
      </c>
      <c r="Q56" s="41">
        <f>IFERROR(VLOOKUP($A56,Federal[],2,0),0)</f>
        <v>199.56</v>
      </c>
      <c r="R56" s="41">
        <f>IFERROR(VLOOKUP($A56,Federal[],4,0),0)</f>
        <v>457977.43</v>
      </c>
      <c r="S56" s="41"/>
      <c r="T56" s="47">
        <f>IFERROR(VLOOKUP($A56,Program[],3,0),0)</f>
        <v>0</v>
      </c>
      <c r="U56" s="47"/>
      <c r="V56" s="41">
        <f>IFERROR(VLOOKUP($A56,Program[],4,0),0)</f>
        <v>0</v>
      </c>
      <c r="W56" s="41">
        <f>IFERROR(VLOOKUP($A56,Program[],5,0),0)</f>
        <v>0</v>
      </c>
      <c r="X56" s="41"/>
      <c r="Y56" s="41"/>
      <c r="Z56" s="41"/>
      <c r="AA56" s="41">
        <f>IFERROR(VLOOKUP($A56,Program[],6,0),0)</f>
        <v>0</v>
      </c>
      <c r="AB56" s="41"/>
      <c r="AC56" s="41"/>
      <c r="AD56" s="41">
        <f>IFERROR(VLOOKUP($A56,Program[],7,0),0)</f>
        <v>0</v>
      </c>
      <c r="AE56" s="41">
        <f>IFERROR(VLOOKUP($A56,Program[],8,0),0)</f>
        <v>0</v>
      </c>
      <c r="AF56" s="41">
        <f>IFERROR(VLOOKUP($A56,Program[],9,0),0)</f>
        <v>0</v>
      </c>
      <c r="AG56" s="41">
        <f>IFERROR(VLOOKUP($A56,Program[],10,0),0)</f>
        <v>0</v>
      </c>
      <c r="AH56" s="41">
        <f>IFERROR(VLOOKUP($A56,Program[],11,0),0)</f>
        <v>0</v>
      </c>
      <c r="AI56" s="41">
        <f>IFERROR(VLOOKUP($A56,Program[],12,0),0)</f>
        <v>0</v>
      </c>
      <c r="AJ56" s="41"/>
      <c r="AK56" s="41">
        <f>IFERROR(VLOOKUP($A56,Program[],13,0),0)</f>
        <v>0</v>
      </c>
      <c r="AL56" s="41"/>
      <c r="AM56" s="41"/>
      <c r="AN56" s="41"/>
      <c r="AO56" s="41"/>
      <c r="AP56" s="41"/>
      <c r="AQ56" s="41"/>
      <c r="AR56" s="41"/>
      <c r="AS56" s="41">
        <f>IFERROR(VLOOKUP($A56,Program[],14,0),0)</f>
        <v>0</v>
      </c>
      <c r="AT56" s="41"/>
      <c r="AU56" s="41"/>
      <c r="AV56" s="41">
        <f>IFERROR(VLOOKUP($A56,Program[],15,0),0)</f>
        <v>0</v>
      </c>
      <c r="AW56" s="41"/>
      <c r="AX56" s="41">
        <f>IFERROR(VLOOKUP($A56,Program[],16,0),0)</f>
        <v>0</v>
      </c>
      <c r="AY56" s="41">
        <f>IFERROR(VLOOKUP($A56,Program[],17,0),0)</f>
        <v>0</v>
      </c>
      <c r="AZ56" s="41">
        <f>IFERROR(VLOOKUP($A56,Program[],18,0),0)</f>
        <v>0</v>
      </c>
      <c r="BA56" s="41">
        <f>IFERROR(VLOOKUP($A56,Program[],19,0),0)</f>
        <v>49757.75</v>
      </c>
      <c r="BB56" s="77">
        <f t="shared" si="8"/>
        <v>52511.019999999931</v>
      </c>
      <c r="BC56" s="41">
        <f>IFERROR(VLOOKUP(A56,Food[],3,0),0)</f>
        <v>333332.87999999995</v>
      </c>
      <c r="BD56" s="41">
        <f>IFERROR(VLOOKUP($A56,FoodRev[],2,0),0)</f>
        <v>1049.55</v>
      </c>
      <c r="BE56" s="41">
        <f>IFERROR(VLOOKUP($A56,FoodRev[],3,0),0)</f>
        <v>59585.26</v>
      </c>
      <c r="BF56" s="41">
        <f>IFERROR(VLOOKUP($A56,FoodRev[],4,0),0)</f>
        <v>0</v>
      </c>
      <c r="BG56" s="41">
        <f>IFERROR(VLOOKUP($A56,FoodRev[],5,0),0)</f>
        <v>84688.2</v>
      </c>
      <c r="BH56" s="41">
        <f>IFERROR(VLOOKUP($A56,FoodRev[],6,0),0)</f>
        <v>122090.07</v>
      </c>
      <c r="BI56" s="41">
        <f>IFERROR(VLOOKUP($A56,FoodRev[],7,0),0)</f>
        <v>0</v>
      </c>
      <c r="BJ56" s="41">
        <f>IFERROR(VLOOKUP($A56,FoodRev[],8,0),0)</f>
        <v>13408.78</v>
      </c>
      <c r="BK56" s="41">
        <f>IFERROR(VLOOKUP($A56,FoodRev[],9,0),0)</f>
        <v>0</v>
      </c>
      <c r="BL56" s="41">
        <f>IFERROR(VLOOKUP($A56,FoodRev[],10,0),0)</f>
        <v>0</v>
      </c>
      <c r="BM56" s="41">
        <f t="shared" si="6"/>
        <v>280821.86000000004</v>
      </c>
      <c r="BN56" s="42">
        <f t="shared" si="13"/>
        <v>52511.019999999931</v>
      </c>
      <c r="BO56" s="78">
        <f t="shared" si="14"/>
        <v>52511.019999999931</v>
      </c>
      <c r="BP56" s="78">
        <f t="shared" si="15"/>
        <v>0</v>
      </c>
    </row>
    <row r="57" spans="1:68" x14ac:dyDescent="0.25">
      <c r="A57" s="40" t="s">
        <v>588</v>
      </c>
      <c r="B57" s="40" t="s">
        <v>755</v>
      </c>
      <c r="D57" s="203">
        <f t="shared" si="4"/>
        <v>-2.3283064365386963E-10</v>
      </c>
      <c r="E57" s="41">
        <f>IFERROR(VLOOKUP(A57,Items[],5,0),0)</f>
        <v>1048938.6100000001</v>
      </c>
      <c r="F57" s="42">
        <f t="shared" si="5"/>
        <v>1048938.6100000003</v>
      </c>
      <c r="G57" s="41">
        <v>0</v>
      </c>
      <c r="H57" s="41">
        <f>IFERROR(VLOOKUP(A57,Items[],4,0),0)</f>
        <v>1799333.36</v>
      </c>
      <c r="I57" s="41">
        <f>IFERROR(VLOOKUP(A57,Community[],4,0),0)</f>
        <v>0</v>
      </c>
      <c r="J57" s="41">
        <f>IFERROR(VLOOKUP(A57,Community[],5,0),0)</f>
        <v>0</v>
      </c>
      <c r="K57" s="41">
        <f>IFERROR(VLOOKUP(A57,Community[],6,0),0)</f>
        <v>0</v>
      </c>
      <c r="L57" s="41">
        <f>IFERROR(VLOOKUP(A57,Community[],7,0),0)</f>
        <v>0</v>
      </c>
      <c r="M57" s="41">
        <f>IFERROR(VLOOKUP(A57,Debt[],3,0),0)</f>
        <v>0</v>
      </c>
      <c r="N57" s="41">
        <f>IFERROR(VLOOKUP(A57,Debt[],4,0),0)</f>
        <v>0</v>
      </c>
      <c r="O57" s="41">
        <f>IFERROR(VLOOKUP(A57,Debt[],5,0),0)</f>
        <v>0</v>
      </c>
      <c r="P57" s="41">
        <f>IFERROR(VLOOKUP(A57,Items[],3,0),0)</f>
        <v>0</v>
      </c>
      <c r="Q57" s="41">
        <f>IFERROR(VLOOKUP($A57,Federal[],2,0),0)</f>
        <v>568795.75</v>
      </c>
      <c r="R57" s="41">
        <f>IFERROR(VLOOKUP($A57,Federal[],4,0),0)</f>
        <v>176898.91</v>
      </c>
      <c r="S57" s="41"/>
      <c r="T57" s="47">
        <f>IFERROR(VLOOKUP($A57,Program[],3,0),0)</f>
        <v>0</v>
      </c>
      <c r="U57" s="47"/>
      <c r="V57" s="41">
        <f>IFERROR(VLOOKUP($A57,Program[],4,0),0)</f>
        <v>0</v>
      </c>
      <c r="W57" s="41">
        <f>IFERROR(VLOOKUP($A57,Program[],5,0),0)</f>
        <v>0</v>
      </c>
      <c r="X57" s="41"/>
      <c r="Y57" s="41"/>
      <c r="Z57" s="41"/>
      <c r="AA57" s="41">
        <f>IFERROR(VLOOKUP($A57,Program[],6,0),0)</f>
        <v>0</v>
      </c>
      <c r="AB57" s="41"/>
      <c r="AC57" s="41"/>
      <c r="AD57" s="41">
        <f>IFERROR(VLOOKUP($A57,Program[],7,0),0)</f>
        <v>0</v>
      </c>
      <c r="AE57" s="41">
        <f>IFERROR(VLOOKUP($A57,Program[],8,0),0)</f>
        <v>0</v>
      </c>
      <c r="AF57" s="41">
        <f>IFERROR(VLOOKUP($A57,Program[],9,0),0)</f>
        <v>0</v>
      </c>
      <c r="AG57" s="41">
        <f>IFERROR(VLOOKUP($A57,Program[],10,0),0)</f>
        <v>0</v>
      </c>
      <c r="AH57" s="41">
        <f>IFERROR(VLOOKUP($A57,Program[],11,0),0)</f>
        <v>0</v>
      </c>
      <c r="AI57" s="41">
        <f>IFERROR(VLOOKUP($A57,Program[],12,0),0)</f>
        <v>0</v>
      </c>
      <c r="AJ57" s="41"/>
      <c r="AK57" s="41">
        <f>IFERROR(VLOOKUP($A57,Program[],13,0),0)</f>
        <v>0</v>
      </c>
      <c r="AL57" s="41"/>
      <c r="AM57" s="41"/>
      <c r="AN57" s="41"/>
      <c r="AO57" s="41"/>
      <c r="AP57" s="41"/>
      <c r="AQ57" s="41"/>
      <c r="AR57" s="41"/>
      <c r="AS57" s="41">
        <f>IFERROR(VLOOKUP($A57,Program[],14,0),0)</f>
        <v>0</v>
      </c>
      <c r="AT57" s="41"/>
      <c r="AU57" s="41"/>
      <c r="AV57" s="41">
        <f>IFERROR(VLOOKUP($A57,Program[],15,0),0)</f>
        <v>0</v>
      </c>
      <c r="AW57" s="41"/>
      <c r="AX57" s="41">
        <f>IFERROR(VLOOKUP($A57,Program[],16,0),0)</f>
        <v>0</v>
      </c>
      <c r="AY57" s="41">
        <f>IFERROR(VLOOKUP($A57,Program[],17,0),0)</f>
        <v>0</v>
      </c>
      <c r="AZ57" s="41">
        <f>IFERROR(VLOOKUP($A57,Program[],18,0),0)</f>
        <v>0</v>
      </c>
      <c r="BA57" s="41">
        <f>IFERROR(VLOOKUP($A57,Program[],19,0),0)</f>
        <v>0</v>
      </c>
      <c r="BB57" s="77">
        <f t="shared" si="8"/>
        <v>48262.350000000006</v>
      </c>
      <c r="BC57" s="41">
        <f>IFERROR(VLOOKUP(A57,Food[],3,0),0)</f>
        <v>83186.16</v>
      </c>
      <c r="BD57" s="41">
        <f>IFERROR(VLOOKUP($A57,FoodRev[],2,0),0)</f>
        <v>89</v>
      </c>
      <c r="BE57" s="41">
        <f>IFERROR(VLOOKUP($A57,FoodRev[],3,0),0)</f>
        <v>4611.09</v>
      </c>
      <c r="BF57" s="41">
        <f>IFERROR(VLOOKUP($A57,FoodRev[],4,0),0)</f>
        <v>0</v>
      </c>
      <c r="BG57" s="41">
        <f>IFERROR(VLOOKUP($A57,FoodRev[],5,0),0)</f>
        <v>30223.72</v>
      </c>
      <c r="BH57" s="41">
        <f>IFERROR(VLOOKUP($A57,FoodRev[],6,0),0)</f>
        <v>0</v>
      </c>
      <c r="BI57" s="41">
        <f>IFERROR(VLOOKUP($A57,FoodRev[],7,0),0)</f>
        <v>0</v>
      </c>
      <c r="BJ57" s="41">
        <f>IFERROR(VLOOKUP($A57,FoodRev[],8,0),0)</f>
        <v>0</v>
      </c>
      <c r="BK57" s="41">
        <f>IFERROR(VLOOKUP($A57,FoodRev[],9,0),0)</f>
        <v>0</v>
      </c>
      <c r="BL57" s="41">
        <f>IFERROR(VLOOKUP($A57,FoodRev[],10,0),0)</f>
        <v>0</v>
      </c>
      <c r="BM57" s="41">
        <f t="shared" si="6"/>
        <v>34923.81</v>
      </c>
      <c r="BN57" s="42">
        <f t="shared" si="13"/>
        <v>48262.350000000006</v>
      </c>
      <c r="BO57" s="78">
        <f t="shared" si="14"/>
        <v>48262.350000000006</v>
      </c>
      <c r="BP57" s="78">
        <f t="shared" si="15"/>
        <v>0</v>
      </c>
    </row>
    <row r="58" spans="1:68" x14ac:dyDescent="0.25">
      <c r="A58" s="40" t="s">
        <v>488</v>
      </c>
      <c r="B58" s="40" t="s">
        <v>756</v>
      </c>
      <c r="D58" s="203">
        <f t="shared" si="4"/>
        <v>0</v>
      </c>
      <c r="E58" s="41">
        <f>IFERROR(VLOOKUP(A58,Items[],5,0),0)</f>
        <v>5144281.7</v>
      </c>
      <c r="F58" s="42">
        <f t="shared" si="5"/>
        <v>5144281.7</v>
      </c>
      <c r="G58" s="41">
        <v>0</v>
      </c>
      <c r="H58" s="41">
        <f>IFERROR(VLOOKUP(A58,Items[],4,0),0)</f>
        <v>5701624.3799999999</v>
      </c>
      <c r="I58" s="41">
        <f>IFERROR(VLOOKUP(A58,Community[],4,0),0)</f>
        <v>0</v>
      </c>
      <c r="J58" s="41">
        <f>IFERROR(VLOOKUP(A58,Community[],5,0),0)</f>
        <v>0</v>
      </c>
      <c r="K58" s="41">
        <f>IFERROR(VLOOKUP(A58,Community[],6,0),0)</f>
        <v>0</v>
      </c>
      <c r="L58" s="41">
        <f>IFERROR(VLOOKUP(A58,Community[],7,0),0)</f>
        <v>0</v>
      </c>
      <c r="M58" s="41">
        <f>IFERROR(VLOOKUP(A58,Debt[],3,0),0)</f>
        <v>0</v>
      </c>
      <c r="N58" s="41">
        <f>IFERROR(VLOOKUP(A58,Debt[],4,0),0)</f>
        <v>0</v>
      </c>
      <c r="O58" s="41">
        <f>IFERROR(VLOOKUP(A58,Debt[],5,0),0)</f>
        <v>0</v>
      </c>
      <c r="P58" s="41">
        <f>IFERROR(VLOOKUP(A58,Items[],3,0),0)</f>
        <v>0</v>
      </c>
      <c r="Q58" s="41">
        <f>IFERROR(VLOOKUP($A58,Federal[],2,0),0)</f>
        <v>20161.89</v>
      </c>
      <c r="R58" s="41">
        <f>IFERROR(VLOOKUP($A58,Federal[],4,0),0)</f>
        <v>480117.42</v>
      </c>
      <c r="S58" s="41"/>
      <c r="T58" s="47">
        <f>IFERROR(VLOOKUP($A58,Program[],3,0),0)</f>
        <v>0</v>
      </c>
      <c r="U58" s="47"/>
      <c r="V58" s="41">
        <f>IFERROR(VLOOKUP($A58,Program[],4,0),0)</f>
        <v>0</v>
      </c>
      <c r="W58" s="41">
        <f>IFERROR(VLOOKUP($A58,Program[],5,0),0)</f>
        <v>0</v>
      </c>
      <c r="X58" s="41"/>
      <c r="Y58" s="41"/>
      <c r="Z58" s="41"/>
      <c r="AA58" s="41">
        <f>IFERROR(VLOOKUP($A58,Program[],6,0),0)</f>
        <v>0</v>
      </c>
      <c r="AB58" s="41"/>
      <c r="AC58" s="41"/>
      <c r="AD58" s="41">
        <f>IFERROR(VLOOKUP($A58,Program[],7,0),0)</f>
        <v>0</v>
      </c>
      <c r="AE58" s="41">
        <f>IFERROR(VLOOKUP($A58,Program[],8,0),0)</f>
        <v>0</v>
      </c>
      <c r="AF58" s="41">
        <f>IFERROR(VLOOKUP($A58,Program[],9,0),0)</f>
        <v>0</v>
      </c>
      <c r="AG58" s="41">
        <f>IFERROR(VLOOKUP($A58,Program[],10,0),0)</f>
        <v>0</v>
      </c>
      <c r="AH58" s="41">
        <f>IFERROR(VLOOKUP($A58,Program[],11,0),0)</f>
        <v>0</v>
      </c>
      <c r="AI58" s="41">
        <f>IFERROR(VLOOKUP($A58,Program[],12,0),0)</f>
        <v>0</v>
      </c>
      <c r="AJ58" s="41"/>
      <c r="AK58" s="41">
        <f>IFERROR(VLOOKUP($A58,Program[],13,0),0)</f>
        <v>0</v>
      </c>
      <c r="AL58" s="41"/>
      <c r="AM58" s="41"/>
      <c r="AN58" s="41"/>
      <c r="AO58" s="41"/>
      <c r="AP58" s="41"/>
      <c r="AQ58" s="41"/>
      <c r="AR58" s="41"/>
      <c r="AS58" s="41">
        <f>IFERROR(VLOOKUP($A58,Program[],14,0),0)</f>
        <v>0</v>
      </c>
      <c r="AT58" s="41"/>
      <c r="AU58" s="41"/>
      <c r="AV58" s="41">
        <f>IFERROR(VLOOKUP($A58,Program[],15,0),0)</f>
        <v>0</v>
      </c>
      <c r="AW58" s="41"/>
      <c r="AX58" s="41">
        <f>IFERROR(VLOOKUP($A58,Program[],16,0),0)</f>
        <v>0</v>
      </c>
      <c r="AY58" s="41">
        <f>IFERROR(VLOOKUP($A58,Program[],17,0),0)</f>
        <v>0</v>
      </c>
      <c r="AZ58" s="41">
        <f>IFERROR(VLOOKUP($A58,Program[],18,0),0)</f>
        <v>0</v>
      </c>
      <c r="BA58" s="41">
        <f>IFERROR(VLOOKUP($A58,Program[],19,0),0)</f>
        <v>0</v>
      </c>
      <c r="BB58" s="77">
        <f t="shared" si="8"/>
        <v>54992.550000000032</v>
      </c>
      <c r="BC58" s="41">
        <f>IFERROR(VLOOKUP(A58,Food[],3,0),0)</f>
        <v>253848.37000000002</v>
      </c>
      <c r="BD58" s="41">
        <f>IFERROR(VLOOKUP($A58,FoodRev[],2,0),0)</f>
        <v>5456</v>
      </c>
      <c r="BE58" s="41">
        <f>IFERROR(VLOOKUP($A58,FoodRev[],3,0),0)</f>
        <v>47585.94</v>
      </c>
      <c r="BF58" s="41">
        <f>IFERROR(VLOOKUP($A58,FoodRev[],4,0),0)</f>
        <v>4021.43</v>
      </c>
      <c r="BG58" s="41">
        <f>IFERROR(VLOOKUP($A58,FoodRev[],5,0),0)</f>
        <v>115479.06</v>
      </c>
      <c r="BH58" s="41">
        <f>IFERROR(VLOOKUP($A58,FoodRev[],6,0),0)</f>
        <v>0</v>
      </c>
      <c r="BI58" s="41">
        <f>IFERROR(VLOOKUP($A58,FoodRev[],7,0),0)</f>
        <v>7591.61</v>
      </c>
      <c r="BJ58" s="41">
        <f>IFERROR(VLOOKUP($A58,FoodRev[],8,0),0)</f>
        <v>18721.78</v>
      </c>
      <c r="BK58" s="41">
        <f>IFERROR(VLOOKUP($A58,FoodRev[],9,0),0)</f>
        <v>0</v>
      </c>
      <c r="BL58" s="41">
        <f>IFERROR(VLOOKUP($A58,FoodRev[],10,0),0)</f>
        <v>0</v>
      </c>
      <c r="BM58" s="41">
        <f t="shared" si="6"/>
        <v>198855.81999999998</v>
      </c>
      <c r="BN58" s="42">
        <f t="shared" si="13"/>
        <v>54992.550000000032</v>
      </c>
      <c r="BO58" s="78">
        <f t="shared" si="14"/>
        <v>54992.550000000032</v>
      </c>
      <c r="BP58" s="78">
        <f t="shared" si="15"/>
        <v>0</v>
      </c>
    </row>
    <row r="59" spans="1:68" x14ac:dyDescent="0.25">
      <c r="A59" s="40" t="s">
        <v>562</v>
      </c>
      <c r="B59" s="40" t="s">
        <v>757</v>
      </c>
      <c r="D59" s="203">
        <f t="shared" si="4"/>
        <v>-2.3283064365386963E-10</v>
      </c>
      <c r="E59" s="41">
        <f>IFERROR(VLOOKUP(A59,Items[],5,0),0)</f>
        <v>1196490.3</v>
      </c>
      <c r="F59" s="42">
        <f t="shared" si="5"/>
        <v>1196490.3000000003</v>
      </c>
      <c r="G59" s="41">
        <v>0</v>
      </c>
      <c r="H59" s="41">
        <f>IFERROR(VLOOKUP(A59,Items[],4,0),0)</f>
        <v>1391978.02</v>
      </c>
      <c r="I59" s="41">
        <f>IFERROR(VLOOKUP(A59,Community[],4,0),0)</f>
        <v>0</v>
      </c>
      <c r="J59" s="41">
        <f>IFERROR(VLOOKUP(A59,Community[],5,0),0)</f>
        <v>0</v>
      </c>
      <c r="K59" s="41">
        <f>IFERROR(VLOOKUP(A59,Community[],6,0),0)</f>
        <v>0</v>
      </c>
      <c r="L59" s="41">
        <f>IFERROR(VLOOKUP(A59,Community[],7,0),0)</f>
        <v>0</v>
      </c>
      <c r="M59" s="41">
        <f>IFERROR(VLOOKUP(A59,Debt[],3,0),0)</f>
        <v>2362.9499999999998</v>
      </c>
      <c r="N59" s="41">
        <f>IFERROR(VLOOKUP(A59,Debt[],4,0),0)</f>
        <v>0</v>
      </c>
      <c r="O59" s="41">
        <f>IFERROR(VLOOKUP(A59,Debt[],5,0),0)</f>
        <v>0</v>
      </c>
      <c r="P59" s="41">
        <f>IFERROR(VLOOKUP(A59,Items[],3,0),0)</f>
        <v>11850.14</v>
      </c>
      <c r="Q59" s="41">
        <f>IFERROR(VLOOKUP($A59,Federal[],2,0),0)</f>
        <v>4701.78</v>
      </c>
      <c r="R59" s="41">
        <f>IFERROR(VLOOKUP($A59,Federal[],4,0),0)</f>
        <v>172833.86</v>
      </c>
      <c r="S59" s="41"/>
      <c r="T59" s="47">
        <f>IFERROR(VLOOKUP($A59,Program[],3,0),0)</f>
        <v>0</v>
      </c>
      <c r="U59" s="47"/>
      <c r="V59" s="41">
        <f>IFERROR(VLOOKUP($A59,Program[],4,0),0)</f>
        <v>0</v>
      </c>
      <c r="W59" s="41">
        <f>IFERROR(VLOOKUP($A59,Program[],5,0),0)</f>
        <v>0</v>
      </c>
      <c r="X59" s="41"/>
      <c r="Y59" s="41"/>
      <c r="Z59" s="41"/>
      <c r="AA59" s="41">
        <f>IFERROR(VLOOKUP($A59,Program[],6,0),0)</f>
        <v>0</v>
      </c>
      <c r="AB59" s="41"/>
      <c r="AC59" s="41"/>
      <c r="AD59" s="41">
        <f>IFERROR(VLOOKUP($A59,Program[],7,0),0)</f>
        <v>0</v>
      </c>
      <c r="AE59" s="41">
        <f>IFERROR(VLOOKUP($A59,Program[],8,0),0)</f>
        <v>0</v>
      </c>
      <c r="AF59" s="41">
        <f>IFERROR(VLOOKUP($A59,Program[],9,0),0)</f>
        <v>0</v>
      </c>
      <c r="AG59" s="41">
        <f>IFERROR(VLOOKUP($A59,Program[],10,0),0)</f>
        <v>0</v>
      </c>
      <c r="AH59" s="41">
        <f>IFERROR(VLOOKUP($A59,Program[],11,0),0)</f>
        <v>0</v>
      </c>
      <c r="AI59" s="41">
        <f>IFERROR(VLOOKUP($A59,Program[],12,0),0)</f>
        <v>0</v>
      </c>
      <c r="AJ59" s="41"/>
      <c r="AK59" s="41">
        <f>IFERROR(VLOOKUP($A59,Program[],13,0),0)</f>
        <v>0</v>
      </c>
      <c r="AL59" s="41"/>
      <c r="AM59" s="41"/>
      <c r="AN59" s="41"/>
      <c r="AO59" s="41"/>
      <c r="AP59" s="41"/>
      <c r="AQ59" s="41"/>
      <c r="AR59" s="41"/>
      <c r="AS59" s="41">
        <f>IFERROR(VLOOKUP($A59,Program[],14,0),0)</f>
        <v>0</v>
      </c>
      <c r="AT59" s="41"/>
      <c r="AU59" s="41"/>
      <c r="AV59" s="41">
        <f>IFERROR(VLOOKUP($A59,Program[],15,0),0)</f>
        <v>0</v>
      </c>
      <c r="AW59" s="41"/>
      <c r="AX59" s="41">
        <f>IFERROR(VLOOKUP($A59,Program[],16,0),0)</f>
        <v>0</v>
      </c>
      <c r="AY59" s="41">
        <f>IFERROR(VLOOKUP($A59,Program[],17,0),0)</f>
        <v>0</v>
      </c>
      <c r="AZ59" s="41">
        <f>IFERROR(VLOOKUP($A59,Program[],18,0),0)</f>
        <v>0</v>
      </c>
      <c r="BA59" s="41">
        <f>IFERROR(VLOOKUP($A59,Program[],19,0),0)</f>
        <v>0</v>
      </c>
      <c r="BB59" s="77">
        <f t="shared" si="8"/>
        <v>31841.62000000001</v>
      </c>
      <c r="BC59" s="41">
        <f>IFERROR(VLOOKUP(A59,Food[],3,0),0)</f>
        <v>83186.14</v>
      </c>
      <c r="BD59" s="41">
        <f>IFERROR(VLOOKUP($A59,FoodRev[],2,0),0)</f>
        <v>921.48</v>
      </c>
      <c r="BE59" s="41">
        <f>IFERROR(VLOOKUP($A59,FoodRev[],3,0),0)</f>
        <v>2817.51</v>
      </c>
      <c r="BF59" s="41">
        <f>IFERROR(VLOOKUP($A59,FoodRev[],4,0),0)</f>
        <v>0</v>
      </c>
      <c r="BG59" s="41">
        <f>IFERROR(VLOOKUP($A59,FoodRev[],5,0),0)</f>
        <v>44752.92</v>
      </c>
      <c r="BH59" s="41">
        <f>IFERROR(VLOOKUP($A59,FoodRev[],6,0),0)</f>
        <v>0</v>
      </c>
      <c r="BI59" s="41">
        <f>IFERROR(VLOOKUP($A59,FoodRev[],7,0),0)</f>
        <v>0</v>
      </c>
      <c r="BJ59" s="41">
        <f>IFERROR(VLOOKUP($A59,FoodRev[],8,0),0)</f>
        <v>2852.61</v>
      </c>
      <c r="BK59" s="41">
        <f>IFERROR(VLOOKUP($A59,FoodRev[],9,0),0)</f>
        <v>0</v>
      </c>
      <c r="BL59" s="41">
        <f>IFERROR(VLOOKUP($A59,FoodRev[],10,0),0)</f>
        <v>0</v>
      </c>
      <c r="BM59" s="41">
        <f t="shared" si="6"/>
        <v>51344.52</v>
      </c>
      <c r="BN59" s="42">
        <f t="shared" si="13"/>
        <v>31841.62000000001</v>
      </c>
      <c r="BO59" s="78">
        <f t="shared" si="14"/>
        <v>31841.62000000001</v>
      </c>
      <c r="BP59" s="78">
        <f t="shared" si="15"/>
        <v>0</v>
      </c>
    </row>
    <row r="60" spans="1:68" x14ac:dyDescent="0.25">
      <c r="A60" s="40" t="s">
        <v>462</v>
      </c>
      <c r="B60" s="40" t="s">
        <v>758</v>
      </c>
      <c r="D60" s="203">
        <f t="shared" si="4"/>
        <v>0</v>
      </c>
      <c r="E60" s="41">
        <f>IFERROR(VLOOKUP(A60,Items[],5,0),0)</f>
        <v>4995494.43</v>
      </c>
      <c r="F60" s="42">
        <f t="shared" si="5"/>
        <v>4995494.43</v>
      </c>
      <c r="G60" s="41">
        <v>0</v>
      </c>
      <c r="H60" s="41">
        <f>IFERROR(VLOOKUP(A60,Items[],4,0),0)</f>
        <v>7470537.2300000004</v>
      </c>
      <c r="I60" s="41">
        <f>IFERROR(VLOOKUP(A60,Community[],4,0),0)</f>
        <v>0</v>
      </c>
      <c r="J60" s="41">
        <f>IFERROR(VLOOKUP(A60,Community[],5,0),0)</f>
        <v>0</v>
      </c>
      <c r="K60" s="41">
        <f>IFERROR(VLOOKUP(A60,Community[],6,0),0)</f>
        <v>0</v>
      </c>
      <c r="L60" s="41">
        <f>IFERROR(VLOOKUP(A60,Community[],7,0),0)</f>
        <v>0</v>
      </c>
      <c r="M60" s="41">
        <f>IFERROR(VLOOKUP(A60,Debt[],3,0),0)</f>
        <v>0</v>
      </c>
      <c r="N60" s="41">
        <f>IFERROR(VLOOKUP(A60,Debt[],4,0),0)</f>
        <v>1690.26</v>
      </c>
      <c r="O60" s="41">
        <f>IFERROR(VLOOKUP(A60,Debt[],5,0),0)</f>
        <v>0</v>
      </c>
      <c r="P60" s="41">
        <f>IFERROR(VLOOKUP(A60,Items[],3,0),0)</f>
        <v>430931.32</v>
      </c>
      <c r="Q60" s="41">
        <f>IFERROR(VLOOKUP($A60,Federal[],2,0),0)</f>
        <v>1446333.36</v>
      </c>
      <c r="R60" s="41">
        <f>IFERROR(VLOOKUP($A60,Federal[],4,0),0)</f>
        <v>554784.09</v>
      </c>
      <c r="S60" s="41"/>
      <c r="T60" s="47">
        <f>IFERROR(VLOOKUP($A60,Program[],3,0),0)</f>
        <v>0</v>
      </c>
      <c r="U60" s="47"/>
      <c r="V60" s="41">
        <f>IFERROR(VLOOKUP($A60,Program[],4,0),0)</f>
        <v>0</v>
      </c>
      <c r="W60" s="41">
        <f>IFERROR(VLOOKUP($A60,Program[],5,0),0)</f>
        <v>0</v>
      </c>
      <c r="X60" s="41"/>
      <c r="Y60" s="41"/>
      <c r="Z60" s="41"/>
      <c r="AA60" s="41">
        <f>IFERROR(VLOOKUP($A60,Program[],6,0),0)</f>
        <v>0</v>
      </c>
      <c r="AB60" s="41"/>
      <c r="AC60" s="41"/>
      <c r="AD60" s="41">
        <f>IFERROR(VLOOKUP($A60,Program[],7,0),0)</f>
        <v>0</v>
      </c>
      <c r="AE60" s="41">
        <f>IFERROR(VLOOKUP($A60,Program[],8,0),0)</f>
        <v>0</v>
      </c>
      <c r="AF60" s="41">
        <f>IFERROR(VLOOKUP($A60,Program[],9,0),0)</f>
        <v>0</v>
      </c>
      <c r="AG60" s="41">
        <f>IFERROR(VLOOKUP($A60,Program[],10,0),0)</f>
        <v>0</v>
      </c>
      <c r="AH60" s="41">
        <f>IFERROR(VLOOKUP($A60,Program[],11,0),0)</f>
        <v>0</v>
      </c>
      <c r="AI60" s="41">
        <f>IFERROR(VLOOKUP($A60,Program[],12,0),0)</f>
        <v>0</v>
      </c>
      <c r="AJ60" s="41"/>
      <c r="AK60" s="41">
        <f>IFERROR(VLOOKUP($A60,Program[],13,0),0)</f>
        <v>0</v>
      </c>
      <c r="AL60" s="41"/>
      <c r="AM60" s="41"/>
      <c r="AN60" s="41"/>
      <c r="AO60" s="41"/>
      <c r="AP60" s="41"/>
      <c r="AQ60" s="41"/>
      <c r="AR60" s="41"/>
      <c r="AS60" s="41">
        <f>IFERROR(VLOOKUP($A60,Program[],14,0),0)</f>
        <v>0</v>
      </c>
      <c r="AT60" s="41"/>
      <c r="AU60" s="41"/>
      <c r="AV60" s="41">
        <f>IFERROR(VLOOKUP($A60,Program[],15,0),0)</f>
        <v>0</v>
      </c>
      <c r="AW60" s="41"/>
      <c r="AX60" s="41">
        <f>IFERROR(VLOOKUP($A60,Program[],16,0),0)</f>
        <v>0</v>
      </c>
      <c r="AY60" s="41">
        <f>IFERROR(VLOOKUP($A60,Program[],17,0),0)</f>
        <v>0</v>
      </c>
      <c r="AZ60" s="41">
        <f>IFERROR(VLOOKUP($A60,Program[],18,0),0)</f>
        <v>0</v>
      </c>
      <c r="BA60" s="41">
        <f>IFERROR(VLOOKUP($A60,Program[],19,0),0)</f>
        <v>0</v>
      </c>
      <c r="BB60" s="77">
        <f t="shared" si="8"/>
        <v>66545.240000000034</v>
      </c>
      <c r="BC60" s="41">
        <f>IFERROR(VLOOKUP(A60,Food[],3,0),0)</f>
        <v>289546.52</v>
      </c>
      <c r="BD60" s="41">
        <f>IFERROR(VLOOKUP($A60,FoodRev[],2,0),0)</f>
        <v>745</v>
      </c>
      <c r="BE60" s="41">
        <f>IFERROR(VLOOKUP($A60,FoodRev[],3,0),0)</f>
        <v>36438.769999999997</v>
      </c>
      <c r="BF60" s="41">
        <f>IFERROR(VLOOKUP($A60,FoodRev[],4,0),0)</f>
        <v>4120</v>
      </c>
      <c r="BG60" s="41">
        <f>IFERROR(VLOOKUP($A60,FoodRev[],5,0),0)</f>
        <v>107996.03</v>
      </c>
      <c r="BH60" s="41">
        <f>IFERROR(VLOOKUP($A60,FoodRev[],6,0),0)</f>
        <v>0</v>
      </c>
      <c r="BI60" s="41">
        <f>IFERROR(VLOOKUP($A60,FoodRev[],7,0),0)</f>
        <v>58707.46</v>
      </c>
      <c r="BJ60" s="41">
        <f>IFERROR(VLOOKUP($A60,FoodRev[],8,0),0)</f>
        <v>14994.02</v>
      </c>
      <c r="BK60" s="41">
        <f>IFERROR(VLOOKUP($A60,FoodRev[],9,0),0)</f>
        <v>0</v>
      </c>
      <c r="BL60" s="41">
        <f>IFERROR(VLOOKUP($A60,FoodRev[],10,0),0)</f>
        <v>0</v>
      </c>
      <c r="BM60" s="41">
        <f t="shared" si="6"/>
        <v>223001.27999999997</v>
      </c>
      <c r="BN60" s="42">
        <f t="shared" si="13"/>
        <v>66545.240000000034</v>
      </c>
      <c r="BO60" s="78">
        <f t="shared" si="14"/>
        <v>66545.240000000034</v>
      </c>
      <c r="BP60" s="78">
        <f t="shared" si="15"/>
        <v>0</v>
      </c>
    </row>
    <row r="61" spans="1:68" x14ac:dyDescent="0.25">
      <c r="A61" s="40" t="s">
        <v>408</v>
      </c>
      <c r="B61" s="40" t="s">
        <v>759</v>
      </c>
      <c r="D61" s="203">
        <f t="shared" si="4"/>
        <v>1.862645149230957E-9</v>
      </c>
      <c r="E61" s="41">
        <f>IFERROR(VLOOKUP(A61,Items[],5,0),0)</f>
        <v>8610473.2899999991</v>
      </c>
      <c r="F61" s="42">
        <f t="shared" si="5"/>
        <v>8610473.2899999972</v>
      </c>
      <c r="G61" s="41">
        <v>0</v>
      </c>
      <c r="H61" s="41">
        <f>IFERROR(VLOOKUP(A61,Items[],4,0),0)</f>
        <v>11149291.26</v>
      </c>
      <c r="I61" s="41">
        <f>IFERROR(VLOOKUP(A61,Community[],4,0),0)</f>
        <v>0</v>
      </c>
      <c r="J61" s="41">
        <f>IFERROR(VLOOKUP(A61,Community[],5,0),0)</f>
        <v>0</v>
      </c>
      <c r="K61" s="41">
        <f>IFERROR(VLOOKUP(A61,Community[],6,0),0)</f>
        <v>0</v>
      </c>
      <c r="L61" s="41">
        <f>IFERROR(VLOOKUP(A61,Community[],7,0),0)</f>
        <v>0</v>
      </c>
      <c r="M61" s="41">
        <f>IFERROR(VLOOKUP(A61,Debt[],3,0),0)</f>
        <v>0</v>
      </c>
      <c r="N61" s="41">
        <f>IFERROR(VLOOKUP(A61,Debt[],4,0),0)</f>
        <v>0</v>
      </c>
      <c r="O61" s="41">
        <f>IFERROR(VLOOKUP(A61,Debt[],5,0),0)</f>
        <v>0</v>
      </c>
      <c r="P61" s="41">
        <f>IFERROR(VLOOKUP(A61,Items[],3,0),0)</f>
        <v>1788011.37</v>
      </c>
      <c r="Q61" s="41">
        <f>IFERROR(VLOOKUP($A61,Federal[],2,0),0)</f>
        <v>68251.570000000007</v>
      </c>
      <c r="R61" s="41">
        <f>IFERROR(VLOOKUP($A61,Federal[],4,0),0)</f>
        <v>643065.38</v>
      </c>
      <c r="S61" s="41"/>
      <c r="T61" s="47">
        <f>IFERROR(VLOOKUP($A61,Program[],3,0),0)</f>
        <v>0</v>
      </c>
      <c r="U61" s="47"/>
      <c r="V61" s="41">
        <f>IFERROR(VLOOKUP($A61,Program[],4,0),0)</f>
        <v>0</v>
      </c>
      <c r="W61" s="41">
        <f>IFERROR(VLOOKUP($A61,Program[],5,0),0)</f>
        <v>0</v>
      </c>
      <c r="X61" s="41"/>
      <c r="Y61" s="41"/>
      <c r="Z61" s="41"/>
      <c r="AA61" s="41">
        <f>IFERROR(VLOOKUP($A61,Program[],6,0),0)</f>
        <v>0</v>
      </c>
      <c r="AB61" s="41"/>
      <c r="AC61" s="41"/>
      <c r="AD61" s="41">
        <f>IFERROR(VLOOKUP($A61,Program[],7,0),0)</f>
        <v>0</v>
      </c>
      <c r="AE61" s="41">
        <f>IFERROR(VLOOKUP($A61,Program[],8,0),0)</f>
        <v>0</v>
      </c>
      <c r="AF61" s="41">
        <f>IFERROR(VLOOKUP($A61,Program[],9,0),0)</f>
        <v>0</v>
      </c>
      <c r="AG61" s="41">
        <f>IFERROR(VLOOKUP($A61,Program[],10,0),0)</f>
        <v>0</v>
      </c>
      <c r="AH61" s="41">
        <f>IFERROR(VLOOKUP($A61,Program[],11,0),0)</f>
        <v>0</v>
      </c>
      <c r="AI61" s="41">
        <f>IFERROR(VLOOKUP($A61,Program[],12,0),0)</f>
        <v>0</v>
      </c>
      <c r="AJ61" s="41"/>
      <c r="AK61" s="41">
        <f>IFERROR(VLOOKUP($A61,Program[],13,0),0)</f>
        <v>0</v>
      </c>
      <c r="AL61" s="41"/>
      <c r="AM61" s="41"/>
      <c r="AN61" s="41"/>
      <c r="AO61" s="41"/>
      <c r="AP61" s="41"/>
      <c r="AQ61" s="41"/>
      <c r="AR61" s="41"/>
      <c r="AS61" s="41">
        <f>IFERROR(VLOOKUP($A61,Program[],14,0),0)</f>
        <v>0</v>
      </c>
      <c r="AT61" s="41"/>
      <c r="AU61" s="41"/>
      <c r="AV61" s="41">
        <f>IFERROR(VLOOKUP($A61,Program[],15,0),0)</f>
        <v>45792</v>
      </c>
      <c r="AW61" s="41"/>
      <c r="AX61" s="41">
        <f>IFERROR(VLOOKUP($A61,Program[],16,0),0)</f>
        <v>0</v>
      </c>
      <c r="AY61" s="41">
        <f>IFERROR(VLOOKUP($A61,Program[],17,0),0)</f>
        <v>0</v>
      </c>
      <c r="AZ61" s="41">
        <f>IFERROR(VLOOKUP($A61,Program[],18,0),0)</f>
        <v>0</v>
      </c>
      <c r="BA61" s="41">
        <f>IFERROR(VLOOKUP($A61,Program[],19,0),0)</f>
        <v>0</v>
      </c>
      <c r="BB61" s="77">
        <f t="shared" si="8"/>
        <v>96064.029999999941</v>
      </c>
      <c r="BC61" s="41">
        <f>IFERROR(VLOOKUP(A61,Food[],3,0),0)</f>
        <v>425088.44999999995</v>
      </c>
      <c r="BD61" s="41">
        <f>IFERROR(VLOOKUP($A61,FoodRev[],2,0),0)</f>
        <v>1622</v>
      </c>
      <c r="BE61" s="41">
        <f>IFERROR(VLOOKUP($A61,FoodRev[],3,0),0)</f>
        <v>83659.649999999994</v>
      </c>
      <c r="BF61" s="41">
        <f>IFERROR(VLOOKUP($A61,FoodRev[],4,0),0)</f>
        <v>0</v>
      </c>
      <c r="BG61" s="41">
        <f>IFERROR(VLOOKUP($A61,FoodRev[],5,0),0)</f>
        <v>220941.33</v>
      </c>
      <c r="BH61" s="41">
        <f>IFERROR(VLOOKUP($A61,FoodRev[],6,0),0)</f>
        <v>0</v>
      </c>
      <c r="BI61" s="41">
        <f>IFERROR(VLOOKUP($A61,FoodRev[],7,0),0)</f>
        <v>0</v>
      </c>
      <c r="BJ61" s="41">
        <f>IFERROR(VLOOKUP($A61,FoodRev[],8,0),0)</f>
        <v>22801.439999999999</v>
      </c>
      <c r="BK61" s="41">
        <f>IFERROR(VLOOKUP($A61,FoodRev[],9,0),0)</f>
        <v>0</v>
      </c>
      <c r="BL61" s="41">
        <f>IFERROR(VLOOKUP($A61,FoodRev[],10,0),0)</f>
        <v>0</v>
      </c>
      <c r="BM61" s="41">
        <f t="shared" si="6"/>
        <v>329024.42</v>
      </c>
      <c r="BN61" s="42">
        <f t="shared" si="13"/>
        <v>96064.029999999941</v>
      </c>
      <c r="BO61" s="78">
        <f t="shared" si="14"/>
        <v>96064.029999999941</v>
      </c>
      <c r="BP61" s="78">
        <f t="shared" si="15"/>
        <v>0</v>
      </c>
    </row>
    <row r="62" spans="1:68" x14ac:dyDescent="0.25">
      <c r="A62" s="40" t="s">
        <v>38</v>
      </c>
      <c r="B62" s="40" t="s">
        <v>760</v>
      </c>
      <c r="D62" s="203">
        <f t="shared" si="4"/>
        <v>-5.9604644775390625E-8</v>
      </c>
      <c r="E62" s="41">
        <f>IFERROR(VLOOKUP(A62,Items[],5,0),0)</f>
        <v>304680334.22000003</v>
      </c>
      <c r="F62" s="42">
        <f t="shared" si="5"/>
        <v>304680334.22000009</v>
      </c>
      <c r="G62" s="41">
        <v>0</v>
      </c>
      <c r="H62" s="41">
        <f>IFERROR(VLOOKUP(A62,Items[],4,0),0)</f>
        <v>335080465.91000003</v>
      </c>
      <c r="I62" s="41">
        <f>IFERROR(VLOOKUP(A62,Community[],4,0),0)</f>
        <v>0</v>
      </c>
      <c r="J62" s="41">
        <f>IFERROR(VLOOKUP(A62,Community[],5,0),0)</f>
        <v>0</v>
      </c>
      <c r="K62" s="41">
        <f>IFERROR(VLOOKUP(A62,Community[],6,0),0)</f>
        <v>0</v>
      </c>
      <c r="L62" s="41">
        <f>IFERROR(VLOOKUP(A62,Community[],7,0),0)</f>
        <v>324406.20000000007</v>
      </c>
      <c r="M62" s="41">
        <f>IFERROR(VLOOKUP(A62,Debt[],3,0),0)</f>
        <v>9267.77</v>
      </c>
      <c r="N62" s="41">
        <f>IFERROR(VLOOKUP(A62,Debt[],4,0),0)</f>
        <v>0</v>
      </c>
      <c r="O62" s="41">
        <f>IFERROR(VLOOKUP(A62,Debt[],5,0),0)</f>
        <v>0</v>
      </c>
      <c r="P62" s="41">
        <f>IFERROR(VLOOKUP(A62,Items[],3,0),0)</f>
        <v>99042.55</v>
      </c>
      <c r="Q62" s="41">
        <f>IFERROR(VLOOKUP($A62,Federal[],2,0),0)</f>
        <v>0</v>
      </c>
      <c r="R62" s="41">
        <f>IFERROR(VLOOKUP($A62,Federal[],4,0),0)</f>
        <v>28350398.09</v>
      </c>
      <c r="S62" s="41"/>
      <c r="T62" s="47">
        <f>IFERROR(VLOOKUP($A62,Program[],3,0),0)</f>
        <v>0</v>
      </c>
      <c r="U62" s="47"/>
      <c r="V62" s="41">
        <f>IFERROR(VLOOKUP($A62,Program[],4,0),0)</f>
        <v>0</v>
      </c>
      <c r="W62" s="41">
        <f>IFERROR(VLOOKUP($A62,Program[],5,0),0)</f>
        <v>0</v>
      </c>
      <c r="X62" s="41"/>
      <c r="Y62" s="41"/>
      <c r="Z62" s="41"/>
      <c r="AA62" s="41">
        <f>IFERROR(VLOOKUP($A62,Program[],6,0),0)</f>
        <v>0</v>
      </c>
      <c r="AB62" s="41"/>
      <c r="AC62" s="41"/>
      <c r="AD62" s="41">
        <f>IFERROR(VLOOKUP($A62,Program[],7,0),0)</f>
        <v>0</v>
      </c>
      <c r="AE62" s="41">
        <f>IFERROR(VLOOKUP($A62,Program[],8,0),0)</f>
        <v>0</v>
      </c>
      <c r="AF62" s="41">
        <f>IFERROR(VLOOKUP($A62,Program[],9,0),0)</f>
        <v>0</v>
      </c>
      <c r="AG62" s="41">
        <f>IFERROR(VLOOKUP($A62,Program[],10,0),0)</f>
        <v>0</v>
      </c>
      <c r="AH62" s="41">
        <f>IFERROR(VLOOKUP($A62,Program[],11,0),0)</f>
        <v>0</v>
      </c>
      <c r="AI62" s="41">
        <f>IFERROR(VLOOKUP($A62,Program[],12,0),0)</f>
        <v>0</v>
      </c>
      <c r="AJ62" s="41"/>
      <c r="AK62" s="41">
        <f>IFERROR(VLOOKUP($A62,Program[],13,0),0)</f>
        <v>0</v>
      </c>
      <c r="AL62" s="41"/>
      <c r="AM62" s="41"/>
      <c r="AN62" s="41"/>
      <c r="AO62" s="41"/>
      <c r="AP62" s="41"/>
      <c r="AQ62" s="41"/>
      <c r="AR62" s="41"/>
      <c r="AS62" s="41">
        <f>IFERROR(VLOOKUP($A62,Program[],14,0),0)</f>
        <v>0</v>
      </c>
      <c r="AT62" s="41"/>
      <c r="AU62" s="41"/>
      <c r="AV62" s="41">
        <f>IFERROR(VLOOKUP($A62,Program[],15,0),0)</f>
        <v>0</v>
      </c>
      <c r="AW62" s="41"/>
      <c r="AX62" s="41">
        <f>IFERROR(VLOOKUP($A62,Program[],16,0),0)</f>
        <v>0</v>
      </c>
      <c r="AY62" s="41">
        <f>IFERROR(VLOOKUP($A62,Program[],17,0),0)</f>
        <v>0</v>
      </c>
      <c r="AZ62" s="41">
        <f>IFERROR(VLOOKUP($A62,Program[],18,0),0)</f>
        <v>0</v>
      </c>
      <c r="BA62" s="41">
        <f>IFERROR(VLOOKUP($A62,Program[],19,0),0)</f>
        <v>30459.119999999999</v>
      </c>
      <c r="BB62" s="77">
        <f t="shared" si="8"/>
        <v>542757.86999999685</v>
      </c>
      <c r="BC62" s="41">
        <f>IFERROR(VLOOKUP(A62,Food[],3,0),0)</f>
        <v>13339163.699999997</v>
      </c>
      <c r="BD62" s="41">
        <f>IFERROR(VLOOKUP($A62,FoodRev[],2,0),0)</f>
        <v>115430.41</v>
      </c>
      <c r="BE62" s="41">
        <f>IFERROR(VLOOKUP($A62,FoodRev[],3,0),0)</f>
        <v>1532045.79</v>
      </c>
      <c r="BF62" s="41">
        <f>IFERROR(VLOOKUP($A62,FoodRev[],4,0),0)</f>
        <v>0</v>
      </c>
      <c r="BG62" s="41">
        <f>IFERROR(VLOOKUP($A62,FoodRev[],5,0),0)</f>
        <v>10838648.859999999</v>
      </c>
      <c r="BH62" s="41">
        <f>IFERROR(VLOOKUP($A62,FoodRev[],6,0),0)</f>
        <v>0</v>
      </c>
      <c r="BI62" s="41">
        <f>IFERROR(VLOOKUP($A62,FoodRev[],7,0),0)</f>
        <v>0</v>
      </c>
      <c r="BJ62" s="41">
        <f>IFERROR(VLOOKUP($A62,FoodRev[],8,0),0)</f>
        <v>310280.77</v>
      </c>
      <c r="BK62" s="41">
        <f>IFERROR(VLOOKUP($A62,FoodRev[],9,0),0)</f>
        <v>0</v>
      </c>
      <c r="BL62" s="41">
        <f>IFERROR(VLOOKUP($A62,FoodRev[],10,0),0)</f>
        <v>0</v>
      </c>
      <c r="BM62" s="41">
        <f t="shared" si="6"/>
        <v>12796405.829999998</v>
      </c>
      <c r="BN62" s="42">
        <f t="shared" si="13"/>
        <v>542757.86999999685</v>
      </c>
      <c r="BO62" s="78">
        <f t="shared" si="14"/>
        <v>542757.86999999685</v>
      </c>
      <c r="BP62" s="78">
        <f t="shared" si="15"/>
        <v>0</v>
      </c>
    </row>
    <row r="63" spans="1:68" x14ac:dyDescent="0.25">
      <c r="A63" s="40" t="s">
        <v>216</v>
      </c>
      <c r="B63" s="40" t="s">
        <v>761</v>
      </c>
      <c r="D63" s="203">
        <f t="shared" si="4"/>
        <v>0</v>
      </c>
      <c r="E63" s="41">
        <f>IFERROR(VLOOKUP(A63,Items[],5,0),0)</f>
        <v>32939450.510000002</v>
      </c>
      <c r="F63" s="42">
        <f t="shared" si="5"/>
        <v>32939450.510000002</v>
      </c>
      <c r="G63" s="41">
        <v>0</v>
      </c>
      <c r="H63" s="41">
        <f>IFERROR(VLOOKUP(A63,Items[],4,0),0)</f>
        <v>37060257.020000003</v>
      </c>
      <c r="I63" s="41">
        <f>IFERROR(VLOOKUP(A63,Community[],4,0),0)</f>
        <v>0</v>
      </c>
      <c r="J63" s="41">
        <f>IFERROR(VLOOKUP(A63,Community[],5,0),0)</f>
        <v>0</v>
      </c>
      <c r="K63" s="41">
        <f>IFERROR(VLOOKUP(A63,Community[],6,0),0)</f>
        <v>0</v>
      </c>
      <c r="L63" s="41">
        <f>IFERROR(VLOOKUP(A63,Community[],7,0),0)</f>
        <v>4791.2</v>
      </c>
      <c r="M63" s="41">
        <f>IFERROR(VLOOKUP(A63,Debt[],3,0),0)</f>
        <v>2660.22</v>
      </c>
      <c r="N63" s="41">
        <f>IFERROR(VLOOKUP(A63,Debt[],4,0),0)</f>
        <v>44026.85</v>
      </c>
      <c r="O63" s="41">
        <f>IFERROR(VLOOKUP(A63,Debt[],5,0),0)</f>
        <v>0</v>
      </c>
      <c r="P63" s="41">
        <f>IFERROR(VLOOKUP(A63,Items[],3,0),0)</f>
        <v>321492.74</v>
      </c>
      <c r="Q63" s="41">
        <f>IFERROR(VLOOKUP($A63,Federal[],2,0),0)</f>
        <v>234699.72</v>
      </c>
      <c r="R63" s="41">
        <f>IFERROR(VLOOKUP($A63,Federal[],4,0),0)</f>
        <v>3478266.33</v>
      </c>
      <c r="S63" s="41"/>
      <c r="T63" s="47">
        <f>IFERROR(VLOOKUP($A63,Program[],3,0),0)</f>
        <v>0</v>
      </c>
      <c r="U63" s="47"/>
      <c r="V63" s="41">
        <f>IFERROR(VLOOKUP($A63,Program[],4,0),0)</f>
        <v>0</v>
      </c>
      <c r="W63" s="41">
        <f>IFERROR(VLOOKUP($A63,Program[],5,0),0)</f>
        <v>0</v>
      </c>
      <c r="X63" s="41"/>
      <c r="Y63" s="41"/>
      <c r="Z63" s="41"/>
      <c r="AA63" s="41">
        <f>IFERROR(VLOOKUP($A63,Program[],6,0),0)</f>
        <v>0</v>
      </c>
      <c r="AB63" s="41"/>
      <c r="AC63" s="41"/>
      <c r="AD63" s="41">
        <f>IFERROR(VLOOKUP($A63,Program[],7,0),0)</f>
        <v>0</v>
      </c>
      <c r="AE63" s="41">
        <f>IFERROR(VLOOKUP($A63,Program[],8,0),0)</f>
        <v>0</v>
      </c>
      <c r="AF63" s="41">
        <f>IFERROR(VLOOKUP($A63,Program[],9,0),0)</f>
        <v>0</v>
      </c>
      <c r="AG63" s="41">
        <f>IFERROR(VLOOKUP($A63,Program[],10,0),0)</f>
        <v>0</v>
      </c>
      <c r="AH63" s="41">
        <f>IFERROR(VLOOKUP($A63,Program[],11,0),0)</f>
        <v>0</v>
      </c>
      <c r="AI63" s="41">
        <f>IFERROR(VLOOKUP($A63,Program[],12,0),0)</f>
        <v>781.17</v>
      </c>
      <c r="AJ63" s="41"/>
      <c r="AK63" s="41">
        <f>IFERROR(VLOOKUP($A63,Program[],13,0),0)</f>
        <v>0</v>
      </c>
      <c r="AL63" s="41"/>
      <c r="AM63" s="41"/>
      <c r="AN63" s="41"/>
      <c r="AO63" s="41"/>
      <c r="AP63" s="41"/>
      <c r="AQ63" s="41"/>
      <c r="AR63" s="41"/>
      <c r="AS63" s="41">
        <f>IFERROR(VLOOKUP($A63,Program[],14,0),0)</f>
        <v>0</v>
      </c>
      <c r="AT63" s="41"/>
      <c r="AU63" s="41"/>
      <c r="AV63" s="41">
        <f>IFERROR(VLOOKUP($A63,Program[],15,0),0)</f>
        <v>1317.33</v>
      </c>
      <c r="AW63" s="41"/>
      <c r="AX63" s="41">
        <f>IFERROR(VLOOKUP($A63,Program[],16,0),0)</f>
        <v>0</v>
      </c>
      <c r="AY63" s="41">
        <f>IFERROR(VLOOKUP($A63,Program[],17,0),0)</f>
        <v>0</v>
      </c>
      <c r="AZ63" s="41">
        <f>IFERROR(VLOOKUP($A63,Program[],18,0),0)</f>
        <v>0</v>
      </c>
      <c r="BA63" s="41">
        <f>IFERROR(VLOOKUP($A63,Program[],19,0),0)</f>
        <v>7491.54</v>
      </c>
      <c r="BB63" s="77">
        <f t="shared" si="8"/>
        <v>53056.049999999828</v>
      </c>
      <c r="BC63" s="41">
        <f>IFERROR(VLOOKUP(A63,Food[],3,0),0)</f>
        <v>1507927.16</v>
      </c>
      <c r="BD63" s="41">
        <f>IFERROR(VLOOKUP($A63,FoodRev[],2,0),0)</f>
        <v>13202.93</v>
      </c>
      <c r="BE63" s="41">
        <f>IFERROR(VLOOKUP($A63,FoodRev[],3,0),0)</f>
        <v>31256.560000000001</v>
      </c>
      <c r="BF63" s="41">
        <f>IFERROR(VLOOKUP($A63,FoodRev[],4,0),0)</f>
        <v>0</v>
      </c>
      <c r="BG63" s="41">
        <f>IFERROR(VLOOKUP($A63,FoodRev[],5,0),0)</f>
        <v>1337891.3600000001</v>
      </c>
      <c r="BH63" s="41">
        <f>IFERROR(VLOOKUP($A63,FoodRev[],6,0),0)</f>
        <v>0</v>
      </c>
      <c r="BI63" s="41">
        <f>IFERROR(VLOOKUP($A63,FoodRev[],7,0),0)</f>
        <v>0</v>
      </c>
      <c r="BJ63" s="41">
        <f>IFERROR(VLOOKUP($A63,FoodRev[],8,0),0)</f>
        <v>72520.259999999995</v>
      </c>
      <c r="BK63" s="41">
        <f>IFERROR(VLOOKUP($A63,FoodRev[],9,0),0)</f>
        <v>0</v>
      </c>
      <c r="BL63" s="41">
        <f>IFERROR(VLOOKUP($A63,FoodRev[],10,0),0)</f>
        <v>0</v>
      </c>
      <c r="BM63" s="41">
        <f t="shared" si="6"/>
        <v>1454871.11</v>
      </c>
      <c r="BN63" s="42">
        <f t="shared" si="13"/>
        <v>53056.049999999828</v>
      </c>
      <c r="BO63" s="78">
        <f t="shared" si="14"/>
        <v>53056.049999999828</v>
      </c>
      <c r="BP63" s="78">
        <f t="shared" si="15"/>
        <v>0</v>
      </c>
    </row>
    <row r="64" spans="1:68" x14ac:dyDescent="0.25">
      <c r="A64" s="40" t="s">
        <v>606</v>
      </c>
      <c r="B64" s="40" t="s">
        <v>762</v>
      </c>
      <c r="D64" s="203">
        <f t="shared" si="4"/>
        <v>0</v>
      </c>
      <c r="E64" s="41">
        <f>IFERROR(VLOOKUP(A64,Items[],5,0),0)</f>
        <v>588715.98</v>
      </c>
      <c r="F64" s="42">
        <f t="shared" si="5"/>
        <v>588715.98</v>
      </c>
      <c r="G64" s="41">
        <v>0</v>
      </c>
      <c r="H64" s="41">
        <f>IFERROR(VLOOKUP(A64,Items[],4,0),0)</f>
        <v>616643.06999999995</v>
      </c>
      <c r="I64" s="41">
        <f>IFERROR(VLOOKUP(A64,Community[],4,0),0)</f>
        <v>0</v>
      </c>
      <c r="J64" s="41">
        <f>IFERROR(VLOOKUP(A64,Community[],5,0),0)</f>
        <v>0</v>
      </c>
      <c r="K64" s="41">
        <f>IFERROR(VLOOKUP(A64,Community[],6,0),0)</f>
        <v>0</v>
      </c>
      <c r="L64" s="41">
        <f>IFERROR(VLOOKUP(A64,Community[],7,0),0)</f>
        <v>0</v>
      </c>
      <c r="M64" s="41">
        <f>IFERROR(VLOOKUP(A64,Debt[],3,0),0)</f>
        <v>0</v>
      </c>
      <c r="N64" s="41">
        <f>IFERROR(VLOOKUP(A64,Debt[],4,0),0)</f>
        <v>0</v>
      </c>
      <c r="O64" s="41">
        <f>IFERROR(VLOOKUP(A64,Debt[],5,0),0)</f>
        <v>0</v>
      </c>
      <c r="P64" s="41">
        <f>IFERROR(VLOOKUP(A64,Items[],3,0),0)</f>
        <v>0</v>
      </c>
      <c r="Q64" s="41">
        <f>IFERROR(VLOOKUP($A64,Federal[],2,0),0)</f>
        <v>0</v>
      </c>
      <c r="R64" s="41">
        <f>IFERROR(VLOOKUP($A64,Federal[],4,0),0)</f>
        <v>27927.09</v>
      </c>
      <c r="S64" s="41"/>
      <c r="T64" s="47">
        <f>IFERROR(VLOOKUP($A64,Program[],3,0),0)</f>
        <v>0</v>
      </c>
      <c r="U64" s="47"/>
      <c r="V64" s="41">
        <f>IFERROR(VLOOKUP($A64,Program[],4,0),0)</f>
        <v>0</v>
      </c>
      <c r="W64" s="41">
        <f>IFERROR(VLOOKUP($A64,Program[],5,0),0)</f>
        <v>0</v>
      </c>
      <c r="X64" s="41"/>
      <c r="Y64" s="41"/>
      <c r="Z64" s="41"/>
      <c r="AA64" s="41">
        <f>IFERROR(VLOOKUP($A64,Program[],6,0),0)</f>
        <v>0</v>
      </c>
      <c r="AB64" s="41"/>
      <c r="AC64" s="41"/>
      <c r="AD64" s="41">
        <f>IFERROR(VLOOKUP($A64,Program[],7,0),0)</f>
        <v>0</v>
      </c>
      <c r="AE64" s="41">
        <f>IFERROR(VLOOKUP($A64,Program[],8,0),0)</f>
        <v>0</v>
      </c>
      <c r="AF64" s="41">
        <f>IFERROR(VLOOKUP($A64,Program[],9,0),0)</f>
        <v>0</v>
      </c>
      <c r="AG64" s="41">
        <f>IFERROR(VLOOKUP($A64,Program[],10,0),0)</f>
        <v>0</v>
      </c>
      <c r="AH64" s="41">
        <f>IFERROR(VLOOKUP($A64,Program[],11,0),0)</f>
        <v>0</v>
      </c>
      <c r="AI64" s="41">
        <f>IFERROR(VLOOKUP($A64,Program[],12,0),0)</f>
        <v>0</v>
      </c>
      <c r="AJ64" s="41"/>
      <c r="AK64" s="41">
        <f>IFERROR(VLOOKUP($A64,Program[],13,0),0)</f>
        <v>0</v>
      </c>
      <c r="AL64" s="41"/>
      <c r="AM64" s="41"/>
      <c r="AN64" s="41"/>
      <c r="AO64" s="41"/>
      <c r="AP64" s="41"/>
      <c r="AQ64" s="41"/>
      <c r="AR64" s="41"/>
      <c r="AS64" s="41">
        <f>IFERROR(VLOOKUP($A64,Program[],14,0),0)</f>
        <v>0</v>
      </c>
      <c r="AT64" s="41"/>
      <c r="AU64" s="41"/>
      <c r="AV64" s="41">
        <f>IFERROR(VLOOKUP($A64,Program[],15,0),0)</f>
        <v>0</v>
      </c>
      <c r="AW64" s="41"/>
      <c r="AX64" s="41">
        <f>IFERROR(VLOOKUP($A64,Program[],16,0),0)</f>
        <v>0</v>
      </c>
      <c r="AY64" s="41">
        <f>IFERROR(VLOOKUP($A64,Program[],17,0),0)</f>
        <v>0</v>
      </c>
      <c r="AZ64" s="41">
        <f>IFERROR(VLOOKUP($A64,Program[],18,0),0)</f>
        <v>0</v>
      </c>
      <c r="BA64" s="41">
        <f>IFERROR(VLOOKUP($A64,Program[],19,0),0)</f>
        <v>0</v>
      </c>
      <c r="BB64" s="77">
        <f t="shared" si="8"/>
        <v>0</v>
      </c>
      <c r="BC64" s="41">
        <f>IFERROR(VLOOKUP(A64,Food[],3,0),0)</f>
        <v>0</v>
      </c>
      <c r="BD64" s="41">
        <f>IFERROR(VLOOKUP($A64,FoodRev[],2,0),0)</f>
        <v>0</v>
      </c>
      <c r="BE64" s="41">
        <f>IFERROR(VLOOKUP($A64,FoodRev[],3,0),0)</f>
        <v>0</v>
      </c>
      <c r="BF64" s="41">
        <f>IFERROR(VLOOKUP($A64,FoodRev[],4,0),0)</f>
        <v>0</v>
      </c>
      <c r="BG64" s="41">
        <f>IFERROR(VLOOKUP($A64,FoodRev[],5,0),0)</f>
        <v>0</v>
      </c>
      <c r="BH64" s="41">
        <f>IFERROR(VLOOKUP($A64,FoodRev[],6,0),0)</f>
        <v>0</v>
      </c>
      <c r="BI64" s="41">
        <f>IFERROR(VLOOKUP($A64,FoodRev[],7,0),0)</f>
        <v>0</v>
      </c>
      <c r="BJ64" s="41">
        <f>IFERROR(VLOOKUP($A64,FoodRev[],8,0),0)</f>
        <v>0</v>
      </c>
      <c r="BK64" s="41">
        <f>IFERROR(VLOOKUP($A64,FoodRev[],9,0),0)</f>
        <v>0</v>
      </c>
      <c r="BL64" s="41">
        <f>IFERROR(VLOOKUP($A64,FoodRev[],10,0),0)</f>
        <v>0</v>
      </c>
      <c r="BM64" s="41">
        <f t="shared" si="6"/>
        <v>0</v>
      </c>
      <c r="BN64" s="42">
        <f t="shared" si="13"/>
        <v>0</v>
      </c>
      <c r="BO64" s="78">
        <f t="shared" si="14"/>
        <v>0</v>
      </c>
      <c r="BP64" s="78">
        <f t="shared" si="15"/>
        <v>0</v>
      </c>
    </row>
    <row r="65" spans="1:68" x14ac:dyDescent="0.25">
      <c r="A65" s="40" t="s">
        <v>576</v>
      </c>
      <c r="B65" s="40" t="s">
        <v>763</v>
      </c>
      <c r="D65" s="203">
        <f t="shared" si="4"/>
        <v>4.6566128730773926E-10</v>
      </c>
      <c r="E65" s="41">
        <f>IFERROR(VLOOKUP(A65,Items[],5,0),0)</f>
        <v>2833361.35</v>
      </c>
      <c r="F65" s="42">
        <f t="shared" si="5"/>
        <v>2833361.3499999996</v>
      </c>
      <c r="G65" s="41">
        <v>0</v>
      </c>
      <c r="H65" s="41">
        <f>IFERROR(VLOOKUP(A65,Items[],4,0),0)</f>
        <v>2955250.61</v>
      </c>
      <c r="I65" s="41">
        <f>IFERROR(VLOOKUP(A65,Community[],4,0),0)</f>
        <v>0</v>
      </c>
      <c r="J65" s="41">
        <f>IFERROR(VLOOKUP(A65,Community[],5,0),0)</f>
        <v>0</v>
      </c>
      <c r="K65" s="41">
        <f>IFERROR(VLOOKUP(A65,Community[],6,0),0)</f>
        <v>0</v>
      </c>
      <c r="L65" s="41">
        <f>IFERROR(VLOOKUP(A65,Community[],7,0),0)</f>
        <v>29476.92</v>
      </c>
      <c r="M65" s="41">
        <f>IFERROR(VLOOKUP(A65,Debt[],3,0),0)</f>
        <v>0</v>
      </c>
      <c r="N65" s="41">
        <f>IFERROR(VLOOKUP(A65,Debt[],4,0),0)</f>
        <v>0</v>
      </c>
      <c r="O65" s="41">
        <f>IFERROR(VLOOKUP(A65,Debt[],5,0),0)</f>
        <v>0</v>
      </c>
      <c r="P65" s="41">
        <f>IFERROR(VLOOKUP(A65,Items[],3,0),0)</f>
        <v>56734.91</v>
      </c>
      <c r="Q65" s="41">
        <f>IFERROR(VLOOKUP($A65,Federal[],2,0),0)</f>
        <v>65.27</v>
      </c>
      <c r="R65" s="41">
        <f>IFERROR(VLOOKUP($A65,Federal[],4,0),0)</f>
        <v>49609.32</v>
      </c>
      <c r="S65" s="41"/>
      <c r="T65" s="47">
        <f>IFERROR(VLOOKUP($A65,Program[],3,0),0)</f>
        <v>0</v>
      </c>
      <c r="U65" s="47"/>
      <c r="V65" s="41">
        <f>IFERROR(VLOOKUP($A65,Program[],4,0),0)</f>
        <v>0</v>
      </c>
      <c r="W65" s="41">
        <f>IFERROR(VLOOKUP($A65,Program[],5,0),0)</f>
        <v>0</v>
      </c>
      <c r="X65" s="41"/>
      <c r="Y65" s="41"/>
      <c r="Z65" s="41"/>
      <c r="AA65" s="41">
        <f>IFERROR(VLOOKUP($A65,Program[],6,0),0)</f>
        <v>0</v>
      </c>
      <c r="AB65" s="41"/>
      <c r="AC65" s="41"/>
      <c r="AD65" s="41">
        <f>IFERROR(VLOOKUP($A65,Program[],7,0),0)</f>
        <v>0</v>
      </c>
      <c r="AE65" s="41">
        <f>IFERROR(VLOOKUP($A65,Program[],8,0),0)</f>
        <v>0</v>
      </c>
      <c r="AF65" s="41">
        <f>IFERROR(VLOOKUP($A65,Program[],9,0),0)</f>
        <v>0</v>
      </c>
      <c r="AG65" s="41">
        <f>IFERROR(VLOOKUP($A65,Program[],10,0),0)</f>
        <v>0</v>
      </c>
      <c r="AH65" s="41">
        <f>IFERROR(VLOOKUP($A65,Program[],11,0),0)</f>
        <v>0</v>
      </c>
      <c r="AI65" s="41">
        <f>IFERROR(VLOOKUP($A65,Program[],12,0),0)</f>
        <v>0</v>
      </c>
      <c r="AJ65" s="41"/>
      <c r="AK65" s="41">
        <f>IFERROR(VLOOKUP($A65,Program[],13,0),0)</f>
        <v>0</v>
      </c>
      <c r="AL65" s="41"/>
      <c r="AM65" s="41"/>
      <c r="AN65" s="41"/>
      <c r="AO65" s="41"/>
      <c r="AP65" s="41"/>
      <c r="AQ65" s="41"/>
      <c r="AR65" s="41"/>
      <c r="AS65" s="41">
        <f>IFERROR(VLOOKUP($A65,Program[],14,0),0)</f>
        <v>0</v>
      </c>
      <c r="AT65" s="41"/>
      <c r="AU65" s="41"/>
      <c r="AV65" s="41">
        <f>IFERROR(VLOOKUP($A65,Program[],15,0),0)</f>
        <v>0</v>
      </c>
      <c r="AW65" s="41"/>
      <c r="AX65" s="41">
        <f>IFERROR(VLOOKUP($A65,Program[],16,0),0)</f>
        <v>0</v>
      </c>
      <c r="AY65" s="41">
        <f>IFERROR(VLOOKUP($A65,Program[],17,0),0)</f>
        <v>0</v>
      </c>
      <c r="AZ65" s="41">
        <f>IFERROR(VLOOKUP($A65,Program[],18,0),0)</f>
        <v>0</v>
      </c>
      <c r="BA65" s="41">
        <f>IFERROR(VLOOKUP($A65,Program[],19,0),0)</f>
        <v>43934.04</v>
      </c>
      <c r="BB65" s="77">
        <f t="shared" si="8"/>
        <v>71117.979999999981</v>
      </c>
      <c r="BC65" s="41">
        <f>IFERROR(VLOOKUP(A65,Food[],3,0),0)</f>
        <v>141181.18</v>
      </c>
      <c r="BD65" s="41">
        <f>IFERROR(VLOOKUP($A65,FoodRev[],2,0),0)</f>
        <v>3343.75</v>
      </c>
      <c r="BE65" s="41">
        <f>IFERROR(VLOOKUP($A65,FoodRev[],3,0),0)</f>
        <v>26593.13</v>
      </c>
      <c r="BF65" s="41">
        <f>IFERROR(VLOOKUP($A65,FoodRev[],4,0),0)</f>
        <v>0</v>
      </c>
      <c r="BG65" s="41">
        <f>IFERROR(VLOOKUP($A65,FoodRev[],5,0),0)</f>
        <v>40126.32</v>
      </c>
      <c r="BH65" s="41">
        <f>IFERROR(VLOOKUP($A65,FoodRev[],6,0),0)</f>
        <v>0</v>
      </c>
      <c r="BI65" s="41">
        <f>IFERROR(VLOOKUP($A65,FoodRev[],7,0),0)</f>
        <v>0</v>
      </c>
      <c r="BJ65" s="41">
        <f>IFERROR(VLOOKUP($A65,FoodRev[],8,0),0)</f>
        <v>0</v>
      </c>
      <c r="BK65" s="41">
        <f>IFERROR(VLOOKUP($A65,FoodRev[],9,0),0)</f>
        <v>0</v>
      </c>
      <c r="BL65" s="41">
        <f>IFERROR(VLOOKUP($A65,FoodRev[],10,0),0)</f>
        <v>0</v>
      </c>
      <c r="BM65" s="41">
        <f t="shared" si="6"/>
        <v>70063.199999999997</v>
      </c>
      <c r="BN65" s="42">
        <f t="shared" si="13"/>
        <v>71117.979999999981</v>
      </c>
      <c r="BO65" s="78">
        <f t="shared" si="14"/>
        <v>71117.979999999981</v>
      </c>
      <c r="BP65" s="78">
        <f t="shared" si="15"/>
        <v>0</v>
      </c>
    </row>
    <row r="66" spans="1:68" x14ac:dyDescent="0.25">
      <c r="A66" s="40" t="s">
        <v>426</v>
      </c>
      <c r="B66" s="40" t="s">
        <v>764</v>
      </c>
      <c r="D66" s="203">
        <f t="shared" si="4"/>
        <v>0</v>
      </c>
      <c r="E66" s="41">
        <f>IFERROR(VLOOKUP(A66,Items[],5,0),0)</f>
        <v>6781807.6299999999</v>
      </c>
      <c r="F66" s="42">
        <f t="shared" si="5"/>
        <v>6781807.6299999999</v>
      </c>
      <c r="G66" s="41">
        <v>0</v>
      </c>
      <c r="H66" s="41">
        <f>IFERROR(VLOOKUP(A66,Items[],4,0),0)</f>
        <v>7495747.0899999999</v>
      </c>
      <c r="I66" s="41">
        <f>IFERROR(VLOOKUP(A66,Community[],4,0),0)</f>
        <v>0</v>
      </c>
      <c r="J66" s="41">
        <f>IFERROR(VLOOKUP(A66,Community[],5,0),0)</f>
        <v>0</v>
      </c>
      <c r="K66" s="41">
        <f>IFERROR(VLOOKUP(A66,Community[],6,0),0)</f>
        <v>0</v>
      </c>
      <c r="L66" s="41">
        <f>IFERROR(VLOOKUP(A66,Community[],7,0),0)</f>
        <v>0</v>
      </c>
      <c r="M66" s="41">
        <f>IFERROR(VLOOKUP(A66,Debt[],3,0),0)</f>
        <v>0</v>
      </c>
      <c r="N66" s="41">
        <f>IFERROR(VLOOKUP(A66,Debt[],4,0),0)</f>
        <v>0</v>
      </c>
      <c r="O66" s="41">
        <f>IFERROR(VLOOKUP(A66,Debt[],5,0),0)</f>
        <v>0</v>
      </c>
      <c r="P66" s="41">
        <f>IFERROR(VLOOKUP(A66,Items[],3,0),0)</f>
        <v>151784.98000000001</v>
      </c>
      <c r="Q66" s="41">
        <f>IFERROR(VLOOKUP($A66,Federal[],2,0),0)</f>
        <v>10398.02</v>
      </c>
      <c r="R66" s="41">
        <f>IFERROR(VLOOKUP($A66,Federal[],4,0),0)</f>
        <v>464673.22</v>
      </c>
      <c r="S66" s="41"/>
      <c r="T66" s="47">
        <f>IFERROR(VLOOKUP($A66,Program[],3,0),0)</f>
        <v>0</v>
      </c>
      <c r="U66" s="47"/>
      <c r="V66" s="41">
        <f>IFERROR(VLOOKUP($A66,Program[],4,0),0)</f>
        <v>0</v>
      </c>
      <c r="W66" s="41">
        <f>IFERROR(VLOOKUP($A66,Program[],5,0),0)</f>
        <v>0</v>
      </c>
      <c r="X66" s="41"/>
      <c r="Y66" s="41"/>
      <c r="Z66" s="41"/>
      <c r="AA66" s="41">
        <f>IFERROR(VLOOKUP($A66,Program[],6,0),0)</f>
        <v>0</v>
      </c>
      <c r="AB66" s="41"/>
      <c r="AC66" s="41"/>
      <c r="AD66" s="41">
        <f>IFERROR(VLOOKUP($A66,Program[],7,0),0)</f>
        <v>0</v>
      </c>
      <c r="AE66" s="41">
        <f>IFERROR(VLOOKUP($A66,Program[],8,0),0)</f>
        <v>0</v>
      </c>
      <c r="AF66" s="41">
        <f>IFERROR(VLOOKUP($A66,Program[],9,0),0)</f>
        <v>0</v>
      </c>
      <c r="AG66" s="41">
        <f>IFERROR(VLOOKUP($A66,Program[],10,0),0)</f>
        <v>0</v>
      </c>
      <c r="AH66" s="41">
        <f>IFERROR(VLOOKUP($A66,Program[],11,0),0)</f>
        <v>0</v>
      </c>
      <c r="AI66" s="41">
        <f>IFERROR(VLOOKUP($A66,Program[],12,0),0)</f>
        <v>0</v>
      </c>
      <c r="AJ66" s="41"/>
      <c r="AK66" s="41">
        <f>IFERROR(VLOOKUP($A66,Program[],13,0),0)</f>
        <v>0</v>
      </c>
      <c r="AL66" s="41"/>
      <c r="AM66" s="41"/>
      <c r="AN66" s="41"/>
      <c r="AO66" s="41"/>
      <c r="AP66" s="41"/>
      <c r="AQ66" s="41"/>
      <c r="AR66" s="41"/>
      <c r="AS66" s="41">
        <f>IFERROR(VLOOKUP($A66,Program[],14,0),0)</f>
        <v>0</v>
      </c>
      <c r="AT66" s="41"/>
      <c r="AU66" s="41"/>
      <c r="AV66" s="41">
        <f>IFERROR(VLOOKUP($A66,Program[],15,0),0)</f>
        <v>0</v>
      </c>
      <c r="AW66" s="41"/>
      <c r="AX66" s="41">
        <f>IFERROR(VLOOKUP($A66,Program[],16,0),0)</f>
        <v>0</v>
      </c>
      <c r="AY66" s="41">
        <f>IFERROR(VLOOKUP($A66,Program[],17,0),0)</f>
        <v>0</v>
      </c>
      <c r="AZ66" s="41">
        <f>IFERROR(VLOOKUP($A66,Program[],18,0),0)</f>
        <v>0</v>
      </c>
      <c r="BA66" s="41">
        <f>IFERROR(VLOOKUP($A66,Program[],19,0),0)</f>
        <v>0</v>
      </c>
      <c r="BB66" s="77">
        <f t="shared" si="8"/>
        <v>110713.88000000005</v>
      </c>
      <c r="BC66" s="41">
        <f>IFERROR(VLOOKUP(A66,Food[],3,0),0)</f>
        <v>391022.34</v>
      </c>
      <c r="BD66" s="41">
        <f>IFERROR(VLOOKUP($A66,FoodRev[],2,0),0)</f>
        <v>7061.45</v>
      </c>
      <c r="BE66" s="41">
        <f>IFERROR(VLOOKUP($A66,FoodRev[],3,0),0)</f>
        <v>80021.789999999994</v>
      </c>
      <c r="BF66" s="41">
        <f>IFERROR(VLOOKUP($A66,FoodRev[],4,0),0)</f>
        <v>0</v>
      </c>
      <c r="BG66" s="41">
        <f>IFERROR(VLOOKUP($A66,FoodRev[],5,0),0)</f>
        <v>172203.02</v>
      </c>
      <c r="BH66" s="41">
        <f>IFERROR(VLOOKUP($A66,FoodRev[],6,0),0)</f>
        <v>0</v>
      </c>
      <c r="BI66" s="41">
        <f>IFERROR(VLOOKUP($A66,FoodRev[],7,0),0)</f>
        <v>0</v>
      </c>
      <c r="BJ66" s="41">
        <f>IFERROR(VLOOKUP($A66,FoodRev[],8,0),0)</f>
        <v>21022.2</v>
      </c>
      <c r="BK66" s="41">
        <f>IFERROR(VLOOKUP($A66,FoodRev[],9,0),0)</f>
        <v>0</v>
      </c>
      <c r="BL66" s="41">
        <f>IFERROR(VLOOKUP($A66,FoodRev[],10,0),0)</f>
        <v>0</v>
      </c>
      <c r="BM66" s="41">
        <f t="shared" si="6"/>
        <v>280308.45999999996</v>
      </c>
      <c r="BN66" s="42">
        <f t="shared" si="13"/>
        <v>110713.88000000005</v>
      </c>
      <c r="BO66" s="78">
        <f t="shared" si="14"/>
        <v>110713.88000000005</v>
      </c>
      <c r="BP66" s="78">
        <f t="shared" si="15"/>
        <v>0</v>
      </c>
    </row>
    <row r="67" spans="1:68" x14ac:dyDescent="0.25">
      <c r="A67" s="40" t="s">
        <v>206</v>
      </c>
      <c r="B67" s="40" t="s">
        <v>765</v>
      </c>
      <c r="D67" s="203">
        <f t="shared" si="4"/>
        <v>0</v>
      </c>
      <c r="E67" s="41">
        <f>IFERROR(VLOOKUP(A67,Items[],5,0),0)</f>
        <v>39088152.659999996</v>
      </c>
      <c r="F67" s="42">
        <f>H67-I67-J67-K67-L67-M67-N67-O67-P67-Q67-R67-S67+T67+U67+V67+W67+X67+Y67+Z67+AA67+AB67+AC67+AD67+AE67+AF67+AG67+AH67+AI67+AJ67+AK67+AL67+AM67+AN67+AO67+AP67+AQ67+AR67+AS67+AT67+AU67+AV67+AW67+AX67+AY67+AZ67+BA67+BB67-BC67+BG67+BH67+BI67+BJ67+G67</f>
        <v>39088152.659999996</v>
      </c>
      <c r="G67" s="41">
        <v>0</v>
      </c>
      <c r="H67" s="41">
        <f>IFERROR(VLOOKUP(A67,Items[],4,0),0)</f>
        <v>49190498.130000003</v>
      </c>
      <c r="I67" s="41">
        <f>IFERROR(VLOOKUP(A67,Community[],4,0),0)</f>
        <v>0</v>
      </c>
      <c r="J67" s="41">
        <f>IFERROR(VLOOKUP(A67,Community[],5,0),0)</f>
        <v>0</v>
      </c>
      <c r="K67" s="41">
        <f>IFERROR(VLOOKUP(A67,Community[],6,0),0)</f>
        <v>1621852.219999999</v>
      </c>
      <c r="L67" s="41">
        <f>IFERROR(VLOOKUP(A67,Community[],7,0),0)</f>
        <v>162165.38999999996</v>
      </c>
      <c r="M67" s="41">
        <f>IFERROR(VLOOKUP(A67,Debt[],3,0),0)</f>
        <v>5096.1899999999996</v>
      </c>
      <c r="N67" s="41">
        <f>IFERROR(VLOOKUP(A67,Debt[],4,0),0)</f>
        <v>105144.03</v>
      </c>
      <c r="O67" s="41">
        <f>IFERROR(VLOOKUP(A67,Debt[],5,0),0)</f>
        <v>154058.15</v>
      </c>
      <c r="P67" s="41">
        <f>IFERROR(VLOOKUP(A67,Items[],3,0),0)</f>
        <v>500787.7</v>
      </c>
      <c r="Q67" s="41">
        <f>IFERROR(VLOOKUP($A67,Federal[],2,0),0)</f>
        <v>562550.86</v>
      </c>
      <c r="R67" s="41">
        <f>IFERROR(VLOOKUP($A67,Federal[],4,0),0)</f>
        <v>7076790.2199999997</v>
      </c>
      <c r="S67" s="41"/>
      <c r="T67" s="47">
        <f>IFERROR(VLOOKUP($A67,Program[],3,0),0)</f>
        <v>0</v>
      </c>
      <c r="U67" s="47"/>
      <c r="V67" s="41">
        <f>IFERROR(VLOOKUP($A67,Program[],4,0),0)</f>
        <v>0</v>
      </c>
      <c r="W67" s="41">
        <f>IFERROR(VLOOKUP($A67,Program[],5,0),0)</f>
        <v>0</v>
      </c>
      <c r="X67" s="41"/>
      <c r="Y67" s="41"/>
      <c r="Z67" s="41"/>
      <c r="AA67" s="41">
        <f>IFERROR(VLOOKUP($A67,Program[],6,0),0)</f>
        <v>0</v>
      </c>
      <c r="AB67" s="41"/>
      <c r="AC67" s="41"/>
      <c r="AD67" s="41">
        <f>IFERROR(VLOOKUP($A67,Program[],7,0),0)</f>
        <v>0</v>
      </c>
      <c r="AE67" s="41">
        <f>IFERROR(VLOOKUP($A67,Program[],8,0),0)</f>
        <v>0</v>
      </c>
      <c r="AF67" s="41">
        <f>IFERROR(VLOOKUP($A67,Program[],9,0),0)</f>
        <v>0</v>
      </c>
      <c r="AG67" s="41">
        <f>IFERROR(VLOOKUP($A67,Program[],10,0),0)</f>
        <v>0</v>
      </c>
      <c r="AH67" s="41">
        <f>IFERROR(VLOOKUP($A67,Program[],11,0),0)</f>
        <v>0</v>
      </c>
      <c r="AI67" s="41">
        <f>IFERROR(VLOOKUP($A67,Program[],12,0),0)</f>
        <v>72539.69</v>
      </c>
      <c r="AJ67" s="41"/>
      <c r="AK67" s="41">
        <f>IFERROR(VLOOKUP($A67,Program[],13,0),0)</f>
        <v>0</v>
      </c>
      <c r="AL67" s="41"/>
      <c r="AM67" s="41"/>
      <c r="AN67" s="41"/>
      <c r="AO67" s="41"/>
      <c r="AP67" s="41"/>
      <c r="AQ67" s="41"/>
      <c r="AR67" s="41"/>
      <c r="AS67" s="41">
        <f>IFERROR(VLOOKUP($A67,Program[],14,0),0)</f>
        <v>0</v>
      </c>
      <c r="AT67" s="41"/>
      <c r="AU67" s="41"/>
      <c r="AV67" s="41">
        <f>IFERROR(VLOOKUP($A67,Program[],15,0),0)</f>
        <v>0</v>
      </c>
      <c r="AW67" s="41"/>
      <c r="AX67" s="41">
        <f>IFERROR(VLOOKUP($A67,Program[],16,0),0)</f>
        <v>0</v>
      </c>
      <c r="AY67" s="41">
        <f>IFERROR(VLOOKUP($A67,Program[],17,0),0)</f>
        <v>0</v>
      </c>
      <c r="AZ67" s="41">
        <f>IFERROR(VLOOKUP($A67,Program[],18,0),0)</f>
        <v>0</v>
      </c>
      <c r="BA67" s="41">
        <f>IFERROR(VLOOKUP($A67,Program[],19,0),0)</f>
        <v>0</v>
      </c>
      <c r="BB67" s="77">
        <f t="shared" si="8"/>
        <v>0</v>
      </c>
      <c r="BC67" s="41">
        <f>IFERROR(VLOOKUP(A67,Food[],3,0),0)</f>
        <v>2032643.42</v>
      </c>
      <c r="BD67" s="41">
        <f>IFERROR(VLOOKUP($A67,FoodRev[],2,0),0)</f>
        <v>5976</v>
      </c>
      <c r="BE67" s="41">
        <f>IFERROR(VLOOKUP($A67,FoodRev[],3,0),0)</f>
        <v>43978.879999999997</v>
      </c>
      <c r="BF67" s="41">
        <f>IFERROR(VLOOKUP($A67,FoodRev[],4,0),0)</f>
        <v>0</v>
      </c>
      <c r="BG67" s="41">
        <f>IFERROR(VLOOKUP($A67,FoodRev[],5,0),0)</f>
        <v>1974877.91</v>
      </c>
      <c r="BH67" s="41">
        <f>IFERROR(VLOOKUP($A67,FoodRev[],6,0),0)</f>
        <v>0</v>
      </c>
      <c r="BI67" s="41">
        <f>IFERROR(VLOOKUP($A67,FoodRev[],7,0),0)</f>
        <v>0</v>
      </c>
      <c r="BJ67" s="41">
        <f>IFERROR(VLOOKUP($A67,FoodRev[],8,0),0)</f>
        <v>71325.11</v>
      </c>
      <c r="BK67" s="41">
        <f>IFERROR(VLOOKUP($A67,FoodRev[],9,0),0)</f>
        <v>0</v>
      </c>
      <c r="BL67" s="41">
        <f>IFERROR(VLOOKUP($A67,FoodRev[],10,0),0)</f>
        <v>0</v>
      </c>
      <c r="BM67" s="41">
        <f t="shared" si="6"/>
        <v>2096157.9</v>
      </c>
      <c r="BN67" s="42">
        <f t="shared" si="13"/>
        <v>-63514.47999999988</v>
      </c>
      <c r="BO67" s="78">
        <f t="shared" si="14"/>
        <v>0</v>
      </c>
      <c r="BP67" s="78">
        <f t="shared" si="15"/>
        <v>-63514.47999999988</v>
      </c>
    </row>
    <row r="68" spans="1:68" x14ac:dyDescent="0.25">
      <c r="A68" s="40" t="s">
        <v>180</v>
      </c>
      <c r="B68" s="40" t="s">
        <v>766</v>
      </c>
      <c r="D68" s="203">
        <f t="shared" si="4"/>
        <v>7.4505805969238281E-9</v>
      </c>
      <c r="E68" s="41">
        <f>IFERROR(VLOOKUP(A68,Items[],5,0),0)</f>
        <v>54270365.140000001</v>
      </c>
      <c r="F68" s="42">
        <f t="shared" si="5"/>
        <v>54270365.139999993</v>
      </c>
      <c r="G68" s="41">
        <v>0</v>
      </c>
      <c r="H68" s="41">
        <f>IFERROR(VLOOKUP(A68,Items[],4,0),0)</f>
        <v>59694929.229999997</v>
      </c>
      <c r="I68" s="41">
        <f>IFERROR(VLOOKUP(A68,Community[],4,0),0)</f>
        <v>0</v>
      </c>
      <c r="J68" s="41">
        <f>IFERROR(VLOOKUP(A68,Community[],5,0),0)</f>
        <v>0</v>
      </c>
      <c r="K68" s="41">
        <f>IFERROR(VLOOKUP(A68,Community[],6,0),0)</f>
        <v>0</v>
      </c>
      <c r="L68" s="41">
        <f>IFERROR(VLOOKUP(A68,Community[],7,0),0)</f>
        <v>0</v>
      </c>
      <c r="M68" s="41">
        <f>IFERROR(VLOOKUP(A68,Debt[],3,0),0)</f>
        <v>4982.09</v>
      </c>
      <c r="N68" s="41">
        <f>IFERROR(VLOOKUP(A68,Debt[],4,0),0)</f>
        <v>48717.87</v>
      </c>
      <c r="O68" s="41">
        <f>IFERROR(VLOOKUP(A68,Debt[],5,0),0)</f>
        <v>0</v>
      </c>
      <c r="P68" s="41">
        <f>IFERROR(VLOOKUP(A68,Items[],3,0),0)</f>
        <v>51282</v>
      </c>
      <c r="Q68" s="41">
        <f>IFERROR(VLOOKUP($A68,Federal[],2,0),0)</f>
        <v>378.54</v>
      </c>
      <c r="R68" s="41">
        <f>IFERROR(VLOOKUP($A68,Federal[],4,0),0)</f>
        <v>5278355.03</v>
      </c>
      <c r="S68" s="41"/>
      <c r="T68" s="47">
        <f>IFERROR(VLOOKUP($A68,Program[],3,0),0)</f>
        <v>0</v>
      </c>
      <c r="U68" s="47"/>
      <c r="V68" s="41">
        <f>IFERROR(VLOOKUP($A68,Program[],4,0),0)</f>
        <v>0</v>
      </c>
      <c r="W68" s="41">
        <f>IFERROR(VLOOKUP($A68,Program[],5,0),0)</f>
        <v>0</v>
      </c>
      <c r="X68" s="41"/>
      <c r="Y68" s="41"/>
      <c r="Z68" s="41"/>
      <c r="AA68" s="41">
        <f>IFERROR(VLOOKUP($A68,Program[],6,0),0)</f>
        <v>0</v>
      </c>
      <c r="AB68" s="41"/>
      <c r="AC68" s="41"/>
      <c r="AD68" s="41">
        <f>IFERROR(VLOOKUP($A68,Program[],7,0),0)</f>
        <v>0</v>
      </c>
      <c r="AE68" s="41">
        <f>IFERROR(VLOOKUP($A68,Program[],8,0),0)</f>
        <v>0</v>
      </c>
      <c r="AF68" s="41">
        <f>IFERROR(VLOOKUP($A68,Program[],9,0),0)</f>
        <v>0</v>
      </c>
      <c r="AG68" s="41">
        <f>IFERROR(VLOOKUP($A68,Program[],10,0),0)</f>
        <v>0</v>
      </c>
      <c r="AH68" s="41">
        <f>IFERROR(VLOOKUP($A68,Program[],11,0),0)</f>
        <v>0</v>
      </c>
      <c r="AI68" s="41">
        <f>IFERROR(VLOOKUP($A68,Program[],12,0),0)</f>
        <v>0</v>
      </c>
      <c r="AJ68" s="41"/>
      <c r="AK68" s="41">
        <f>IFERROR(VLOOKUP($A68,Program[],13,0),0)</f>
        <v>0</v>
      </c>
      <c r="AL68" s="41"/>
      <c r="AM68" s="41"/>
      <c r="AN68" s="41"/>
      <c r="AO68" s="41"/>
      <c r="AP68" s="41"/>
      <c r="AQ68" s="41"/>
      <c r="AR68" s="41"/>
      <c r="AS68" s="41">
        <f>IFERROR(VLOOKUP($A68,Program[],14,0),0)</f>
        <v>0</v>
      </c>
      <c r="AT68" s="41"/>
      <c r="AU68" s="41"/>
      <c r="AV68" s="41">
        <f>IFERROR(VLOOKUP($A68,Program[],15,0),0)</f>
        <v>0</v>
      </c>
      <c r="AW68" s="41"/>
      <c r="AX68" s="41">
        <f>IFERROR(VLOOKUP($A68,Program[],16,0),0)</f>
        <v>0</v>
      </c>
      <c r="AY68" s="41">
        <f>IFERROR(VLOOKUP($A68,Program[],17,0),0)</f>
        <v>0</v>
      </c>
      <c r="AZ68" s="41">
        <f>IFERROR(VLOOKUP($A68,Program[],18,0),0)</f>
        <v>0</v>
      </c>
      <c r="BA68" s="41">
        <f>IFERROR(VLOOKUP($A68,Program[],19,0),0)</f>
        <v>0</v>
      </c>
      <c r="BB68" s="77">
        <f t="shared" si="8"/>
        <v>0</v>
      </c>
      <c r="BC68" s="41">
        <f>IFERROR(VLOOKUP(A68,Food[],3,0),0)</f>
        <v>2366938.63</v>
      </c>
      <c r="BD68" s="41">
        <f>IFERROR(VLOOKUP($A68,FoodRev[],2,0),0)</f>
        <v>12129.8</v>
      </c>
      <c r="BE68" s="41">
        <f>IFERROR(VLOOKUP($A68,FoodRev[],3,0),0)</f>
        <v>83552.69</v>
      </c>
      <c r="BF68" s="41">
        <f>IFERROR(VLOOKUP($A68,FoodRev[],4,0),0)</f>
        <v>0</v>
      </c>
      <c r="BG68" s="41">
        <f>IFERROR(VLOOKUP($A68,FoodRev[],5,0),0)</f>
        <v>2207073.35</v>
      </c>
      <c r="BH68" s="41">
        <f>IFERROR(VLOOKUP($A68,FoodRev[],6,0),0)</f>
        <v>0</v>
      </c>
      <c r="BI68" s="41">
        <f>IFERROR(VLOOKUP($A68,FoodRev[],7,0),0)</f>
        <v>0</v>
      </c>
      <c r="BJ68" s="41">
        <f>IFERROR(VLOOKUP($A68,FoodRev[],8,0),0)</f>
        <v>119016.72</v>
      </c>
      <c r="BK68" s="41">
        <f>IFERROR(VLOOKUP($A68,FoodRev[],9,0),0)</f>
        <v>0</v>
      </c>
      <c r="BL68" s="41">
        <f>IFERROR(VLOOKUP($A68,FoodRev[],10,0),0)</f>
        <v>0</v>
      </c>
      <c r="BM68" s="41">
        <f t="shared" si="6"/>
        <v>2421772.5600000005</v>
      </c>
      <c r="BN68" s="42">
        <f t="shared" si="13"/>
        <v>-54833.929999999964</v>
      </c>
      <c r="BO68" s="78">
        <f t="shared" si="14"/>
        <v>0</v>
      </c>
      <c r="BP68" s="78">
        <f t="shared" si="15"/>
        <v>-54833.929999999964</v>
      </c>
    </row>
    <row r="69" spans="1:68" x14ac:dyDescent="0.25">
      <c r="A69" s="40" t="s">
        <v>294</v>
      </c>
      <c r="B69" s="40" t="s">
        <v>767</v>
      </c>
      <c r="D69" s="203">
        <f t="shared" si="4"/>
        <v>1.862645149230957E-9</v>
      </c>
      <c r="E69" s="41">
        <f>IFERROR(VLOOKUP(A69,Items[],5,0),0)</f>
        <v>15407544.720000001</v>
      </c>
      <c r="F69" s="42">
        <f t="shared" si="5"/>
        <v>15407544.719999999</v>
      </c>
      <c r="G69" s="41">
        <v>0</v>
      </c>
      <c r="H69" s="41">
        <f>IFERROR(VLOOKUP(A69,Items[],4,0),0)</f>
        <v>17216726.969999999</v>
      </c>
      <c r="I69" s="41">
        <f>IFERROR(VLOOKUP(A69,Community[],4,0),0)</f>
        <v>0</v>
      </c>
      <c r="J69" s="41">
        <f>IFERROR(VLOOKUP(A69,Community[],5,0),0)</f>
        <v>0</v>
      </c>
      <c r="K69" s="41">
        <f>IFERROR(VLOOKUP(A69,Community[],6,0),0)</f>
        <v>0</v>
      </c>
      <c r="L69" s="41">
        <f>IFERROR(VLOOKUP(A69,Community[],7,0),0)</f>
        <v>0</v>
      </c>
      <c r="M69" s="41">
        <f>IFERROR(VLOOKUP(A69,Debt[],3,0),0)</f>
        <v>74.44</v>
      </c>
      <c r="N69" s="41">
        <f>IFERROR(VLOOKUP(A69,Debt[],4,0),0)</f>
        <v>2805.56</v>
      </c>
      <c r="O69" s="41">
        <f>IFERROR(VLOOKUP(A69,Debt[],5,0),0)</f>
        <v>0</v>
      </c>
      <c r="P69" s="41">
        <f>IFERROR(VLOOKUP(A69,Items[],3,0),0)</f>
        <v>68349.03</v>
      </c>
      <c r="Q69" s="41">
        <f>IFERROR(VLOOKUP($A69,Federal[],2,0),0)</f>
        <v>579.21</v>
      </c>
      <c r="R69" s="41">
        <f>IFERROR(VLOOKUP($A69,Federal[],4,0),0)</f>
        <v>1591571.04</v>
      </c>
      <c r="S69" s="41"/>
      <c r="T69" s="47">
        <f>IFERROR(VLOOKUP($A69,Program[],3,0),0)</f>
        <v>0</v>
      </c>
      <c r="U69" s="47"/>
      <c r="V69" s="41">
        <f>IFERROR(VLOOKUP($A69,Program[],4,0),0)</f>
        <v>0</v>
      </c>
      <c r="W69" s="41">
        <f>IFERROR(VLOOKUP($A69,Program[],5,0),0)</f>
        <v>0</v>
      </c>
      <c r="X69" s="41"/>
      <c r="Y69" s="41"/>
      <c r="Z69" s="41"/>
      <c r="AA69" s="41">
        <f>IFERROR(VLOOKUP($A69,Program[],6,0),0)</f>
        <v>0</v>
      </c>
      <c r="AB69" s="41"/>
      <c r="AC69" s="41"/>
      <c r="AD69" s="41">
        <f>IFERROR(VLOOKUP($A69,Program[],7,0),0)</f>
        <v>0</v>
      </c>
      <c r="AE69" s="41">
        <f>IFERROR(VLOOKUP($A69,Program[],8,0),0)</f>
        <v>0</v>
      </c>
      <c r="AF69" s="41">
        <f>IFERROR(VLOOKUP($A69,Program[],9,0),0)</f>
        <v>0</v>
      </c>
      <c r="AG69" s="41">
        <f>IFERROR(VLOOKUP($A69,Program[],10,0),0)</f>
        <v>0</v>
      </c>
      <c r="AH69" s="41">
        <f>IFERROR(VLOOKUP($A69,Program[],11,0),0)</f>
        <v>0</v>
      </c>
      <c r="AI69" s="41">
        <f>IFERROR(VLOOKUP($A69,Program[],12,0),0)</f>
        <v>0</v>
      </c>
      <c r="AJ69" s="41"/>
      <c r="AK69" s="41">
        <f>IFERROR(VLOOKUP($A69,Program[],13,0),0)</f>
        <v>0</v>
      </c>
      <c r="AL69" s="41"/>
      <c r="AM69" s="41"/>
      <c r="AN69" s="41"/>
      <c r="AO69" s="41"/>
      <c r="AP69" s="41"/>
      <c r="AQ69" s="41"/>
      <c r="AR69" s="41"/>
      <c r="AS69" s="41">
        <f>IFERROR(VLOOKUP($A69,Program[],14,0),0)</f>
        <v>0</v>
      </c>
      <c r="AT69" s="41"/>
      <c r="AU69" s="41"/>
      <c r="AV69" s="41">
        <f>IFERROR(VLOOKUP($A69,Program[],15,0),0)</f>
        <v>0</v>
      </c>
      <c r="AW69" s="41"/>
      <c r="AX69" s="41">
        <f>IFERROR(VLOOKUP($A69,Program[],16,0),0)</f>
        <v>0</v>
      </c>
      <c r="AY69" s="41">
        <f>IFERROR(VLOOKUP($A69,Program[],17,0),0)</f>
        <v>0</v>
      </c>
      <c r="AZ69" s="41">
        <f>IFERROR(VLOOKUP($A69,Program[],18,0),0)</f>
        <v>0</v>
      </c>
      <c r="BA69" s="41">
        <f>IFERROR(VLOOKUP($A69,Program[],19,0),0)</f>
        <v>0</v>
      </c>
      <c r="BB69" s="77">
        <f t="shared" si="8"/>
        <v>517877.22000000015</v>
      </c>
      <c r="BC69" s="41">
        <f>IFERROR(VLOOKUP(A69,Food[],3,0),0)</f>
        <v>678476.99000000011</v>
      </c>
      <c r="BD69" s="41">
        <f>IFERROR(VLOOKUP($A69,FoodRev[],2,0),0)</f>
        <v>7567.19</v>
      </c>
      <c r="BE69" s="41">
        <f>IFERROR(VLOOKUP($A69,FoodRev[],3,0),0)</f>
        <v>138235.78</v>
      </c>
      <c r="BF69" s="41">
        <f>IFERROR(VLOOKUP($A69,FoodRev[],4,0),0)</f>
        <v>0</v>
      </c>
      <c r="BG69" s="41">
        <f>IFERROR(VLOOKUP($A69,FoodRev[],5,0),0)</f>
        <v>0</v>
      </c>
      <c r="BH69" s="41">
        <f>IFERROR(VLOOKUP($A69,FoodRev[],6,0),0)</f>
        <v>0</v>
      </c>
      <c r="BI69" s="41">
        <f>IFERROR(VLOOKUP($A69,FoodRev[],7,0),0)</f>
        <v>0</v>
      </c>
      <c r="BJ69" s="41">
        <f>IFERROR(VLOOKUP($A69,FoodRev[],8,0),0)</f>
        <v>14796.8</v>
      </c>
      <c r="BK69" s="41">
        <f>IFERROR(VLOOKUP($A69,FoodRev[],9,0),0)</f>
        <v>0</v>
      </c>
      <c r="BL69" s="41">
        <f>IFERROR(VLOOKUP($A69,FoodRev[],10,0),0)</f>
        <v>0</v>
      </c>
      <c r="BM69" s="41">
        <f t="shared" si="6"/>
        <v>160599.76999999999</v>
      </c>
      <c r="BN69" s="42">
        <f t="shared" si="13"/>
        <v>517877.22000000015</v>
      </c>
      <c r="BO69" s="78">
        <f t="shared" si="14"/>
        <v>517877.22000000015</v>
      </c>
      <c r="BP69" s="78">
        <f t="shared" si="15"/>
        <v>0</v>
      </c>
    </row>
    <row r="70" spans="1:68" x14ac:dyDescent="0.25">
      <c r="A70" s="40" t="s">
        <v>472</v>
      </c>
      <c r="B70" s="40" t="s">
        <v>1007</v>
      </c>
      <c r="D70" s="203">
        <f t="shared" si="4"/>
        <v>4.6566128730773926E-10</v>
      </c>
      <c r="E70" s="41">
        <f>IFERROR(VLOOKUP(A70,Items[],5,0),0)</f>
        <v>4176203.67</v>
      </c>
      <c r="F70" s="42">
        <f t="shared" si="5"/>
        <v>4176203.6699999995</v>
      </c>
      <c r="G70" s="41">
        <v>0</v>
      </c>
      <c r="H70" s="41">
        <f>IFERROR(VLOOKUP(A70,Items[],4,0),0)</f>
        <v>4605159.05</v>
      </c>
      <c r="I70" s="41">
        <f>IFERROR(VLOOKUP(A70,Community[],4,0),0)</f>
        <v>0</v>
      </c>
      <c r="J70" s="41">
        <f>IFERROR(VLOOKUP(A70,Community[],5,0),0)</f>
        <v>0</v>
      </c>
      <c r="K70" s="41">
        <f>IFERROR(VLOOKUP(A70,Community[],6,0),0)</f>
        <v>12375.35</v>
      </c>
      <c r="L70" s="41">
        <f>IFERROR(VLOOKUP(A70,Community[],7,0),0)</f>
        <v>0</v>
      </c>
      <c r="M70" s="41">
        <f>IFERROR(VLOOKUP(A70,Debt[],3,0),0)</f>
        <v>0</v>
      </c>
      <c r="N70" s="41">
        <f>IFERROR(VLOOKUP(A70,Debt[],4,0),0)</f>
        <v>0</v>
      </c>
      <c r="O70" s="41">
        <f>IFERROR(VLOOKUP(A70,Debt[],5,0),0)</f>
        <v>0</v>
      </c>
      <c r="P70" s="41">
        <f>IFERROR(VLOOKUP(A70,Items[],3,0),0)</f>
        <v>0</v>
      </c>
      <c r="Q70" s="41">
        <f>IFERROR(VLOOKUP($A70,Federal[],2,0),0)</f>
        <v>23.23</v>
      </c>
      <c r="R70" s="41">
        <f>IFERROR(VLOOKUP($A70,Federal[],4,0),0)</f>
        <v>375509.43</v>
      </c>
      <c r="S70" s="41"/>
      <c r="T70" s="47">
        <f>IFERROR(VLOOKUP($A70,Program[],3,0),0)</f>
        <v>0</v>
      </c>
      <c r="U70" s="47"/>
      <c r="V70" s="41">
        <f>IFERROR(VLOOKUP($A70,Program[],4,0),0)</f>
        <v>0</v>
      </c>
      <c r="W70" s="41">
        <f>IFERROR(VLOOKUP($A70,Program[],5,0),0)</f>
        <v>0</v>
      </c>
      <c r="X70" s="41"/>
      <c r="Y70" s="41"/>
      <c r="Z70" s="41"/>
      <c r="AA70" s="41">
        <f>IFERROR(VLOOKUP($A70,Program[],6,0),0)</f>
        <v>0</v>
      </c>
      <c r="AB70" s="41"/>
      <c r="AC70" s="41"/>
      <c r="AD70" s="41">
        <f>IFERROR(VLOOKUP($A70,Program[],7,0),0)</f>
        <v>0</v>
      </c>
      <c r="AE70" s="41">
        <f>IFERROR(VLOOKUP($A70,Program[],8,0),0)</f>
        <v>0</v>
      </c>
      <c r="AF70" s="41">
        <f>IFERROR(VLOOKUP($A70,Program[],9,0),0)</f>
        <v>0</v>
      </c>
      <c r="AG70" s="41">
        <f>IFERROR(VLOOKUP($A70,Program[],10,0),0)</f>
        <v>0</v>
      </c>
      <c r="AH70" s="41">
        <f>IFERROR(VLOOKUP($A70,Program[],11,0),0)</f>
        <v>0</v>
      </c>
      <c r="AI70" s="41">
        <f>IFERROR(VLOOKUP($A70,Program[],12,0),0)</f>
        <v>0</v>
      </c>
      <c r="AJ70" s="41"/>
      <c r="AK70" s="41">
        <f>IFERROR(VLOOKUP($A70,Program[],13,0),0)</f>
        <v>0</v>
      </c>
      <c r="AL70" s="41"/>
      <c r="AM70" s="41"/>
      <c r="AN70" s="41"/>
      <c r="AO70" s="41"/>
      <c r="AP70" s="41"/>
      <c r="AQ70" s="41"/>
      <c r="AR70" s="41"/>
      <c r="AS70" s="41">
        <f>IFERROR(VLOOKUP($A70,Program[],14,0),0)</f>
        <v>0</v>
      </c>
      <c r="AT70" s="41"/>
      <c r="AU70" s="41"/>
      <c r="AV70" s="41">
        <f>IFERROR(VLOOKUP($A70,Program[],15,0),0)</f>
        <v>0</v>
      </c>
      <c r="AW70" s="41"/>
      <c r="AX70" s="41">
        <f>IFERROR(VLOOKUP($A70,Program[],16,0),0)</f>
        <v>0</v>
      </c>
      <c r="AY70" s="41">
        <f>IFERROR(VLOOKUP($A70,Program[],17,0),0)</f>
        <v>0</v>
      </c>
      <c r="AZ70" s="41">
        <f>IFERROR(VLOOKUP($A70,Program[],18,0),0)</f>
        <v>0</v>
      </c>
      <c r="BA70" s="41">
        <f>IFERROR(VLOOKUP($A70,Program[],19,0),0)</f>
        <v>0</v>
      </c>
      <c r="BB70" s="77">
        <f t="shared" si="8"/>
        <v>61204.810000000005</v>
      </c>
      <c r="BC70" s="41">
        <f>IFERROR(VLOOKUP(A70,Food[],3,0),0)</f>
        <v>192084.87</v>
      </c>
      <c r="BD70" s="41">
        <f>IFERROR(VLOOKUP($A70,FoodRev[],2,0),0)</f>
        <v>21194.54</v>
      </c>
      <c r="BE70" s="41">
        <f>IFERROR(VLOOKUP($A70,FoodRev[],3,0),0)</f>
        <v>19852.830000000002</v>
      </c>
      <c r="BF70" s="41">
        <f>IFERROR(VLOOKUP($A70,FoodRev[],4,0),0)</f>
        <v>0</v>
      </c>
      <c r="BG70" s="41">
        <f>IFERROR(VLOOKUP($A70,FoodRev[],5,0),0)</f>
        <v>76009.789999999994</v>
      </c>
      <c r="BH70" s="41">
        <f>IFERROR(VLOOKUP($A70,FoodRev[],6,0),0)</f>
        <v>0</v>
      </c>
      <c r="BI70" s="41">
        <f>IFERROR(VLOOKUP($A70,FoodRev[],7,0),0)</f>
        <v>0</v>
      </c>
      <c r="BJ70" s="41">
        <f>IFERROR(VLOOKUP($A70,FoodRev[],8,0),0)</f>
        <v>13822.9</v>
      </c>
      <c r="BK70" s="41">
        <f>IFERROR(VLOOKUP($A70,FoodRev[],9,0),0)</f>
        <v>0</v>
      </c>
      <c r="BL70" s="41">
        <f>IFERROR(VLOOKUP($A70,FoodRev[],10,0),0)</f>
        <v>0</v>
      </c>
      <c r="BM70" s="41">
        <f t="shared" si="6"/>
        <v>130880.06</v>
      </c>
      <c r="BN70" s="42">
        <f t="shared" si="13"/>
        <v>61204.810000000005</v>
      </c>
      <c r="BO70" s="78">
        <f t="shared" si="14"/>
        <v>61204.810000000005</v>
      </c>
      <c r="BP70" s="78">
        <f t="shared" si="15"/>
        <v>0</v>
      </c>
    </row>
    <row r="71" spans="1:68" x14ac:dyDescent="0.25">
      <c r="A71" s="40" t="s">
        <v>386</v>
      </c>
      <c r="B71" s="40" t="s">
        <v>768</v>
      </c>
      <c r="D71" s="203">
        <f t="shared" ref="D71:D134" si="22">SUM(E71-F71)</f>
        <v>1.862645149230957E-9</v>
      </c>
      <c r="E71" s="41">
        <f>IFERROR(VLOOKUP(A71,Items[],5,0),0)</f>
        <v>9548998.6999999993</v>
      </c>
      <c r="F71" s="42">
        <f t="shared" si="5"/>
        <v>9548998.6999999974</v>
      </c>
      <c r="G71" s="41">
        <v>0</v>
      </c>
      <c r="H71" s="41">
        <f>IFERROR(VLOOKUP(A71,Items[],4,0),0)</f>
        <v>10860101.140000001</v>
      </c>
      <c r="I71" s="41">
        <f>IFERROR(VLOOKUP(A71,Community[],4,0),0)</f>
        <v>0</v>
      </c>
      <c r="J71" s="41">
        <f>IFERROR(VLOOKUP(A71,Community[],5,0),0)</f>
        <v>0</v>
      </c>
      <c r="K71" s="41">
        <f>IFERROR(VLOOKUP(A71,Community[],6,0),0)</f>
        <v>31063.39</v>
      </c>
      <c r="L71" s="41">
        <f>IFERROR(VLOOKUP(A71,Community[],7,0),0)</f>
        <v>37383.460000000006</v>
      </c>
      <c r="M71" s="41">
        <f>IFERROR(VLOOKUP(A71,Debt[],3,0),0)</f>
        <v>713.24</v>
      </c>
      <c r="N71" s="41">
        <f>IFERROR(VLOOKUP(A71,Debt[],4,0),0)</f>
        <v>16313.56</v>
      </c>
      <c r="O71" s="41">
        <f>IFERROR(VLOOKUP(A71,Debt[],5,0),0)</f>
        <v>0</v>
      </c>
      <c r="P71" s="41">
        <f>IFERROR(VLOOKUP(A71,Items[],3,0),0)</f>
        <v>13656.56</v>
      </c>
      <c r="Q71" s="41">
        <f>IFERROR(VLOOKUP($A71,Federal[],2,0),0)</f>
        <v>63.82</v>
      </c>
      <c r="R71" s="41">
        <f>IFERROR(VLOOKUP($A71,Federal[],4,0),0)</f>
        <v>1211202.69</v>
      </c>
      <c r="S71" s="41"/>
      <c r="T71" s="47">
        <f>IFERROR(VLOOKUP($A71,Program[],3,0),0)</f>
        <v>0</v>
      </c>
      <c r="U71" s="47"/>
      <c r="V71" s="41">
        <f>IFERROR(VLOOKUP($A71,Program[],4,0),0)</f>
        <v>0</v>
      </c>
      <c r="W71" s="41">
        <f>IFERROR(VLOOKUP($A71,Program[],5,0),0)</f>
        <v>0</v>
      </c>
      <c r="X71" s="41"/>
      <c r="Y71" s="41"/>
      <c r="Z71" s="41"/>
      <c r="AA71" s="41">
        <f>IFERROR(VLOOKUP($A71,Program[],6,0),0)</f>
        <v>0</v>
      </c>
      <c r="AB71" s="41"/>
      <c r="AC71" s="41"/>
      <c r="AD71" s="41">
        <f>IFERROR(VLOOKUP($A71,Program[],7,0),0)</f>
        <v>0</v>
      </c>
      <c r="AE71" s="41">
        <f>IFERROR(VLOOKUP($A71,Program[],8,0),0)</f>
        <v>0</v>
      </c>
      <c r="AF71" s="41">
        <f>IFERROR(VLOOKUP($A71,Program[],9,0),0)</f>
        <v>0</v>
      </c>
      <c r="AG71" s="41">
        <f>IFERROR(VLOOKUP($A71,Program[],10,0),0)</f>
        <v>0</v>
      </c>
      <c r="AH71" s="41">
        <f>IFERROR(VLOOKUP($A71,Program[],11,0),0)</f>
        <v>0</v>
      </c>
      <c r="AI71" s="41">
        <f>IFERROR(VLOOKUP($A71,Program[],12,0),0)</f>
        <v>0</v>
      </c>
      <c r="AJ71" s="41"/>
      <c r="AK71" s="41">
        <f>IFERROR(VLOOKUP($A71,Program[],13,0),0)</f>
        <v>0</v>
      </c>
      <c r="AL71" s="41"/>
      <c r="AM71" s="41"/>
      <c r="AN71" s="41"/>
      <c r="AO71" s="41"/>
      <c r="AP71" s="41"/>
      <c r="AQ71" s="41"/>
      <c r="AR71" s="41"/>
      <c r="AS71" s="41">
        <f>IFERROR(VLOOKUP($A71,Program[],14,0),0)</f>
        <v>0</v>
      </c>
      <c r="AT71" s="41"/>
      <c r="AU71" s="41"/>
      <c r="AV71" s="41">
        <f>IFERROR(VLOOKUP($A71,Program[],15,0),0)</f>
        <v>0</v>
      </c>
      <c r="AW71" s="41"/>
      <c r="AX71" s="41">
        <f>IFERROR(VLOOKUP($A71,Program[],16,0),0)</f>
        <v>0</v>
      </c>
      <c r="AY71" s="41">
        <f>IFERROR(VLOOKUP($A71,Program[],17,0),0)</f>
        <v>0</v>
      </c>
      <c r="AZ71" s="41">
        <f>IFERROR(VLOOKUP($A71,Program[],18,0),0)</f>
        <v>0</v>
      </c>
      <c r="BA71" s="41">
        <f>IFERROR(VLOOKUP($A71,Program[],19,0),0)</f>
        <v>13656.56</v>
      </c>
      <c r="BB71" s="77">
        <f t="shared" si="8"/>
        <v>40581.039999999979</v>
      </c>
      <c r="BC71" s="41">
        <f>IFERROR(VLOOKUP(A71,Food[],3,0),0)</f>
        <v>504249.09</v>
      </c>
      <c r="BD71" s="41">
        <f>IFERROR(VLOOKUP($A71,FoodRev[],2,0),0)</f>
        <v>1794</v>
      </c>
      <c r="BE71" s="41">
        <f>IFERROR(VLOOKUP($A71,FoodRev[],3,0),0)</f>
        <v>12568.28</v>
      </c>
      <c r="BF71" s="41">
        <f>IFERROR(VLOOKUP($A71,FoodRev[],4,0),0)</f>
        <v>0</v>
      </c>
      <c r="BG71" s="41">
        <f>IFERROR(VLOOKUP($A71,FoodRev[],5,0),0)</f>
        <v>421392.4</v>
      </c>
      <c r="BH71" s="41">
        <f>IFERROR(VLOOKUP($A71,FoodRev[],6,0),0)</f>
        <v>0</v>
      </c>
      <c r="BI71" s="41">
        <f>IFERROR(VLOOKUP($A71,FoodRev[],7,0),0)</f>
        <v>0</v>
      </c>
      <c r="BJ71" s="41">
        <f>IFERROR(VLOOKUP($A71,FoodRev[],8,0),0)</f>
        <v>27913.37</v>
      </c>
      <c r="BK71" s="41">
        <f>IFERROR(VLOOKUP($A71,FoodRev[],9,0),0)</f>
        <v>0</v>
      </c>
      <c r="BL71" s="41">
        <f>IFERROR(VLOOKUP($A71,FoodRev[],10,0),0)</f>
        <v>0</v>
      </c>
      <c r="BM71" s="41">
        <f t="shared" si="6"/>
        <v>463668.05000000005</v>
      </c>
      <c r="BN71" s="42">
        <f t="shared" si="13"/>
        <v>40581.039999999979</v>
      </c>
      <c r="BO71" s="78">
        <f t="shared" si="14"/>
        <v>40581.039999999979</v>
      </c>
      <c r="BP71" s="78">
        <f t="shared" si="15"/>
        <v>0</v>
      </c>
    </row>
    <row r="72" spans="1:68" x14ac:dyDescent="0.25">
      <c r="A72" s="40" t="s">
        <v>234</v>
      </c>
      <c r="B72" s="40" t="s">
        <v>769</v>
      </c>
      <c r="D72" s="203">
        <f t="shared" si="22"/>
        <v>3.7252902984619141E-9</v>
      </c>
      <c r="E72" s="41">
        <f>IFERROR(VLOOKUP(A72,Items[],5,0),0)</f>
        <v>27966846.77</v>
      </c>
      <c r="F72" s="42">
        <f t="shared" ref="F72:F136" si="23">H72-I72-J72-K72-L72-M72-N72-O72-P72-Q72-R72-S72+T72+U72+V72+W72+X72+Y72+Z72+AA72+AB72+AC72+AD72+AE72+AF72+AG72+AH72+AI72+AJ72+AK72+AL72+AM72+AN72+AO72+AP72+AQ72+AR72+AS72+AT72+AU72+AV72+AW72+AX72+AY72+AZ72+BA72+BB72-BC72+BG72+BH72+BI72+BJ72+G72</f>
        <v>27966846.769999996</v>
      </c>
      <c r="G72" s="41">
        <v>0</v>
      </c>
      <c r="H72" s="41">
        <f>IFERROR(VLOOKUP(A72,Items[],4,0),0)</f>
        <v>30675885.629999999</v>
      </c>
      <c r="I72" s="41">
        <f>IFERROR(VLOOKUP(A72,Community[],4,0),0)</f>
        <v>0</v>
      </c>
      <c r="J72" s="41">
        <f>IFERROR(VLOOKUP(A72,Community[],5,0),0)</f>
        <v>0</v>
      </c>
      <c r="K72" s="41">
        <f>IFERROR(VLOOKUP(A72,Community[],6,0),0)</f>
        <v>0</v>
      </c>
      <c r="L72" s="41">
        <f>IFERROR(VLOOKUP(A72,Community[],7,0),0)</f>
        <v>0</v>
      </c>
      <c r="M72" s="41">
        <f>IFERROR(VLOOKUP(A72,Debt[],3,0),0)</f>
        <v>0</v>
      </c>
      <c r="N72" s="41">
        <f>IFERROR(VLOOKUP(A72,Debt[],4,0),0)</f>
        <v>0</v>
      </c>
      <c r="O72" s="41">
        <f>IFERROR(VLOOKUP(A72,Debt[],5,0),0)</f>
        <v>0</v>
      </c>
      <c r="P72" s="41">
        <f>IFERROR(VLOOKUP(A72,Items[],3,0),0)</f>
        <v>126778.26</v>
      </c>
      <c r="Q72" s="41">
        <f>IFERROR(VLOOKUP($A72,Federal[],2,0),0)</f>
        <v>924.98</v>
      </c>
      <c r="R72" s="41">
        <f>IFERROR(VLOOKUP($A72,Federal[],4,0),0)</f>
        <v>2690632.08</v>
      </c>
      <c r="S72" s="41"/>
      <c r="T72" s="47">
        <f>IFERROR(VLOOKUP($A72,Program[],3,0),0)</f>
        <v>0</v>
      </c>
      <c r="U72" s="47"/>
      <c r="V72" s="41">
        <f>IFERROR(VLOOKUP($A72,Program[],4,0),0)</f>
        <v>34000</v>
      </c>
      <c r="W72" s="41">
        <f>IFERROR(VLOOKUP($A72,Program[],5,0),0)</f>
        <v>0</v>
      </c>
      <c r="X72" s="41"/>
      <c r="Y72" s="41"/>
      <c r="Z72" s="41"/>
      <c r="AA72" s="41">
        <f>IFERROR(VLOOKUP($A72,Program[],6,0),0)</f>
        <v>0</v>
      </c>
      <c r="AB72" s="41"/>
      <c r="AC72" s="41"/>
      <c r="AD72" s="41">
        <f>IFERROR(VLOOKUP($A72,Program[],7,0),0)</f>
        <v>0</v>
      </c>
      <c r="AE72" s="41">
        <f>IFERROR(VLOOKUP($A72,Program[],8,0),0)</f>
        <v>0</v>
      </c>
      <c r="AF72" s="41">
        <f>IFERROR(VLOOKUP($A72,Program[],9,0),0)</f>
        <v>0</v>
      </c>
      <c r="AG72" s="41">
        <f>IFERROR(VLOOKUP($A72,Program[],10,0),0)</f>
        <v>0</v>
      </c>
      <c r="AH72" s="41">
        <f>IFERROR(VLOOKUP($A72,Program[],11,0),0)</f>
        <v>0</v>
      </c>
      <c r="AI72" s="41">
        <f>IFERROR(VLOOKUP($A72,Program[],12,0),0)</f>
        <v>0</v>
      </c>
      <c r="AJ72" s="41"/>
      <c r="AK72" s="41">
        <f>IFERROR(VLOOKUP($A72,Program[],13,0),0)</f>
        <v>0</v>
      </c>
      <c r="AL72" s="41"/>
      <c r="AM72" s="41"/>
      <c r="AN72" s="41"/>
      <c r="AO72" s="41"/>
      <c r="AP72" s="41"/>
      <c r="AQ72" s="41"/>
      <c r="AR72" s="41"/>
      <c r="AS72" s="41">
        <f>IFERROR(VLOOKUP($A72,Program[],14,0),0)</f>
        <v>0</v>
      </c>
      <c r="AT72" s="41"/>
      <c r="AU72" s="41"/>
      <c r="AV72" s="41">
        <f>IFERROR(VLOOKUP($A72,Program[],15,0),0)</f>
        <v>0</v>
      </c>
      <c r="AW72" s="41"/>
      <c r="AX72" s="41">
        <f>IFERROR(VLOOKUP($A72,Program[],16,0),0)</f>
        <v>0</v>
      </c>
      <c r="AY72" s="41">
        <f>IFERROR(VLOOKUP($A72,Program[],17,0),0)</f>
        <v>0</v>
      </c>
      <c r="AZ72" s="41">
        <f>IFERROR(VLOOKUP($A72,Program[],18,0),0)</f>
        <v>0</v>
      </c>
      <c r="BA72" s="41">
        <f>IFERROR(VLOOKUP($A72,Program[],19,0),0)</f>
        <v>0</v>
      </c>
      <c r="BB72" s="77">
        <f t="shared" si="8"/>
        <v>0</v>
      </c>
      <c r="BC72" s="41">
        <f>IFERROR(VLOOKUP(A72,Food[],3,0),0)</f>
        <v>1091779.3999999999</v>
      </c>
      <c r="BD72" s="41">
        <f>IFERROR(VLOOKUP($A72,FoodRev[],2,0),0)</f>
        <v>5081.75</v>
      </c>
      <c r="BE72" s="41">
        <f>IFERROR(VLOOKUP($A72,FoodRev[],3,0),0)</f>
        <v>171960.72</v>
      </c>
      <c r="BF72" s="41">
        <f>IFERROR(VLOOKUP($A72,FoodRev[],4,0),0)</f>
        <v>0</v>
      </c>
      <c r="BG72" s="41">
        <f>IFERROR(VLOOKUP($A72,FoodRev[],5,0),0)</f>
        <v>1091173.56</v>
      </c>
      <c r="BH72" s="41">
        <f>IFERROR(VLOOKUP($A72,FoodRev[],6,0),0)</f>
        <v>0</v>
      </c>
      <c r="BI72" s="41">
        <f>IFERROR(VLOOKUP($A72,FoodRev[],7,0),0)</f>
        <v>0</v>
      </c>
      <c r="BJ72" s="41">
        <f>IFERROR(VLOOKUP($A72,FoodRev[],8,0),0)</f>
        <v>75902.3</v>
      </c>
      <c r="BK72" s="41">
        <f>IFERROR(VLOOKUP($A72,FoodRev[],9,0),0)</f>
        <v>0</v>
      </c>
      <c r="BL72" s="41">
        <f>IFERROR(VLOOKUP($A72,FoodRev[],10,0),0)</f>
        <v>0</v>
      </c>
      <c r="BM72" s="41">
        <f t="shared" si="6"/>
        <v>1344118.33</v>
      </c>
      <c r="BN72" s="42">
        <f t="shared" ref="BN72:BN103" si="24">BC72-BD72-BE72-BF72-BG72-BH72-BI72-BJ72-BK72-BL72</f>
        <v>-252338.93000000011</v>
      </c>
      <c r="BO72" s="78">
        <f t="shared" ref="BO72:BO103" si="25">IF(BN72&lt;0,0,BN72)</f>
        <v>0</v>
      </c>
      <c r="BP72" s="78">
        <f t="shared" ref="BP72:BP103" si="26">IF(BN72&lt;0,BN72,0)</f>
        <v>-252338.93000000011</v>
      </c>
    </row>
    <row r="73" spans="1:68" x14ac:dyDescent="0.25">
      <c r="A73" s="40" t="s">
        <v>80</v>
      </c>
      <c r="B73" s="40" t="s">
        <v>770</v>
      </c>
      <c r="D73" s="203">
        <f t="shared" si="22"/>
        <v>0</v>
      </c>
      <c r="E73" s="41">
        <f>IFERROR(VLOOKUP(A73,Items[],5,0),0)</f>
        <v>114165475.89</v>
      </c>
      <c r="F73" s="42">
        <f t="shared" si="23"/>
        <v>114165475.89</v>
      </c>
      <c r="G73" s="41">
        <v>0</v>
      </c>
      <c r="H73" s="41">
        <f>IFERROR(VLOOKUP(A73,Items[],4,0),0)</f>
        <v>128701353.76000001</v>
      </c>
      <c r="I73" s="41">
        <f>IFERROR(VLOOKUP(A73,Community[],4,0),0)</f>
        <v>0</v>
      </c>
      <c r="J73" s="41">
        <f>IFERROR(VLOOKUP(A73,Community[],5,0),0)</f>
        <v>22486.609999999997</v>
      </c>
      <c r="K73" s="41">
        <f>IFERROR(VLOOKUP(A73,Community[],6,0),0)</f>
        <v>1406120.6800000002</v>
      </c>
      <c r="L73" s="41">
        <f>IFERROR(VLOOKUP(A73,Community[],7,0),0)</f>
        <v>9263.2199999999993</v>
      </c>
      <c r="M73" s="41">
        <f>IFERROR(VLOOKUP(A73,Debt[],3,0),0)</f>
        <v>20535.310000000001</v>
      </c>
      <c r="N73" s="41">
        <f>IFERROR(VLOOKUP(A73,Debt[],4,0),0)</f>
        <v>197289.98</v>
      </c>
      <c r="O73" s="41">
        <f>IFERROR(VLOOKUP(A73,Debt[],5,0),0)</f>
        <v>0</v>
      </c>
      <c r="P73" s="41">
        <f>IFERROR(VLOOKUP(A73,Items[],3,0),0)</f>
        <v>525827.39</v>
      </c>
      <c r="Q73" s="41">
        <f>IFERROR(VLOOKUP($A73,Federal[],2,0),0)</f>
        <v>446.48</v>
      </c>
      <c r="R73" s="41">
        <f>IFERROR(VLOOKUP($A73,Federal[],4,0),0)</f>
        <v>11937372.92</v>
      </c>
      <c r="S73" s="41"/>
      <c r="T73" s="47">
        <f>IFERROR(VLOOKUP($A73,Program[],3,0),0)</f>
        <v>0</v>
      </c>
      <c r="U73" s="47"/>
      <c r="V73" s="41">
        <f>IFERROR(VLOOKUP($A73,Program[],4,0),0)</f>
        <v>0</v>
      </c>
      <c r="W73" s="41">
        <f>IFERROR(VLOOKUP($A73,Program[],5,0),0)</f>
        <v>0</v>
      </c>
      <c r="X73" s="41"/>
      <c r="Y73" s="41"/>
      <c r="Z73" s="41"/>
      <c r="AA73" s="41">
        <f>IFERROR(VLOOKUP($A73,Program[],6,0),0)</f>
        <v>0</v>
      </c>
      <c r="AB73" s="41"/>
      <c r="AC73" s="41"/>
      <c r="AD73" s="41">
        <f>IFERROR(VLOOKUP($A73,Program[],7,0),0)</f>
        <v>0</v>
      </c>
      <c r="AE73" s="41">
        <f>IFERROR(VLOOKUP($A73,Program[],8,0),0)</f>
        <v>0</v>
      </c>
      <c r="AF73" s="41">
        <f>IFERROR(VLOOKUP($A73,Program[],9,0),0)</f>
        <v>0</v>
      </c>
      <c r="AG73" s="41">
        <f>IFERROR(VLOOKUP($A73,Program[],10,0),0)</f>
        <v>0</v>
      </c>
      <c r="AH73" s="41">
        <f>IFERROR(VLOOKUP($A73,Program[],11,0),0)</f>
        <v>0</v>
      </c>
      <c r="AI73" s="41">
        <f>IFERROR(VLOOKUP($A73,Program[],12,0),0)</f>
        <v>0</v>
      </c>
      <c r="AJ73" s="41"/>
      <c r="AK73" s="41">
        <f>IFERROR(VLOOKUP($A73,Program[],13,0),0)</f>
        <v>0</v>
      </c>
      <c r="AL73" s="41"/>
      <c r="AM73" s="41"/>
      <c r="AN73" s="41"/>
      <c r="AO73" s="41"/>
      <c r="AP73" s="41"/>
      <c r="AQ73" s="41"/>
      <c r="AR73" s="41"/>
      <c r="AS73" s="41">
        <f>IFERROR(VLOOKUP($A73,Program[],14,0),0)</f>
        <v>0</v>
      </c>
      <c r="AT73" s="41"/>
      <c r="AU73" s="41"/>
      <c r="AV73" s="41">
        <f>IFERROR(VLOOKUP($A73,Program[],15,0),0)</f>
        <v>0</v>
      </c>
      <c r="AW73" s="41"/>
      <c r="AX73" s="41">
        <f>IFERROR(VLOOKUP($A73,Program[],16,0),0)</f>
        <v>0</v>
      </c>
      <c r="AY73" s="41">
        <f>IFERROR(VLOOKUP($A73,Program[],17,0),0)</f>
        <v>0</v>
      </c>
      <c r="AZ73" s="41">
        <f>IFERROR(VLOOKUP($A73,Program[],18,0),0)</f>
        <v>0</v>
      </c>
      <c r="BA73" s="41">
        <f>IFERROR(VLOOKUP($A73,Program[],19,0),0)</f>
        <v>0</v>
      </c>
      <c r="BB73" s="77">
        <f t="shared" ref="BB73:BB137" si="27">IF(BN73&gt;0,BN73,0)</f>
        <v>0</v>
      </c>
      <c r="BC73" s="41">
        <f>IFERROR(VLOOKUP(A73,Food[],3,0),0)</f>
        <v>5101892.7899999991</v>
      </c>
      <c r="BD73" s="41">
        <f>IFERROR(VLOOKUP($A73,FoodRev[],2,0),0)</f>
        <v>80016.039999999994</v>
      </c>
      <c r="BE73" s="41">
        <f>IFERROR(VLOOKUP($A73,FoodRev[],3,0),0)</f>
        <v>654251.62</v>
      </c>
      <c r="BF73" s="41">
        <f>IFERROR(VLOOKUP($A73,FoodRev[],4,0),0)</f>
        <v>0</v>
      </c>
      <c r="BG73" s="41">
        <f>IFERROR(VLOOKUP($A73,FoodRev[],5,0),0)</f>
        <v>4336642.04</v>
      </c>
      <c r="BH73" s="41">
        <f>IFERROR(VLOOKUP($A73,FoodRev[],6,0),0)</f>
        <v>0</v>
      </c>
      <c r="BI73" s="41">
        <f>IFERROR(VLOOKUP($A73,FoodRev[],7,0),0)</f>
        <v>0</v>
      </c>
      <c r="BJ73" s="41">
        <f>IFERROR(VLOOKUP($A73,FoodRev[],8,0),0)</f>
        <v>348715.47</v>
      </c>
      <c r="BK73" s="41">
        <f>IFERROR(VLOOKUP($A73,FoodRev[],9,0),0)</f>
        <v>0</v>
      </c>
      <c r="BL73" s="41">
        <f>IFERROR(VLOOKUP($A73,FoodRev[],10,0),0)</f>
        <v>0</v>
      </c>
      <c r="BM73" s="41">
        <f t="shared" ref="BM73:BM138" si="28">SUM(BD73:BL73)</f>
        <v>5419625.1699999999</v>
      </c>
      <c r="BN73" s="42">
        <f t="shared" si="24"/>
        <v>-317732.38000000105</v>
      </c>
      <c r="BO73" s="78">
        <f t="shared" si="25"/>
        <v>0</v>
      </c>
      <c r="BP73" s="78">
        <f t="shared" si="26"/>
        <v>-317732.38000000105</v>
      </c>
    </row>
    <row r="74" spans="1:68" x14ac:dyDescent="0.25">
      <c r="A74" s="40" t="s">
        <v>200</v>
      </c>
      <c r="B74" s="40" t="s">
        <v>771</v>
      </c>
      <c r="D74" s="203">
        <f t="shared" si="22"/>
        <v>1.4901161193847656E-8</v>
      </c>
      <c r="E74" s="41">
        <f>IFERROR(VLOOKUP(A74,Items[],5,0),0)</f>
        <v>42686918.450000003</v>
      </c>
      <c r="F74" s="42">
        <f t="shared" si="23"/>
        <v>42686918.449999988</v>
      </c>
      <c r="G74" s="41">
        <v>0</v>
      </c>
      <c r="H74" s="41">
        <f>IFERROR(VLOOKUP(A74,Items[],4,0),0)</f>
        <v>48622527.829999998</v>
      </c>
      <c r="I74" s="41">
        <f>IFERROR(VLOOKUP(A74,Community[],4,0),0)</f>
        <v>0</v>
      </c>
      <c r="J74" s="41">
        <f>IFERROR(VLOOKUP(A74,Community[],5,0),0)</f>
        <v>0</v>
      </c>
      <c r="K74" s="41">
        <f>IFERROR(VLOOKUP(A74,Community[],6,0),0)</f>
        <v>913875.7</v>
      </c>
      <c r="L74" s="41">
        <f>IFERROR(VLOOKUP(A74,Community[],7,0),0)</f>
        <v>27423.71</v>
      </c>
      <c r="M74" s="41">
        <f>IFERROR(VLOOKUP(A74,Debt[],3,0),0)</f>
        <v>533.28</v>
      </c>
      <c r="N74" s="41">
        <f>IFERROR(VLOOKUP(A74,Debt[],4,0),0)</f>
        <v>48715.74</v>
      </c>
      <c r="O74" s="41">
        <f>IFERROR(VLOOKUP(A74,Debt[],5,0),0)</f>
        <v>0</v>
      </c>
      <c r="P74" s="41">
        <f>IFERROR(VLOOKUP(A74,Items[],3,0),0)</f>
        <v>886875.35</v>
      </c>
      <c r="Q74" s="41">
        <f>IFERROR(VLOOKUP($A74,Federal[],2,0),0)</f>
        <v>317.42</v>
      </c>
      <c r="R74" s="41">
        <f>IFERROR(VLOOKUP($A74,Federal[],4,0),0)</f>
        <v>3640753.09</v>
      </c>
      <c r="S74" s="41"/>
      <c r="T74" s="47">
        <f>IFERROR(VLOOKUP($A74,Program[],3,0),0)</f>
        <v>0</v>
      </c>
      <c r="U74" s="47"/>
      <c r="V74" s="41">
        <f>IFERROR(VLOOKUP($A74,Program[],4,0),0)</f>
        <v>0</v>
      </c>
      <c r="W74" s="41">
        <f>IFERROR(VLOOKUP($A74,Program[],5,0),0)</f>
        <v>0</v>
      </c>
      <c r="X74" s="41"/>
      <c r="Y74" s="41"/>
      <c r="Z74" s="41"/>
      <c r="AA74" s="41">
        <f>IFERROR(VLOOKUP($A74,Program[],6,0),0)</f>
        <v>0</v>
      </c>
      <c r="AB74" s="41"/>
      <c r="AC74" s="41"/>
      <c r="AD74" s="41">
        <f>IFERROR(VLOOKUP($A74,Program[],7,0),0)</f>
        <v>10771.3</v>
      </c>
      <c r="AE74" s="41">
        <f>IFERROR(VLOOKUP($A74,Program[],8,0),0)</f>
        <v>0</v>
      </c>
      <c r="AF74" s="41">
        <f>IFERROR(VLOOKUP($A74,Program[],9,0),0)</f>
        <v>0</v>
      </c>
      <c r="AG74" s="41">
        <f>IFERROR(VLOOKUP($A74,Program[],10,0),0)</f>
        <v>0</v>
      </c>
      <c r="AH74" s="41">
        <f>IFERROR(VLOOKUP($A74,Program[],11,0),0)</f>
        <v>0</v>
      </c>
      <c r="AI74" s="41">
        <f>IFERROR(VLOOKUP($A74,Program[],12,0),0)</f>
        <v>0</v>
      </c>
      <c r="AJ74" s="41"/>
      <c r="AK74" s="41">
        <f>IFERROR(VLOOKUP($A74,Program[],13,0),0)</f>
        <v>0</v>
      </c>
      <c r="AL74" s="41"/>
      <c r="AM74" s="41"/>
      <c r="AN74" s="41"/>
      <c r="AO74" s="41"/>
      <c r="AP74" s="41"/>
      <c r="AQ74" s="41"/>
      <c r="AR74" s="41"/>
      <c r="AS74" s="41">
        <f>IFERROR(VLOOKUP($A74,Program[],14,0),0)</f>
        <v>0</v>
      </c>
      <c r="AT74" s="41"/>
      <c r="AU74" s="41"/>
      <c r="AV74" s="41">
        <f>IFERROR(VLOOKUP($A74,Program[],15,0),0)</f>
        <v>0</v>
      </c>
      <c r="AW74" s="41"/>
      <c r="AX74" s="41">
        <f>IFERROR(VLOOKUP($A74,Program[],16,0),0)</f>
        <v>0</v>
      </c>
      <c r="AY74" s="41">
        <f>IFERROR(VLOOKUP($A74,Program[],17,0),0)</f>
        <v>0</v>
      </c>
      <c r="AZ74" s="41">
        <f>IFERROR(VLOOKUP($A74,Program[],18,0),0)</f>
        <v>0</v>
      </c>
      <c r="BA74" s="41">
        <f>IFERROR(VLOOKUP($A74,Program[],19,0),0)</f>
        <v>35436.53</v>
      </c>
      <c r="BB74" s="77">
        <f t="shared" si="27"/>
        <v>0</v>
      </c>
      <c r="BC74" s="41">
        <f>IFERROR(VLOOKUP(A74,Food[],3,0),0)</f>
        <v>2136673.31</v>
      </c>
      <c r="BD74" s="41">
        <f>IFERROR(VLOOKUP($A74,FoodRev[],2,0),0)</f>
        <v>9604.91</v>
      </c>
      <c r="BE74" s="41">
        <f>IFERROR(VLOOKUP($A74,FoodRev[],3,0),0)</f>
        <v>534811.4</v>
      </c>
      <c r="BF74" s="41">
        <f>IFERROR(VLOOKUP($A74,FoodRev[],4,0),0)</f>
        <v>0</v>
      </c>
      <c r="BG74" s="41">
        <f>IFERROR(VLOOKUP($A74,FoodRev[],5,0),0)</f>
        <v>1562682.84</v>
      </c>
      <c r="BH74" s="41">
        <f>IFERROR(VLOOKUP($A74,FoodRev[],6,0),0)</f>
        <v>0</v>
      </c>
      <c r="BI74" s="41">
        <f>IFERROR(VLOOKUP($A74,FoodRev[],7,0),0)</f>
        <v>0</v>
      </c>
      <c r="BJ74" s="41">
        <f>IFERROR(VLOOKUP($A74,FoodRev[],8,0),0)</f>
        <v>110667.55</v>
      </c>
      <c r="BK74" s="41">
        <f>IFERROR(VLOOKUP($A74,FoodRev[],9,0),0)</f>
        <v>0</v>
      </c>
      <c r="BL74" s="41">
        <f>IFERROR(VLOOKUP($A74,FoodRev[],10,0),0)</f>
        <v>0</v>
      </c>
      <c r="BM74" s="41">
        <f t="shared" si="28"/>
        <v>2217766.7000000002</v>
      </c>
      <c r="BN74" s="42">
        <f t="shared" si="24"/>
        <v>-81093.390000000087</v>
      </c>
      <c r="BO74" s="78">
        <f t="shared" si="25"/>
        <v>0</v>
      </c>
      <c r="BP74" s="78">
        <f t="shared" si="26"/>
        <v>-81093.390000000087</v>
      </c>
    </row>
    <row r="75" spans="1:68" x14ac:dyDescent="0.25">
      <c r="A75" s="40" t="s">
        <v>506</v>
      </c>
      <c r="B75" s="40" t="s">
        <v>772</v>
      </c>
      <c r="D75" s="203">
        <f t="shared" si="22"/>
        <v>0</v>
      </c>
      <c r="E75" s="41">
        <f>IFERROR(VLOOKUP(A75,Items[],5,0),0)</f>
        <v>3435111.12</v>
      </c>
      <c r="F75" s="42">
        <f t="shared" si="23"/>
        <v>3435111.12</v>
      </c>
      <c r="G75" s="41">
        <v>0</v>
      </c>
      <c r="H75" s="41">
        <f>IFERROR(VLOOKUP(A75,Items[],4,0),0)</f>
        <v>3594944.96</v>
      </c>
      <c r="I75" s="41">
        <f>IFERROR(VLOOKUP(A75,Community[],4,0),0)</f>
        <v>0</v>
      </c>
      <c r="J75" s="41">
        <f>IFERROR(VLOOKUP(A75,Community[],5,0),0)</f>
        <v>0</v>
      </c>
      <c r="K75" s="41">
        <f>IFERROR(VLOOKUP(A75,Community[],6,0),0)</f>
        <v>0</v>
      </c>
      <c r="L75" s="41">
        <f>IFERROR(VLOOKUP(A75,Community[],7,0),0)</f>
        <v>0</v>
      </c>
      <c r="M75" s="41">
        <f>IFERROR(VLOOKUP(A75,Debt[],3,0),0)</f>
        <v>0</v>
      </c>
      <c r="N75" s="41">
        <f>IFERROR(VLOOKUP(A75,Debt[],4,0),0)</f>
        <v>0</v>
      </c>
      <c r="O75" s="41">
        <f>IFERROR(VLOOKUP(A75,Debt[],5,0),0)</f>
        <v>0</v>
      </c>
      <c r="P75" s="41">
        <f>IFERROR(VLOOKUP(A75,Items[],3,0),0)</f>
        <v>0</v>
      </c>
      <c r="Q75" s="41">
        <f>IFERROR(VLOOKUP($A75,Federal[],2,0),0)</f>
        <v>0</v>
      </c>
      <c r="R75" s="41">
        <f>IFERROR(VLOOKUP($A75,Federal[],4,0),0)</f>
        <v>135195.87</v>
      </c>
      <c r="S75" s="41"/>
      <c r="T75" s="47">
        <f>IFERROR(VLOOKUP($A75,Program[],3,0),0)</f>
        <v>0</v>
      </c>
      <c r="U75" s="47"/>
      <c r="V75" s="41">
        <f>IFERROR(VLOOKUP($A75,Program[],4,0),0)</f>
        <v>0</v>
      </c>
      <c r="W75" s="41">
        <f>IFERROR(VLOOKUP($A75,Program[],5,0),0)</f>
        <v>0</v>
      </c>
      <c r="X75" s="41"/>
      <c r="Y75" s="41"/>
      <c r="Z75" s="41"/>
      <c r="AA75" s="41">
        <f>IFERROR(VLOOKUP($A75,Program[],6,0),0)</f>
        <v>0</v>
      </c>
      <c r="AB75" s="41"/>
      <c r="AC75" s="41"/>
      <c r="AD75" s="41">
        <f>IFERROR(VLOOKUP($A75,Program[],7,0),0)</f>
        <v>0</v>
      </c>
      <c r="AE75" s="41">
        <f>IFERROR(VLOOKUP($A75,Program[],8,0),0)</f>
        <v>0</v>
      </c>
      <c r="AF75" s="41">
        <f>IFERROR(VLOOKUP($A75,Program[],9,0),0)</f>
        <v>0</v>
      </c>
      <c r="AG75" s="41">
        <f>IFERROR(VLOOKUP($A75,Program[],10,0),0)</f>
        <v>0</v>
      </c>
      <c r="AH75" s="41">
        <f>IFERROR(VLOOKUP($A75,Program[],11,0),0)</f>
        <v>0</v>
      </c>
      <c r="AI75" s="41">
        <f>IFERROR(VLOOKUP($A75,Program[],12,0),0)</f>
        <v>0</v>
      </c>
      <c r="AJ75" s="41"/>
      <c r="AK75" s="41">
        <f>IFERROR(VLOOKUP($A75,Program[],13,0),0)</f>
        <v>0</v>
      </c>
      <c r="AL75" s="41"/>
      <c r="AM75" s="41"/>
      <c r="AN75" s="41"/>
      <c r="AO75" s="41"/>
      <c r="AP75" s="41"/>
      <c r="AQ75" s="41"/>
      <c r="AR75" s="41"/>
      <c r="AS75" s="41">
        <f>IFERROR(VLOOKUP($A75,Program[],14,0),0)</f>
        <v>0</v>
      </c>
      <c r="AT75" s="41"/>
      <c r="AU75" s="41"/>
      <c r="AV75" s="41">
        <f>IFERROR(VLOOKUP($A75,Program[],15,0),0)</f>
        <v>0</v>
      </c>
      <c r="AW75" s="41"/>
      <c r="AX75" s="41">
        <f>IFERROR(VLOOKUP($A75,Program[],16,0),0)</f>
        <v>0</v>
      </c>
      <c r="AY75" s="41">
        <f>IFERROR(VLOOKUP($A75,Program[],17,0),0)</f>
        <v>0</v>
      </c>
      <c r="AZ75" s="41">
        <f>IFERROR(VLOOKUP($A75,Program[],18,0),0)</f>
        <v>0</v>
      </c>
      <c r="BA75" s="41">
        <f>IFERROR(VLOOKUP($A75,Program[],19,0),0)</f>
        <v>0</v>
      </c>
      <c r="BB75" s="77">
        <f t="shared" si="27"/>
        <v>52336.99</v>
      </c>
      <c r="BC75" s="41">
        <f>IFERROR(VLOOKUP(A75,Food[],3,0),0)</f>
        <v>136970.78</v>
      </c>
      <c r="BD75" s="41">
        <f>IFERROR(VLOOKUP($A75,FoodRev[],2,0),0)</f>
        <v>1095.9100000000001</v>
      </c>
      <c r="BE75" s="41">
        <f>IFERROR(VLOOKUP($A75,FoodRev[],3,0),0)</f>
        <v>23542.06</v>
      </c>
      <c r="BF75" s="41">
        <f>IFERROR(VLOOKUP($A75,FoodRev[],4,0),0)</f>
        <v>0</v>
      </c>
      <c r="BG75" s="41">
        <f>IFERROR(VLOOKUP($A75,FoodRev[],5,0),0)</f>
        <v>54736.9</v>
      </c>
      <c r="BH75" s="41">
        <f>IFERROR(VLOOKUP($A75,FoodRev[],6,0),0)</f>
        <v>0</v>
      </c>
      <c r="BI75" s="41">
        <f>IFERROR(VLOOKUP($A75,FoodRev[],7,0),0)</f>
        <v>0</v>
      </c>
      <c r="BJ75" s="41">
        <f>IFERROR(VLOOKUP($A75,FoodRev[],8,0),0)</f>
        <v>5258.92</v>
      </c>
      <c r="BK75" s="41">
        <f>IFERROR(VLOOKUP($A75,FoodRev[],9,0),0)</f>
        <v>0</v>
      </c>
      <c r="BL75" s="41">
        <f>IFERROR(VLOOKUP($A75,FoodRev[],10,0),0)</f>
        <v>0</v>
      </c>
      <c r="BM75" s="41">
        <f t="shared" si="28"/>
        <v>84633.79</v>
      </c>
      <c r="BN75" s="42">
        <f t="shared" si="24"/>
        <v>52336.99</v>
      </c>
      <c r="BO75" s="78">
        <f t="shared" si="25"/>
        <v>52336.99</v>
      </c>
      <c r="BP75" s="78">
        <f t="shared" si="26"/>
        <v>0</v>
      </c>
    </row>
    <row r="76" spans="1:68" x14ac:dyDescent="0.25">
      <c r="A76" s="40" t="s">
        <v>336</v>
      </c>
      <c r="B76" s="40" t="s">
        <v>773</v>
      </c>
      <c r="D76" s="203">
        <f t="shared" si="22"/>
        <v>0</v>
      </c>
      <c r="E76" s="41">
        <f>IFERROR(VLOOKUP(A76,Items[],5,0),0)</f>
        <v>11552706.529999999</v>
      </c>
      <c r="F76" s="42">
        <f t="shared" si="23"/>
        <v>11552706.529999999</v>
      </c>
      <c r="G76" s="41">
        <v>0</v>
      </c>
      <c r="H76" s="41">
        <f>IFERROR(VLOOKUP(A76,Items[],4,0),0)</f>
        <v>13944019.43</v>
      </c>
      <c r="I76" s="41">
        <f>IFERROR(VLOOKUP(A76,Community[],4,0),0)</f>
        <v>0</v>
      </c>
      <c r="J76" s="41">
        <f>IFERROR(VLOOKUP(A76,Community[],5,0),0)</f>
        <v>0</v>
      </c>
      <c r="K76" s="41">
        <f>IFERROR(VLOOKUP(A76,Community[],6,0),0)</f>
        <v>0</v>
      </c>
      <c r="L76" s="41">
        <f>IFERROR(VLOOKUP(A76,Community[],7,0),0)</f>
        <v>0</v>
      </c>
      <c r="M76" s="41">
        <f>IFERROR(VLOOKUP(A76,Debt[],3,0),0)</f>
        <v>35.04</v>
      </c>
      <c r="N76" s="41">
        <f>IFERROR(VLOOKUP(A76,Debt[],4,0),0)</f>
        <v>2913.48</v>
      </c>
      <c r="O76" s="41">
        <f>IFERROR(VLOOKUP(A76,Debt[],5,0),0)</f>
        <v>0</v>
      </c>
      <c r="P76" s="41">
        <f>IFERROR(VLOOKUP(A76,Items[],3,0),0)</f>
        <v>0</v>
      </c>
      <c r="Q76" s="41">
        <f>IFERROR(VLOOKUP($A76,Federal[],2,0),0)</f>
        <v>996939.24</v>
      </c>
      <c r="R76" s="41">
        <f>IFERROR(VLOOKUP($A76,Federal[],4,0),0)</f>
        <v>1371750.45</v>
      </c>
      <c r="S76" s="41"/>
      <c r="T76" s="47">
        <f>IFERROR(VLOOKUP($A76,Program[],3,0),0)</f>
        <v>0</v>
      </c>
      <c r="U76" s="47"/>
      <c r="V76" s="41">
        <f>IFERROR(VLOOKUP($A76,Program[],4,0),0)</f>
        <v>0</v>
      </c>
      <c r="W76" s="41">
        <f>IFERROR(VLOOKUP($A76,Program[],5,0),0)</f>
        <v>0</v>
      </c>
      <c r="X76" s="41"/>
      <c r="Y76" s="41"/>
      <c r="Z76" s="41"/>
      <c r="AA76" s="41">
        <f>IFERROR(VLOOKUP($A76,Program[],6,0),0)</f>
        <v>0</v>
      </c>
      <c r="AB76" s="41"/>
      <c r="AC76" s="41"/>
      <c r="AD76" s="41">
        <f>IFERROR(VLOOKUP($A76,Program[],7,0),0)</f>
        <v>0</v>
      </c>
      <c r="AE76" s="41">
        <f>IFERROR(VLOOKUP($A76,Program[],8,0),0)</f>
        <v>0</v>
      </c>
      <c r="AF76" s="41">
        <f>IFERROR(VLOOKUP($A76,Program[],9,0),0)</f>
        <v>0</v>
      </c>
      <c r="AG76" s="41">
        <f>IFERROR(VLOOKUP($A76,Program[],10,0),0)</f>
        <v>0</v>
      </c>
      <c r="AH76" s="41">
        <f>IFERROR(VLOOKUP($A76,Program[],11,0),0)</f>
        <v>0</v>
      </c>
      <c r="AI76" s="41">
        <f>IFERROR(VLOOKUP($A76,Program[],12,0),0)</f>
        <v>0</v>
      </c>
      <c r="AJ76" s="41"/>
      <c r="AK76" s="41">
        <f>IFERROR(VLOOKUP($A76,Program[],13,0),0)</f>
        <v>0</v>
      </c>
      <c r="AL76" s="41"/>
      <c r="AM76" s="41"/>
      <c r="AN76" s="41"/>
      <c r="AO76" s="41"/>
      <c r="AP76" s="41"/>
      <c r="AQ76" s="41"/>
      <c r="AR76" s="41"/>
      <c r="AS76" s="41">
        <f>IFERROR(VLOOKUP($A76,Program[],14,0),0)</f>
        <v>0</v>
      </c>
      <c r="AT76" s="41"/>
      <c r="AU76" s="41"/>
      <c r="AV76" s="41">
        <f>IFERROR(VLOOKUP($A76,Program[],15,0),0)</f>
        <v>0</v>
      </c>
      <c r="AW76" s="41"/>
      <c r="AX76" s="41">
        <f>IFERROR(VLOOKUP($A76,Program[],16,0),0)</f>
        <v>0</v>
      </c>
      <c r="AY76" s="41">
        <f>IFERROR(VLOOKUP($A76,Program[],17,0),0)</f>
        <v>0</v>
      </c>
      <c r="AZ76" s="41">
        <f>IFERROR(VLOOKUP($A76,Program[],18,0),0)</f>
        <v>0</v>
      </c>
      <c r="BA76" s="41">
        <f>IFERROR(VLOOKUP($A76,Program[],19,0),0)</f>
        <v>0</v>
      </c>
      <c r="BB76" s="77">
        <f t="shared" si="27"/>
        <v>9926.2100000000137</v>
      </c>
      <c r="BC76" s="41">
        <f>IFERROR(VLOOKUP(A76,Food[],3,0),0)</f>
        <v>460408.64</v>
      </c>
      <c r="BD76" s="41">
        <f>IFERROR(VLOOKUP($A76,FoodRev[],2,0),0)</f>
        <v>4103.8500000000004</v>
      </c>
      <c r="BE76" s="41">
        <f>IFERROR(VLOOKUP($A76,FoodRev[],3,0),0)</f>
        <v>15570.84</v>
      </c>
      <c r="BF76" s="41">
        <f>IFERROR(VLOOKUP($A76,FoodRev[],4,0),0)</f>
        <v>0</v>
      </c>
      <c r="BG76" s="41">
        <f>IFERROR(VLOOKUP($A76,FoodRev[],5,0),0)</f>
        <v>397253.62</v>
      </c>
      <c r="BH76" s="41">
        <f>IFERROR(VLOOKUP($A76,FoodRev[],6,0),0)</f>
        <v>0</v>
      </c>
      <c r="BI76" s="41">
        <f>IFERROR(VLOOKUP($A76,FoodRev[],7,0),0)</f>
        <v>0</v>
      </c>
      <c r="BJ76" s="41">
        <f>IFERROR(VLOOKUP($A76,FoodRev[],8,0),0)</f>
        <v>33554.120000000003</v>
      </c>
      <c r="BK76" s="41">
        <f>IFERROR(VLOOKUP($A76,FoodRev[],9,0),0)</f>
        <v>0</v>
      </c>
      <c r="BL76" s="41">
        <f>IFERROR(VLOOKUP($A76,FoodRev[],10,0),0)</f>
        <v>0</v>
      </c>
      <c r="BM76" s="41">
        <f t="shared" si="28"/>
        <v>450482.43</v>
      </c>
      <c r="BN76" s="42">
        <f t="shared" si="24"/>
        <v>9926.2100000000137</v>
      </c>
      <c r="BO76" s="78">
        <f t="shared" si="25"/>
        <v>9926.2100000000137</v>
      </c>
      <c r="BP76" s="78">
        <f t="shared" si="26"/>
        <v>0</v>
      </c>
    </row>
    <row r="77" spans="1:68" x14ac:dyDescent="0.25">
      <c r="A77" s="40" t="s">
        <v>162</v>
      </c>
      <c r="B77" s="40" t="s">
        <v>774</v>
      </c>
      <c r="D77" s="203">
        <f t="shared" si="22"/>
        <v>1.4901161193847656E-8</v>
      </c>
      <c r="E77" s="41">
        <f>IFERROR(VLOOKUP(A77,Items[],5,0),0)</f>
        <v>53331538.369999997</v>
      </c>
      <c r="F77" s="42">
        <f t="shared" si="23"/>
        <v>53331538.369999982</v>
      </c>
      <c r="G77" s="41">
        <v>0</v>
      </c>
      <c r="H77" s="41">
        <f>IFERROR(VLOOKUP(A77,Items[],4,0),0)</f>
        <v>62704189.359999999</v>
      </c>
      <c r="I77" s="41">
        <f>IFERROR(VLOOKUP(A77,Community[],4,0),0)</f>
        <v>0</v>
      </c>
      <c r="J77" s="41">
        <f>IFERROR(VLOOKUP(A77,Community[],5,0),0)</f>
        <v>0</v>
      </c>
      <c r="K77" s="41">
        <f>IFERROR(VLOOKUP(A77,Community[],6,0),0)</f>
        <v>2277970.7400000002</v>
      </c>
      <c r="L77" s="41">
        <f>IFERROR(VLOOKUP(A77,Community[],7,0),0)</f>
        <v>37070.600000000006</v>
      </c>
      <c r="M77" s="41">
        <f>IFERROR(VLOOKUP(A77,Debt[],3,0),0)</f>
        <v>0</v>
      </c>
      <c r="N77" s="41">
        <f>IFERROR(VLOOKUP(A77,Debt[],4,0),0)</f>
        <v>0</v>
      </c>
      <c r="O77" s="41">
        <f>IFERROR(VLOOKUP(A77,Debt[],5,0),0)</f>
        <v>0</v>
      </c>
      <c r="P77" s="41">
        <f>IFERROR(VLOOKUP(A77,Items[],3,0),0)</f>
        <v>269246.55</v>
      </c>
      <c r="Q77" s="41">
        <f>IFERROR(VLOOKUP($A77,Federal[],2,0),0)</f>
        <v>7690.82</v>
      </c>
      <c r="R77" s="41">
        <f>IFERROR(VLOOKUP($A77,Federal[],4,0),0)</f>
        <v>6557642.6699999999</v>
      </c>
      <c r="S77" s="41"/>
      <c r="T77" s="47">
        <f>IFERROR(VLOOKUP($A77,Program[],3,0),0)</f>
        <v>0</v>
      </c>
      <c r="U77" s="47"/>
      <c r="V77" s="41">
        <f>IFERROR(VLOOKUP($A77,Program[],4,0),0)</f>
        <v>0</v>
      </c>
      <c r="W77" s="41">
        <f>IFERROR(VLOOKUP($A77,Program[],5,0),0)</f>
        <v>0</v>
      </c>
      <c r="X77" s="41"/>
      <c r="Y77" s="41"/>
      <c r="Z77" s="41"/>
      <c r="AA77" s="41">
        <f>IFERROR(VLOOKUP($A77,Program[],6,0),0)</f>
        <v>0</v>
      </c>
      <c r="AB77" s="41"/>
      <c r="AC77" s="41"/>
      <c r="AD77" s="41">
        <f>IFERROR(VLOOKUP($A77,Program[],7,0),0)</f>
        <v>21525.9</v>
      </c>
      <c r="AE77" s="41">
        <f>IFERROR(VLOOKUP($A77,Program[],8,0),0)</f>
        <v>0</v>
      </c>
      <c r="AF77" s="41">
        <f>IFERROR(VLOOKUP($A77,Program[],9,0),0)</f>
        <v>0</v>
      </c>
      <c r="AG77" s="41">
        <f>IFERROR(VLOOKUP($A77,Program[],10,0),0)</f>
        <v>0</v>
      </c>
      <c r="AH77" s="41">
        <f>IFERROR(VLOOKUP($A77,Program[],11,0),0)</f>
        <v>0</v>
      </c>
      <c r="AI77" s="41">
        <f>IFERROR(VLOOKUP($A77,Program[],12,0),0)</f>
        <v>0</v>
      </c>
      <c r="AJ77" s="41"/>
      <c r="AK77" s="41">
        <f>IFERROR(VLOOKUP($A77,Program[],13,0),0)</f>
        <v>0</v>
      </c>
      <c r="AL77" s="41"/>
      <c r="AM77" s="41"/>
      <c r="AN77" s="41"/>
      <c r="AO77" s="41"/>
      <c r="AP77" s="41"/>
      <c r="AQ77" s="41"/>
      <c r="AR77" s="41"/>
      <c r="AS77" s="41">
        <f>IFERROR(VLOOKUP($A77,Program[],14,0),0)</f>
        <v>0</v>
      </c>
      <c r="AT77" s="41"/>
      <c r="AU77" s="41"/>
      <c r="AV77" s="41">
        <f>IFERROR(VLOOKUP($A77,Program[],15,0),0)</f>
        <v>42449.23</v>
      </c>
      <c r="AW77" s="41"/>
      <c r="AX77" s="41">
        <f>IFERROR(VLOOKUP($A77,Program[],16,0),0)</f>
        <v>0</v>
      </c>
      <c r="AY77" s="41">
        <f>IFERROR(VLOOKUP($A77,Program[],17,0),0)</f>
        <v>0</v>
      </c>
      <c r="AZ77" s="41">
        <f>IFERROR(VLOOKUP($A77,Program[],18,0),0)</f>
        <v>0</v>
      </c>
      <c r="BA77" s="41">
        <f>IFERROR(VLOOKUP($A77,Program[],19,0),0)</f>
        <v>13717.08</v>
      </c>
      <c r="BB77" s="77">
        <f t="shared" si="27"/>
        <v>390545.86999999953</v>
      </c>
      <c r="BC77" s="41">
        <f>IFERROR(VLOOKUP(A77,Food[],3,0),0)</f>
        <v>3039974.52</v>
      </c>
      <c r="BD77" s="41">
        <f>IFERROR(VLOOKUP($A77,FoodRev[],2,0),0)</f>
        <v>15799.4</v>
      </c>
      <c r="BE77" s="41">
        <f>IFERROR(VLOOKUP($A77,FoodRev[],3,0),0)</f>
        <v>246122.97</v>
      </c>
      <c r="BF77" s="41">
        <f>IFERROR(VLOOKUP($A77,FoodRev[],4,0),0)</f>
        <v>37728.949999999997</v>
      </c>
      <c r="BG77" s="41">
        <f>IFERROR(VLOOKUP($A77,FoodRev[],5,0),0)</f>
        <v>2215436.4700000002</v>
      </c>
      <c r="BH77" s="41">
        <f>IFERROR(VLOOKUP($A77,FoodRev[],6,0),0)</f>
        <v>0</v>
      </c>
      <c r="BI77" s="41">
        <f>IFERROR(VLOOKUP($A77,FoodRev[],7,0),0)</f>
        <v>0</v>
      </c>
      <c r="BJ77" s="41">
        <f>IFERROR(VLOOKUP($A77,FoodRev[],8,0),0)</f>
        <v>133270.35999999999</v>
      </c>
      <c r="BK77" s="41">
        <f>IFERROR(VLOOKUP($A77,FoodRev[],9,0),0)</f>
        <v>1070.5</v>
      </c>
      <c r="BL77" s="41">
        <f>IFERROR(VLOOKUP($A77,FoodRev[],10,0),0)</f>
        <v>0</v>
      </c>
      <c r="BM77" s="41">
        <f t="shared" si="28"/>
        <v>2649428.65</v>
      </c>
      <c r="BN77" s="42">
        <f t="shared" si="24"/>
        <v>390545.86999999953</v>
      </c>
      <c r="BO77" s="78">
        <f t="shared" si="25"/>
        <v>390545.86999999953</v>
      </c>
      <c r="BP77" s="78">
        <f t="shared" si="26"/>
        <v>0</v>
      </c>
    </row>
    <row r="78" spans="1:68" x14ac:dyDescent="0.25">
      <c r="A78" s="40" t="s">
        <v>238</v>
      </c>
      <c r="B78" s="40" t="s">
        <v>775</v>
      </c>
      <c r="D78" s="203">
        <f t="shared" si="22"/>
        <v>-3.7252902984619141E-9</v>
      </c>
      <c r="E78" s="41">
        <f>IFERROR(VLOOKUP(A78,Items[],5,0),0)</f>
        <v>27961087.370000001</v>
      </c>
      <c r="F78" s="42">
        <f t="shared" si="23"/>
        <v>27961087.370000005</v>
      </c>
      <c r="G78" s="41">
        <v>0</v>
      </c>
      <c r="H78" s="41">
        <f>IFERROR(VLOOKUP(A78,Items[],4,0),0)</f>
        <v>32003265.32</v>
      </c>
      <c r="I78" s="41">
        <f>IFERROR(VLOOKUP(A78,Community[],4,0),0)</f>
        <v>0</v>
      </c>
      <c r="J78" s="41">
        <f>IFERROR(VLOOKUP(A78,Community[],5,0),0)</f>
        <v>0</v>
      </c>
      <c r="K78" s="41">
        <f>IFERROR(VLOOKUP(A78,Community[],6,0),0)</f>
        <v>167337.88999999998</v>
      </c>
      <c r="L78" s="41">
        <f>IFERROR(VLOOKUP(A78,Community[],7,0),0)</f>
        <v>546866.09000000008</v>
      </c>
      <c r="M78" s="41">
        <f>IFERROR(VLOOKUP(A78,Debt[],3,0),0)</f>
        <v>0</v>
      </c>
      <c r="N78" s="41">
        <f>IFERROR(VLOOKUP(A78,Debt[],4,0),0)</f>
        <v>0</v>
      </c>
      <c r="O78" s="41">
        <f>IFERROR(VLOOKUP(A78,Debt[],5,0),0)</f>
        <v>0</v>
      </c>
      <c r="P78" s="41">
        <f>IFERROR(VLOOKUP(A78,Items[],3,0),0)</f>
        <v>123562.73</v>
      </c>
      <c r="Q78" s="41">
        <f>IFERROR(VLOOKUP($A78,Federal[],2,0),0)</f>
        <v>6962.36</v>
      </c>
      <c r="R78" s="41">
        <f>IFERROR(VLOOKUP($A78,Federal[],4,0),0)</f>
        <v>3388786.9</v>
      </c>
      <c r="S78" s="41"/>
      <c r="T78" s="47">
        <f>IFERROR(VLOOKUP($A78,Program[],3,0),0)</f>
        <v>0</v>
      </c>
      <c r="U78" s="47"/>
      <c r="V78" s="41">
        <f>IFERROR(VLOOKUP($A78,Program[],4,0),0)</f>
        <v>0</v>
      </c>
      <c r="W78" s="41">
        <f>IFERROR(VLOOKUP($A78,Program[],5,0),0)</f>
        <v>0</v>
      </c>
      <c r="X78" s="41"/>
      <c r="Y78" s="41"/>
      <c r="Z78" s="41"/>
      <c r="AA78" s="41">
        <f>IFERROR(VLOOKUP($A78,Program[],6,0),0)</f>
        <v>0</v>
      </c>
      <c r="AB78" s="41"/>
      <c r="AC78" s="41"/>
      <c r="AD78" s="41">
        <f>IFERROR(VLOOKUP($A78,Program[],7,0),0)</f>
        <v>0</v>
      </c>
      <c r="AE78" s="41">
        <f>IFERROR(VLOOKUP($A78,Program[],8,0),0)</f>
        <v>0</v>
      </c>
      <c r="AF78" s="41">
        <f>IFERROR(VLOOKUP($A78,Program[],9,0),0)</f>
        <v>0</v>
      </c>
      <c r="AG78" s="41">
        <f>IFERROR(VLOOKUP($A78,Program[],10,0),0)</f>
        <v>0</v>
      </c>
      <c r="AH78" s="41">
        <f>IFERROR(VLOOKUP($A78,Program[],11,0),0)</f>
        <v>0</v>
      </c>
      <c r="AI78" s="41">
        <f>IFERROR(VLOOKUP($A78,Program[],12,0),0)</f>
        <v>0</v>
      </c>
      <c r="AJ78" s="41"/>
      <c r="AK78" s="41">
        <f>IFERROR(VLOOKUP($A78,Program[],13,0),0)</f>
        <v>0</v>
      </c>
      <c r="AL78" s="41"/>
      <c r="AM78" s="41"/>
      <c r="AN78" s="41"/>
      <c r="AO78" s="41"/>
      <c r="AP78" s="41"/>
      <c r="AQ78" s="41"/>
      <c r="AR78" s="41"/>
      <c r="AS78" s="41">
        <f>IFERROR(VLOOKUP($A78,Program[],14,0),0)</f>
        <v>0</v>
      </c>
      <c r="AT78" s="41"/>
      <c r="AU78" s="41"/>
      <c r="AV78" s="41">
        <f>IFERROR(VLOOKUP($A78,Program[],15,0),0)</f>
        <v>0</v>
      </c>
      <c r="AW78" s="41"/>
      <c r="AX78" s="41">
        <f>IFERROR(VLOOKUP($A78,Program[],16,0),0)</f>
        <v>0</v>
      </c>
      <c r="AY78" s="41">
        <f>IFERROR(VLOOKUP($A78,Program[],17,0),0)</f>
        <v>0</v>
      </c>
      <c r="AZ78" s="41">
        <f>IFERROR(VLOOKUP($A78,Program[],18,0),0)</f>
        <v>0</v>
      </c>
      <c r="BA78" s="41">
        <f>IFERROR(VLOOKUP($A78,Program[],19,0),0)</f>
        <v>0</v>
      </c>
      <c r="BB78" s="77">
        <f t="shared" si="27"/>
        <v>0</v>
      </c>
      <c r="BC78" s="41">
        <f>IFERROR(VLOOKUP(A78,Food[],3,0),0)</f>
        <v>1260006.74</v>
      </c>
      <c r="BD78" s="41">
        <f>IFERROR(VLOOKUP($A78,FoodRev[],2,0),0)</f>
        <v>4553.78</v>
      </c>
      <c r="BE78" s="41">
        <f>IFERROR(VLOOKUP($A78,FoodRev[],3,0),0)</f>
        <v>122821.55</v>
      </c>
      <c r="BF78" s="41">
        <f>IFERROR(VLOOKUP($A78,FoodRev[],4,0),0)</f>
        <v>0</v>
      </c>
      <c r="BG78" s="41">
        <f>IFERROR(VLOOKUP($A78,FoodRev[],5,0),0)</f>
        <v>1344243.55</v>
      </c>
      <c r="BH78" s="41">
        <f>IFERROR(VLOOKUP($A78,FoodRev[],6,0),0)</f>
        <v>0</v>
      </c>
      <c r="BI78" s="41">
        <f>IFERROR(VLOOKUP($A78,FoodRev[],7,0),0)</f>
        <v>0</v>
      </c>
      <c r="BJ78" s="41">
        <f>IFERROR(VLOOKUP($A78,FoodRev[],8,0),0)</f>
        <v>107101.21</v>
      </c>
      <c r="BK78" s="41">
        <f>IFERROR(VLOOKUP($A78,FoodRev[],9,0),0)</f>
        <v>0</v>
      </c>
      <c r="BL78" s="41">
        <f>IFERROR(VLOOKUP($A78,FoodRev[],10,0),0)</f>
        <v>0</v>
      </c>
      <c r="BM78" s="41">
        <f t="shared" si="28"/>
        <v>1578720.09</v>
      </c>
      <c r="BN78" s="42">
        <f t="shared" si="24"/>
        <v>-318713.35000000015</v>
      </c>
      <c r="BO78" s="78">
        <f t="shared" si="25"/>
        <v>0</v>
      </c>
      <c r="BP78" s="78">
        <f t="shared" si="26"/>
        <v>-318713.35000000015</v>
      </c>
    </row>
    <row r="79" spans="1:68" x14ac:dyDescent="0.25">
      <c r="A79" s="40" t="s">
        <v>342</v>
      </c>
      <c r="B79" s="40" t="s">
        <v>776</v>
      </c>
      <c r="D79" s="203">
        <f t="shared" si="22"/>
        <v>0</v>
      </c>
      <c r="E79" s="41">
        <f>IFERROR(VLOOKUP(A79,Items[],5,0),0)</f>
        <v>11581840.550000001</v>
      </c>
      <c r="F79" s="42">
        <f t="shared" si="23"/>
        <v>11581840.550000001</v>
      </c>
      <c r="G79" s="41">
        <v>0</v>
      </c>
      <c r="H79" s="41">
        <f>IFERROR(VLOOKUP(A79,Items[],4,0),0)</f>
        <v>13516801.68</v>
      </c>
      <c r="I79" s="41">
        <f>IFERROR(VLOOKUP(A79,Community[],4,0),0)</f>
        <v>0</v>
      </c>
      <c r="J79" s="41">
        <f>IFERROR(VLOOKUP(A79,Community[],5,0),0)</f>
        <v>0</v>
      </c>
      <c r="K79" s="41">
        <f>IFERROR(VLOOKUP(A79,Community[],6,0),0)</f>
        <v>339331.64</v>
      </c>
      <c r="L79" s="41">
        <f>IFERROR(VLOOKUP(A79,Community[],7,0),0)</f>
        <v>80987.69</v>
      </c>
      <c r="M79" s="41">
        <f>IFERROR(VLOOKUP(A79,Debt[],3,0),0)</f>
        <v>0</v>
      </c>
      <c r="N79" s="41">
        <f>IFERROR(VLOOKUP(A79,Debt[],4,0),0)</f>
        <v>0</v>
      </c>
      <c r="O79" s="41">
        <f>IFERROR(VLOOKUP(A79,Debt[],5,0),0)</f>
        <v>0</v>
      </c>
      <c r="P79" s="41">
        <f>IFERROR(VLOOKUP(A79,Items[],3,0),0)</f>
        <v>0</v>
      </c>
      <c r="Q79" s="41">
        <f>IFERROR(VLOOKUP($A79,Federal[],2,0),0)</f>
        <v>224258.37</v>
      </c>
      <c r="R79" s="41">
        <f>IFERROR(VLOOKUP($A79,Federal[],4,0),0)</f>
        <v>1242512.23</v>
      </c>
      <c r="S79" s="41"/>
      <c r="T79" s="47">
        <f>IFERROR(VLOOKUP($A79,Program[],3,0),0)</f>
        <v>0</v>
      </c>
      <c r="U79" s="47"/>
      <c r="V79" s="41">
        <f>IFERROR(VLOOKUP($A79,Program[],4,0),0)</f>
        <v>0</v>
      </c>
      <c r="W79" s="41">
        <f>IFERROR(VLOOKUP($A79,Program[],5,0),0)</f>
        <v>0</v>
      </c>
      <c r="X79" s="41"/>
      <c r="Y79" s="41"/>
      <c r="Z79" s="41"/>
      <c r="AA79" s="41">
        <f>IFERROR(VLOOKUP($A79,Program[],6,0),0)</f>
        <v>0</v>
      </c>
      <c r="AB79" s="41"/>
      <c r="AC79" s="41"/>
      <c r="AD79" s="41">
        <f>IFERROR(VLOOKUP($A79,Program[],7,0),0)</f>
        <v>0</v>
      </c>
      <c r="AE79" s="41">
        <f>IFERROR(VLOOKUP($A79,Program[],8,0),0)</f>
        <v>0</v>
      </c>
      <c r="AF79" s="41">
        <f>IFERROR(VLOOKUP($A79,Program[],9,0),0)</f>
        <v>0</v>
      </c>
      <c r="AG79" s="41">
        <f>IFERROR(VLOOKUP($A79,Program[],10,0),0)</f>
        <v>0</v>
      </c>
      <c r="AH79" s="41">
        <f>IFERROR(VLOOKUP($A79,Program[],11,0),0)</f>
        <v>0</v>
      </c>
      <c r="AI79" s="41">
        <f>IFERROR(VLOOKUP($A79,Program[],12,0),0)</f>
        <v>0</v>
      </c>
      <c r="AJ79" s="41"/>
      <c r="AK79" s="41">
        <f>IFERROR(VLOOKUP($A79,Program[],13,0),0)</f>
        <v>0</v>
      </c>
      <c r="AL79" s="41"/>
      <c r="AM79" s="41"/>
      <c r="AN79" s="41"/>
      <c r="AO79" s="41"/>
      <c r="AP79" s="41"/>
      <c r="AQ79" s="41"/>
      <c r="AR79" s="41"/>
      <c r="AS79" s="41">
        <f>IFERROR(VLOOKUP($A79,Program[],14,0),0)</f>
        <v>0</v>
      </c>
      <c r="AT79" s="41"/>
      <c r="AU79" s="41"/>
      <c r="AV79" s="41">
        <f>IFERROR(VLOOKUP($A79,Program[],15,0),0)</f>
        <v>0</v>
      </c>
      <c r="AW79" s="41"/>
      <c r="AX79" s="41">
        <f>IFERROR(VLOOKUP($A79,Program[],16,0),0)</f>
        <v>0</v>
      </c>
      <c r="AY79" s="41">
        <f>IFERROR(VLOOKUP($A79,Program[],17,0),0)</f>
        <v>0</v>
      </c>
      <c r="AZ79" s="41">
        <f>IFERROR(VLOOKUP($A79,Program[],18,0),0)</f>
        <v>0</v>
      </c>
      <c r="BA79" s="41">
        <f>IFERROR(VLOOKUP($A79,Program[],19,0),0)</f>
        <v>0</v>
      </c>
      <c r="BB79" s="77">
        <f t="shared" si="27"/>
        <v>72947.719999999914</v>
      </c>
      <c r="BC79" s="41">
        <f>IFERROR(VLOOKUP(A79,Food[],3,0),0)</f>
        <v>509712.66999999993</v>
      </c>
      <c r="BD79" s="41">
        <f>IFERROR(VLOOKUP($A79,FoodRev[],2,0),0)</f>
        <v>20677.78</v>
      </c>
      <c r="BE79" s="41">
        <f>IFERROR(VLOOKUP($A79,FoodRev[],3,0),0)</f>
        <v>27193.42</v>
      </c>
      <c r="BF79" s="41">
        <f>IFERROR(VLOOKUP($A79,FoodRev[],4,0),0)</f>
        <v>0</v>
      </c>
      <c r="BG79" s="41">
        <f>IFERROR(VLOOKUP($A79,FoodRev[],5,0),0)</f>
        <v>337337.24</v>
      </c>
      <c r="BH79" s="41">
        <f>IFERROR(VLOOKUP($A79,FoodRev[],6,0),0)</f>
        <v>0</v>
      </c>
      <c r="BI79" s="41">
        <f>IFERROR(VLOOKUP($A79,FoodRev[],7,0),0)</f>
        <v>0</v>
      </c>
      <c r="BJ79" s="41">
        <f>IFERROR(VLOOKUP($A79,FoodRev[],8,0),0)</f>
        <v>51556.51</v>
      </c>
      <c r="BK79" s="41">
        <f>IFERROR(VLOOKUP($A79,FoodRev[],9,0),0)</f>
        <v>0</v>
      </c>
      <c r="BL79" s="41">
        <f>IFERROR(VLOOKUP($A79,FoodRev[],10,0),0)</f>
        <v>0</v>
      </c>
      <c r="BM79" s="41">
        <f t="shared" si="28"/>
        <v>436764.95</v>
      </c>
      <c r="BN79" s="42">
        <f t="shared" si="24"/>
        <v>72947.719999999914</v>
      </c>
      <c r="BO79" s="78">
        <f t="shared" si="25"/>
        <v>72947.719999999914</v>
      </c>
      <c r="BP79" s="78">
        <f t="shared" si="26"/>
        <v>0</v>
      </c>
    </row>
    <row r="80" spans="1:68" x14ac:dyDescent="0.25">
      <c r="A80" s="40" t="s">
        <v>414</v>
      </c>
      <c r="B80" s="40" t="s">
        <v>1008</v>
      </c>
      <c r="D80" s="203">
        <f t="shared" si="22"/>
        <v>-9.3132257461547852E-10</v>
      </c>
      <c r="E80" s="41">
        <f>IFERROR(VLOOKUP(A80,Items[],5,0),0)</f>
        <v>5681723.6200000001</v>
      </c>
      <c r="F80" s="42">
        <f t="shared" si="23"/>
        <v>5681723.620000001</v>
      </c>
      <c r="G80" s="41">
        <v>0</v>
      </c>
      <c r="H80" s="41">
        <f>IFERROR(VLOOKUP(A80,Items[],4,0),0)</f>
        <v>6652301.2400000002</v>
      </c>
      <c r="I80" s="41">
        <f>IFERROR(VLOOKUP(A80,Community[],4,0),0)</f>
        <v>0</v>
      </c>
      <c r="J80" s="41">
        <f>IFERROR(VLOOKUP(A80,Community[],5,0),0)</f>
        <v>0</v>
      </c>
      <c r="K80" s="41">
        <f>IFERROR(VLOOKUP(A80,Community[],6,0),0)</f>
        <v>182304.18</v>
      </c>
      <c r="L80" s="41">
        <f>IFERROR(VLOOKUP(A80,Community[],7,0),0)</f>
        <v>0</v>
      </c>
      <c r="M80" s="41">
        <f>IFERROR(VLOOKUP(A80,Debt[],3,0),0)</f>
        <v>0</v>
      </c>
      <c r="N80" s="41">
        <f>IFERROR(VLOOKUP(A80,Debt[],4,0),0)</f>
        <v>0</v>
      </c>
      <c r="O80" s="41">
        <f>IFERROR(VLOOKUP(A80,Debt[],5,0),0)</f>
        <v>0</v>
      </c>
      <c r="P80" s="41">
        <f>IFERROR(VLOOKUP(A80,Items[],3,0),0)</f>
        <v>0</v>
      </c>
      <c r="Q80" s="41">
        <f>IFERROR(VLOOKUP($A80,Federal[],2,0),0)</f>
        <v>800.1</v>
      </c>
      <c r="R80" s="41">
        <f>IFERROR(VLOOKUP($A80,Federal[],4,0),0)</f>
        <v>672875.11</v>
      </c>
      <c r="S80" s="41"/>
      <c r="T80" s="47">
        <f>IFERROR(VLOOKUP($A80,Program[],3,0),0)</f>
        <v>0</v>
      </c>
      <c r="U80" s="47"/>
      <c r="V80" s="41">
        <f>IFERROR(VLOOKUP($A80,Program[],4,0),0)</f>
        <v>0</v>
      </c>
      <c r="W80" s="41">
        <f>IFERROR(VLOOKUP($A80,Program[],5,0),0)</f>
        <v>0</v>
      </c>
      <c r="X80" s="41"/>
      <c r="Y80" s="41"/>
      <c r="Z80" s="41"/>
      <c r="AA80" s="41">
        <f>IFERROR(VLOOKUP($A80,Program[],6,0),0)</f>
        <v>0</v>
      </c>
      <c r="AB80" s="41"/>
      <c r="AC80" s="41"/>
      <c r="AD80" s="41">
        <f>IFERROR(VLOOKUP($A80,Program[],7,0),0)</f>
        <v>0</v>
      </c>
      <c r="AE80" s="41">
        <f>IFERROR(VLOOKUP($A80,Program[],8,0),0)</f>
        <v>0</v>
      </c>
      <c r="AF80" s="41">
        <f>IFERROR(VLOOKUP($A80,Program[],9,0),0)</f>
        <v>0</v>
      </c>
      <c r="AG80" s="41">
        <f>IFERROR(VLOOKUP($A80,Program[],10,0),0)</f>
        <v>0</v>
      </c>
      <c r="AH80" s="41">
        <f>IFERROR(VLOOKUP($A80,Program[],11,0),0)</f>
        <v>0</v>
      </c>
      <c r="AI80" s="41">
        <f>IFERROR(VLOOKUP($A80,Program[],12,0),0)</f>
        <v>0</v>
      </c>
      <c r="AJ80" s="41"/>
      <c r="AK80" s="41">
        <f>IFERROR(VLOOKUP($A80,Program[],13,0),0)</f>
        <v>0</v>
      </c>
      <c r="AL80" s="41"/>
      <c r="AM80" s="41"/>
      <c r="AN80" s="41"/>
      <c r="AO80" s="41"/>
      <c r="AP80" s="41"/>
      <c r="AQ80" s="41"/>
      <c r="AR80" s="41"/>
      <c r="AS80" s="41">
        <f>IFERROR(VLOOKUP($A80,Program[],14,0),0)</f>
        <v>0</v>
      </c>
      <c r="AT80" s="41"/>
      <c r="AU80" s="41"/>
      <c r="AV80" s="41">
        <f>IFERROR(VLOOKUP($A80,Program[],15,0),0)</f>
        <v>0</v>
      </c>
      <c r="AW80" s="41"/>
      <c r="AX80" s="41">
        <f>IFERROR(VLOOKUP($A80,Program[],16,0),0)</f>
        <v>0</v>
      </c>
      <c r="AY80" s="41">
        <f>IFERROR(VLOOKUP($A80,Program[],17,0),0)</f>
        <v>0</v>
      </c>
      <c r="AZ80" s="41">
        <f>IFERROR(VLOOKUP($A80,Program[],18,0),0)</f>
        <v>0</v>
      </c>
      <c r="BA80" s="41">
        <f>IFERROR(VLOOKUP($A80,Program[],19,0),0)</f>
        <v>0</v>
      </c>
      <c r="BB80" s="77">
        <f t="shared" si="27"/>
        <v>47505.940000000024</v>
      </c>
      <c r="BC80" s="41">
        <f>IFERROR(VLOOKUP(A80,Food[],3,0),0)</f>
        <v>273537.25</v>
      </c>
      <c r="BD80" s="41">
        <f>IFERROR(VLOOKUP($A80,FoodRev[],2,0),0)</f>
        <v>2028.35</v>
      </c>
      <c r="BE80" s="41">
        <f>IFERROR(VLOOKUP($A80,FoodRev[],3,0),0)</f>
        <v>112569.88</v>
      </c>
      <c r="BF80" s="41">
        <f>IFERROR(VLOOKUP($A80,FoodRev[],4,0),0)</f>
        <v>0</v>
      </c>
      <c r="BG80" s="41">
        <f>IFERROR(VLOOKUP($A80,FoodRev[],5,0),0)</f>
        <v>105681.12</v>
      </c>
      <c r="BH80" s="41">
        <f>IFERROR(VLOOKUP($A80,FoodRev[],6,0),0)</f>
        <v>0</v>
      </c>
      <c r="BI80" s="41">
        <f>IFERROR(VLOOKUP($A80,FoodRev[],7,0),0)</f>
        <v>0</v>
      </c>
      <c r="BJ80" s="41">
        <f>IFERROR(VLOOKUP($A80,FoodRev[],8,0),0)</f>
        <v>5751.96</v>
      </c>
      <c r="BK80" s="41">
        <f>IFERROR(VLOOKUP($A80,FoodRev[],9,0),0)</f>
        <v>0</v>
      </c>
      <c r="BL80" s="41">
        <f>IFERROR(VLOOKUP($A80,FoodRev[],10,0),0)</f>
        <v>0</v>
      </c>
      <c r="BM80" s="41">
        <f t="shared" si="28"/>
        <v>226031.31</v>
      </c>
      <c r="BN80" s="42">
        <f t="shared" si="24"/>
        <v>47505.940000000024</v>
      </c>
      <c r="BO80" s="78">
        <f t="shared" si="25"/>
        <v>47505.940000000024</v>
      </c>
      <c r="BP80" s="78">
        <f t="shared" si="26"/>
        <v>0</v>
      </c>
    </row>
    <row r="81" spans="1:68" x14ac:dyDescent="0.25">
      <c r="A81" s="40" t="s">
        <v>260</v>
      </c>
      <c r="B81" s="40" t="s">
        <v>777</v>
      </c>
      <c r="D81" s="203">
        <f t="shared" si="22"/>
        <v>3.7252902984619141E-9</v>
      </c>
      <c r="E81" s="41">
        <f>IFERROR(VLOOKUP(A81,Items[],5,0),0)</f>
        <v>23452876.48</v>
      </c>
      <c r="F81" s="42">
        <f t="shared" si="23"/>
        <v>23452876.479999997</v>
      </c>
      <c r="G81" s="41">
        <v>0</v>
      </c>
      <c r="H81" s="41">
        <f>IFERROR(VLOOKUP(A81,Items[],4,0),0)</f>
        <v>25028878.98</v>
      </c>
      <c r="I81" s="41">
        <f>IFERROR(VLOOKUP(A81,Community[],4,0),0)</f>
        <v>0</v>
      </c>
      <c r="J81" s="41">
        <f>IFERROR(VLOOKUP(A81,Community[],5,0),0)</f>
        <v>54864.590000000004</v>
      </c>
      <c r="K81" s="41">
        <f>IFERROR(VLOOKUP(A81,Community[],6,0),0)</f>
        <v>0</v>
      </c>
      <c r="L81" s="41">
        <f>IFERROR(VLOOKUP(A81,Community[],7,0),0)</f>
        <v>0</v>
      </c>
      <c r="M81" s="41">
        <f>IFERROR(VLOOKUP(A81,Debt[],3,0),0)</f>
        <v>0</v>
      </c>
      <c r="N81" s="41">
        <f>IFERROR(VLOOKUP(A81,Debt[],4,0),0)</f>
        <v>0</v>
      </c>
      <c r="O81" s="41">
        <f>IFERROR(VLOOKUP(A81,Debt[],5,0),0)</f>
        <v>0</v>
      </c>
      <c r="P81" s="41">
        <f>IFERROR(VLOOKUP(A81,Items[],3,0),0)</f>
        <v>24655.74</v>
      </c>
      <c r="Q81" s="41">
        <f>IFERROR(VLOOKUP($A81,Federal[],2,0),0)</f>
        <v>3390.64</v>
      </c>
      <c r="R81" s="41">
        <f>IFERROR(VLOOKUP($A81,Federal[],4,0),0)</f>
        <v>1204547.54</v>
      </c>
      <c r="S81" s="41"/>
      <c r="T81" s="47">
        <f>IFERROR(VLOOKUP($A81,Program[],3,0),0)</f>
        <v>0</v>
      </c>
      <c r="U81" s="47"/>
      <c r="V81" s="41">
        <f>IFERROR(VLOOKUP($A81,Program[],4,0),0)</f>
        <v>0</v>
      </c>
      <c r="W81" s="41">
        <f>IFERROR(VLOOKUP($A81,Program[],5,0),0)</f>
        <v>0</v>
      </c>
      <c r="X81" s="41"/>
      <c r="Y81" s="41"/>
      <c r="Z81" s="41"/>
      <c r="AA81" s="41">
        <f>IFERROR(VLOOKUP($A81,Program[],6,0),0)</f>
        <v>0</v>
      </c>
      <c r="AB81" s="41"/>
      <c r="AC81" s="41"/>
      <c r="AD81" s="41">
        <f>IFERROR(VLOOKUP($A81,Program[],7,0),0)</f>
        <v>0</v>
      </c>
      <c r="AE81" s="41">
        <f>IFERROR(VLOOKUP($A81,Program[],8,0),0)</f>
        <v>0</v>
      </c>
      <c r="AF81" s="41">
        <f>IFERROR(VLOOKUP($A81,Program[],9,0),0)</f>
        <v>0</v>
      </c>
      <c r="AG81" s="41">
        <f>IFERROR(VLOOKUP($A81,Program[],10,0),0)</f>
        <v>0</v>
      </c>
      <c r="AH81" s="41">
        <f>IFERROR(VLOOKUP($A81,Program[],11,0),0)</f>
        <v>0</v>
      </c>
      <c r="AI81" s="41">
        <f>IFERROR(VLOOKUP($A81,Program[],12,0),0)</f>
        <v>0</v>
      </c>
      <c r="AJ81" s="41"/>
      <c r="AK81" s="41">
        <f>IFERROR(VLOOKUP($A81,Program[],13,0),0)</f>
        <v>0</v>
      </c>
      <c r="AL81" s="41"/>
      <c r="AM81" s="41"/>
      <c r="AN81" s="41"/>
      <c r="AO81" s="41"/>
      <c r="AP81" s="41"/>
      <c r="AQ81" s="41"/>
      <c r="AR81" s="41"/>
      <c r="AS81" s="41">
        <f>IFERROR(VLOOKUP($A81,Program[],14,0),0)</f>
        <v>0</v>
      </c>
      <c r="AT81" s="41"/>
      <c r="AU81" s="41"/>
      <c r="AV81" s="41">
        <f>IFERROR(VLOOKUP($A81,Program[],15,0),0)</f>
        <v>0</v>
      </c>
      <c r="AW81" s="41"/>
      <c r="AX81" s="41">
        <f>IFERROR(VLOOKUP($A81,Program[],16,0),0)</f>
        <v>0</v>
      </c>
      <c r="AY81" s="41">
        <f>IFERROR(VLOOKUP($A81,Program[],17,0),0)</f>
        <v>0</v>
      </c>
      <c r="AZ81" s="41">
        <f>IFERROR(VLOOKUP($A81,Program[],18,0),0)</f>
        <v>0</v>
      </c>
      <c r="BA81" s="41">
        <f>IFERROR(VLOOKUP($A81,Program[],19,0),0)</f>
        <v>15655.74</v>
      </c>
      <c r="BB81" s="77">
        <f t="shared" si="27"/>
        <v>84018.899999999965</v>
      </c>
      <c r="BC81" s="41">
        <f>IFERROR(VLOOKUP(A81,Food[],3,0),0)</f>
        <v>758484.66999999993</v>
      </c>
      <c r="BD81" s="41">
        <f>IFERROR(VLOOKUP($A81,FoodRev[],2,0),0)</f>
        <v>116794.44</v>
      </c>
      <c r="BE81" s="41">
        <f>IFERROR(VLOOKUP($A81,FoodRev[],3,0),0)</f>
        <v>187405.29</v>
      </c>
      <c r="BF81" s="41">
        <f>IFERROR(VLOOKUP($A81,FoodRev[],4,0),0)</f>
        <v>0</v>
      </c>
      <c r="BG81" s="41">
        <f>IFERROR(VLOOKUP($A81,FoodRev[],5,0),0)</f>
        <v>321544.46999999997</v>
      </c>
      <c r="BH81" s="41">
        <f>IFERROR(VLOOKUP($A81,FoodRev[],6,0),0)</f>
        <v>0</v>
      </c>
      <c r="BI81" s="41">
        <f>IFERROR(VLOOKUP($A81,FoodRev[],7,0),0)</f>
        <v>0</v>
      </c>
      <c r="BJ81" s="41">
        <f>IFERROR(VLOOKUP($A81,FoodRev[],8,0),0)</f>
        <v>48721.57</v>
      </c>
      <c r="BK81" s="41">
        <f>IFERROR(VLOOKUP($A81,FoodRev[],9,0),0)</f>
        <v>0</v>
      </c>
      <c r="BL81" s="41">
        <f>IFERROR(VLOOKUP($A81,FoodRev[],10,0),0)</f>
        <v>0</v>
      </c>
      <c r="BM81" s="41">
        <f t="shared" si="28"/>
        <v>674465.7699999999</v>
      </c>
      <c r="BN81" s="42">
        <f t="shared" si="24"/>
        <v>84018.899999999965</v>
      </c>
      <c r="BO81" s="78">
        <f t="shared" si="25"/>
        <v>84018.899999999965</v>
      </c>
      <c r="BP81" s="78">
        <f t="shared" si="26"/>
        <v>0</v>
      </c>
    </row>
    <row r="82" spans="1:68" x14ac:dyDescent="0.25">
      <c r="A82" s="40" t="s">
        <v>256</v>
      </c>
      <c r="B82" s="40" t="s">
        <v>778</v>
      </c>
      <c r="D82" s="203">
        <f t="shared" si="22"/>
        <v>3.7252902984619141E-9</v>
      </c>
      <c r="E82" s="41">
        <f>IFERROR(VLOOKUP(A82,Items[],5,0),0)</f>
        <v>26800502.370000001</v>
      </c>
      <c r="F82" s="42">
        <f t="shared" si="23"/>
        <v>26800502.369999997</v>
      </c>
      <c r="G82" s="41">
        <v>0</v>
      </c>
      <c r="H82" s="41">
        <f>IFERROR(VLOOKUP(A82,Items[],4,0),0)</f>
        <v>30056695.5</v>
      </c>
      <c r="I82" s="41">
        <f>IFERROR(VLOOKUP(A82,Community[],4,0),0)</f>
        <v>0</v>
      </c>
      <c r="J82" s="41">
        <f>IFERROR(VLOOKUP(A82,Community[],5,0),0)</f>
        <v>0</v>
      </c>
      <c r="K82" s="41">
        <f>IFERROR(VLOOKUP(A82,Community[],6,0),0)</f>
        <v>85382.73</v>
      </c>
      <c r="L82" s="41">
        <f>IFERROR(VLOOKUP(A82,Community[],7,0),0)</f>
        <v>336777</v>
      </c>
      <c r="M82" s="41">
        <f>IFERROR(VLOOKUP(A82,Debt[],3,0),0)</f>
        <v>1159.82</v>
      </c>
      <c r="N82" s="41">
        <f>IFERROR(VLOOKUP(A82,Debt[],4,0),0)</f>
        <v>34025.14</v>
      </c>
      <c r="O82" s="41">
        <f>IFERROR(VLOOKUP(A82,Debt[],5,0),0)</f>
        <v>0</v>
      </c>
      <c r="P82" s="41">
        <f>IFERROR(VLOOKUP(A82,Items[],3,0),0)</f>
        <v>394728.81</v>
      </c>
      <c r="Q82" s="41">
        <f>IFERROR(VLOOKUP($A82,Federal[],2,0),0)</f>
        <v>3967.68</v>
      </c>
      <c r="R82" s="41">
        <f>IFERROR(VLOOKUP($A82,Federal[],4,0),0)</f>
        <v>2072750.41</v>
      </c>
      <c r="S82" s="41"/>
      <c r="T82" s="47">
        <f>IFERROR(VLOOKUP($A82,Program[],3,0),0)</f>
        <v>0</v>
      </c>
      <c r="U82" s="47"/>
      <c r="V82" s="41">
        <f>IFERROR(VLOOKUP($A82,Program[],4,0),0)</f>
        <v>0</v>
      </c>
      <c r="W82" s="41">
        <f>IFERROR(VLOOKUP($A82,Program[],5,0),0)</f>
        <v>0</v>
      </c>
      <c r="X82" s="41"/>
      <c r="Y82" s="41"/>
      <c r="Z82" s="41"/>
      <c r="AA82" s="41">
        <f>IFERROR(VLOOKUP($A82,Program[],6,0),0)</f>
        <v>0</v>
      </c>
      <c r="AB82" s="41"/>
      <c r="AC82" s="41"/>
      <c r="AD82" s="41">
        <f>IFERROR(VLOOKUP($A82,Program[],7,0),0)</f>
        <v>0</v>
      </c>
      <c r="AE82" s="41">
        <f>IFERROR(VLOOKUP($A82,Program[],8,0),0)</f>
        <v>0</v>
      </c>
      <c r="AF82" s="41">
        <f>IFERROR(VLOOKUP($A82,Program[],9,0),0)</f>
        <v>0</v>
      </c>
      <c r="AG82" s="41">
        <f>IFERROR(VLOOKUP($A82,Program[],10,0),0)</f>
        <v>0</v>
      </c>
      <c r="AH82" s="41">
        <f>IFERROR(VLOOKUP($A82,Program[],11,0),0)</f>
        <v>0</v>
      </c>
      <c r="AI82" s="41">
        <f>IFERROR(VLOOKUP($A82,Program[],12,0),0)</f>
        <v>0</v>
      </c>
      <c r="AJ82" s="41"/>
      <c r="AK82" s="41">
        <f>IFERROR(VLOOKUP($A82,Program[],13,0),0)</f>
        <v>0</v>
      </c>
      <c r="AL82" s="41"/>
      <c r="AM82" s="41"/>
      <c r="AN82" s="41"/>
      <c r="AO82" s="41"/>
      <c r="AP82" s="41"/>
      <c r="AQ82" s="41"/>
      <c r="AR82" s="41"/>
      <c r="AS82" s="41">
        <f>IFERROR(VLOOKUP($A82,Program[],14,0),0)</f>
        <v>0</v>
      </c>
      <c r="AT82" s="41"/>
      <c r="AU82" s="41"/>
      <c r="AV82" s="41">
        <f>IFERROR(VLOOKUP($A82,Program[],15,0),0)</f>
        <v>0</v>
      </c>
      <c r="AW82" s="41"/>
      <c r="AX82" s="41">
        <f>IFERROR(VLOOKUP($A82,Program[],16,0),0)</f>
        <v>0</v>
      </c>
      <c r="AY82" s="41">
        <f>IFERROR(VLOOKUP($A82,Program[],17,0),0)</f>
        <v>0</v>
      </c>
      <c r="AZ82" s="41">
        <f>IFERROR(VLOOKUP($A82,Program[],18,0),0)</f>
        <v>0</v>
      </c>
      <c r="BA82" s="41">
        <f>IFERROR(VLOOKUP($A82,Program[],19,0),0)</f>
        <v>0</v>
      </c>
      <c r="BB82" s="77">
        <f t="shared" si="27"/>
        <v>48616.26999999999</v>
      </c>
      <c r="BC82" s="41">
        <f>IFERROR(VLOOKUP(A82,Food[],3,0),0)</f>
        <v>1095171.42</v>
      </c>
      <c r="BD82" s="41">
        <f>IFERROR(VLOOKUP($A82,FoodRev[],2,0),0)</f>
        <v>0</v>
      </c>
      <c r="BE82" s="41">
        <f>IFERROR(VLOOKUP($A82,FoodRev[],3,0),0)</f>
        <v>289921.99</v>
      </c>
      <c r="BF82" s="41">
        <f>IFERROR(VLOOKUP($A82,FoodRev[],4,0),0)</f>
        <v>0</v>
      </c>
      <c r="BG82" s="41">
        <f>IFERROR(VLOOKUP($A82,FoodRev[],5,0),0)</f>
        <v>653201.81999999995</v>
      </c>
      <c r="BH82" s="41">
        <f>IFERROR(VLOOKUP($A82,FoodRev[],6,0),0)</f>
        <v>0</v>
      </c>
      <c r="BI82" s="41">
        <f>IFERROR(VLOOKUP($A82,FoodRev[],7,0),0)</f>
        <v>0</v>
      </c>
      <c r="BJ82" s="41">
        <f>IFERROR(VLOOKUP($A82,FoodRev[],8,0),0)</f>
        <v>65951.789999999994</v>
      </c>
      <c r="BK82" s="41">
        <f>IFERROR(VLOOKUP($A82,FoodRev[],9,0),0)</f>
        <v>37479.550000000003</v>
      </c>
      <c r="BL82" s="41">
        <f>IFERROR(VLOOKUP($A82,FoodRev[],10,0),0)</f>
        <v>0</v>
      </c>
      <c r="BM82" s="41">
        <f t="shared" si="28"/>
        <v>1046555.15</v>
      </c>
      <c r="BN82" s="42">
        <f t="shared" si="24"/>
        <v>48616.26999999999</v>
      </c>
      <c r="BO82" s="78">
        <f t="shared" si="25"/>
        <v>48616.26999999999</v>
      </c>
      <c r="BP82" s="78">
        <f t="shared" si="26"/>
        <v>0</v>
      </c>
    </row>
    <row r="83" spans="1:68" x14ac:dyDescent="0.25">
      <c r="A83" s="40" t="s">
        <v>490</v>
      </c>
      <c r="B83" s="40" t="s">
        <v>779</v>
      </c>
      <c r="D83" s="203">
        <f t="shared" si="22"/>
        <v>4.6566128730773926E-10</v>
      </c>
      <c r="E83" s="41">
        <f>IFERROR(VLOOKUP(A83,Items[],5,0),0)</f>
        <v>4023313.2</v>
      </c>
      <c r="F83" s="42">
        <f t="shared" si="23"/>
        <v>4023313.1999999997</v>
      </c>
      <c r="G83" s="41">
        <v>0</v>
      </c>
      <c r="H83" s="41">
        <f>IFERROR(VLOOKUP(A83,Items[],4,0),0)</f>
        <v>6709639.1399999997</v>
      </c>
      <c r="I83" s="41">
        <f>IFERROR(VLOOKUP(A83,Community[],4,0),0)</f>
        <v>0</v>
      </c>
      <c r="J83" s="41">
        <f>IFERROR(VLOOKUP(A83,Community[],5,0),0)</f>
        <v>0</v>
      </c>
      <c r="K83" s="41">
        <f>IFERROR(VLOOKUP(A83,Community[],6,0),0)</f>
        <v>0</v>
      </c>
      <c r="L83" s="41">
        <f>IFERROR(VLOOKUP(A83,Community[],7,0),0)</f>
        <v>0</v>
      </c>
      <c r="M83" s="41">
        <f>IFERROR(VLOOKUP(A83,Debt[],3,0),0)</f>
        <v>0</v>
      </c>
      <c r="N83" s="41">
        <f>IFERROR(VLOOKUP(A83,Debt[],4,0),0)</f>
        <v>7699.68</v>
      </c>
      <c r="O83" s="41">
        <f>IFERROR(VLOOKUP(A83,Debt[],5,0),0)</f>
        <v>0</v>
      </c>
      <c r="P83" s="41">
        <f>IFERROR(VLOOKUP(A83,Items[],3,0),0)</f>
        <v>0</v>
      </c>
      <c r="Q83" s="41">
        <f>IFERROR(VLOOKUP($A83,Federal[],2,0),0)</f>
        <v>42984.53</v>
      </c>
      <c r="R83" s="41">
        <f>IFERROR(VLOOKUP($A83,Federal[],4,0),0)</f>
        <v>2630629.5099999998</v>
      </c>
      <c r="S83" s="41"/>
      <c r="T83" s="47">
        <f>IFERROR(VLOOKUP($A83,Program[],3,0),0)</f>
        <v>0</v>
      </c>
      <c r="U83" s="47"/>
      <c r="V83" s="41">
        <f>IFERROR(VLOOKUP($A83,Program[],4,0),0)</f>
        <v>0</v>
      </c>
      <c r="W83" s="41">
        <f>IFERROR(VLOOKUP($A83,Program[],5,0),0)</f>
        <v>0</v>
      </c>
      <c r="X83" s="41"/>
      <c r="Y83" s="41"/>
      <c r="Z83" s="41"/>
      <c r="AA83" s="41">
        <f>IFERROR(VLOOKUP($A83,Program[],6,0),0)</f>
        <v>0</v>
      </c>
      <c r="AB83" s="41"/>
      <c r="AC83" s="41"/>
      <c r="AD83" s="41">
        <f>IFERROR(VLOOKUP($A83,Program[],7,0),0)</f>
        <v>0</v>
      </c>
      <c r="AE83" s="41">
        <f>IFERROR(VLOOKUP($A83,Program[],8,0),0)</f>
        <v>0</v>
      </c>
      <c r="AF83" s="41">
        <f>IFERROR(VLOOKUP($A83,Program[],9,0),0)</f>
        <v>0</v>
      </c>
      <c r="AG83" s="41">
        <f>IFERROR(VLOOKUP($A83,Program[],10,0),0)</f>
        <v>0</v>
      </c>
      <c r="AH83" s="41">
        <f>IFERROR(VLOOKUP($A83,Program[],11,0),0)</f>
        <v>0</v>
      </c>
      <c r="AI83" s="41">
        <f>IFERROR(VLOOKUP($A83,Program[],12,0),0)</f>
        <v>0</v>
      </c>
      <c r="AJ83" s="41"/>
      <c r="AK83" s="41">
        <f>IFERROR(VLOOKUP($A83,Program[],13,0),0)</f>
        <v>0</v>
      </c>
      <c r="AL83" s="41"/>
      <c r="AM83" s="41"/>
      <c r="AN83" s="41"/>
      <c r="AO83" s="41"/>
      <c r="AP83" s="41"/>
      <c r="AQ83" s="41"/>
      <c r="AR83" s="41"/>
      <c r="AS83" s="41">
        <f>IFERROR(VLOOKUP($A83,Program[],14,0),0)</f>
        <v>0</v>
      </c>
      <c r="AT83" s="41"/>
      <c r="AU83" s="41"/>
      <c r="AV83" s="41">
        <f>IFERROR(VLOOKUP($A83,Program[],15,0),0)</f>
        <v>0</v>
      </c>
      <c r="AW83" s="41"/>
      <c r="AX83" s="41">
        <f>IFERROR(VLOOKUP($A83,Program[],16,0),0)</f>
        <v>0</v>
      </c>
      <c r="AY83" s="41">
        <f>IFERROR(VLOOKUP($A83,Program[],17,0),0)</f>
        <v>0</v>
      </c>
      <c r="AZ83" s="41">
        <f>IFERROR(VLOOKUP($A83,Program[],18,0),0)</f>
        <v>0</v>
      </c>
      <c r="BA83" s="41">
        <f>IFERROR(VLOOKUP($A83,Program[],19,0),0)</f>
        <v>0</v>
      </c>
      <c r="BB83" s="77">
        <f t="shared" si="27"/>
        <v>136157.40999999997</v>
      </c>
      <c r="BC83" s="41">
        <f>IFERROR(VLOOKUP(A83,Food[],3,0),0)</f>
        <v>266652.40999999997</v>
      </c>
      <c r="BD83" s="41">
        <f>IFERROR(VLOOKUP($A83,FoodRev[],2,0),0)</f>
        <v>1638</v>
      </c>
      <c r="BE83" s="41">
        <f>IFERROR(VLOOKUP($A83,FoodRev[],3,0),0)</f>
        <v>3374.22</v>
      </c>
      <c r="BF83" s="41">
        <f>IFERROR(VLOOKUP($A83,FoodRev[],4,0),0)</f>
        <v>0</v>
      </c>
      <c r="BG83" s="41">
        <f>IFERROR(VLOOKUP($A83,FoodRev[],5,0),0)</f>
        <v>116669.94</v>
      </c>
      <c r="BH83" s="41">
        <f>IFERROR(VLOOKUP($A83,FoodRev[],6,0),0)</f>
        <v>0</v>
      </c>
      <c r="BI83" s="41">
        <f>IFERROR(VLOOKUP($A83,FoodRev[],7,0),0)</f>
        <v>0</v>
      </c>
      <c r="BJ83" s="41">
        <f>IFERROR(VLOOKUP($A83,FoodRev[],8,0),0)</f>
        <v>8812.84</v>
      </c>
      <c r="BK83" s="41">
        <f>IFERROR(VLOOKUP($A83,FoodRev[],9,0),0)</f>
        <v>0</v>
      </c>
      <c r="BL83" s="41">
        <f>IFERROR(VLOOKUP($A83,FoodRev[],10,0),0)</f>
        <v>0</v>
      </c>
      <c r="BM83" s="41">
        <f t="shared" si="28"/>
        <v>130495</v>
      </c>
      <c r="BN83" s="42">
        <f t="shared" si="24"/>
        <v>136157.40999999997</v>
      </c>
      <c r="BO83" s="78">
        <f t="shared" si="25"/>
        <v>136157.40999999997</v>
      </c>
      <c r="BP83" s="78">
        <f t="shared" si="26"/>
        <v>0</v>
      </c>
    </row>
    <row r="84" spans="1:68" x14ac:dyDescent="0.25">
      <c r="A84" s="40" t="s">
        <v>494</v>
      </c>
      <c r="B84" s="40" t="s">
        <v>1009</v>
      </c>
      <c r="D84" s="203">
        <f t="shared" si="22"/>
        <v>0</v>
      </c>
      <c r="E84" s="41">
        <f>IFERROR(VLOOKUP(A84,Items[],5,0),0)</f>
        <v>4637351.16</v>
      </c>
      <c r="F84" s="42">
        <f t="shared" si="23"/>
        <v>4637351.16</v>
      </c>
      <c r="G84" s="41">
        <v>0</v>
      </c>
      <c r="H84" s="41">
        <f>IFERROR(VLOOKUP(A84,Items[],4,0),0)</f>
        <v>5530492.0599999996</v>
      </c>
      <c r="I84" s="41">
        <f>IFERROR(VLOOKUP(A84,Community[],4,0),0)</f>
        <v>0</v>
      </c>
      <c r="J84" s="41">
        <f>IFERROR(VLOOKUP(A84,Community[],5,0),0)</f>
        <v>0</v>
      </c>
      <c r="K84" s="41">
        <f>IFERROR(VLOOKUP(A84,Community[],6,0),0)</f>
        <v>290256.14000000007</v>
      </c>
      <c r="L84" s="41">
        <f>IFERROR(VLOOKUP(A84,Community[],7,0),0)</f>
        <v>0</v>
      </c>
      <c r="M84" s="41">
        <f>IFERROR(VLOOKUP(A84,Debt[],3,0),0)</f>
        <v>0</v>
      </c>
      <c r="N84" s="41">
        <f>IFERROR(VLOOKUP(A84,Debt[],4,0),0)</f>
        <v>0</v>
      </c>
      <c r="O84" s="41">
        <f>IFERROR(VLOOKUP(A84,Debt[],5,0),0)</f>
        <v>0</v>
      </c>
      <c r="P84" s="41">
        <f>IFERROR(VLOOKUP(A84,Items[],3,0),0)</f>
        <v>124941.37</v>
      </c>
      <c r="Q84" s="41">
        <f>IFERROR(VLOOKUP($A84,Federal[],2,0),0)</f>
        <v>97889.16</v>
      </c>
      <c r="R84" s="41">
        <f>IFERROR(VLOOKUP($A84,Federal[],4,0),0)</f>
        <v>403360.58</v>
      </c>
      <c r="S84" s="41"/>
      <c r="T84" s="47">
        <f>IFERROR(VLOOKUP($A84,Program[],3,0),0)</f>
        <v>0</v>
      </c>
      <c r="U84" s="47"/>
      <c r="V84" s="41">
        <f>IFERROR(VLOOKUP($A84,Program[],4,0),0)</f>
        <v>0</v>
      </c>
      <c r="W84" s="41">
        <f>IFERROR(VLOOKUP($A84,Program[],5,0),0)</f>
        <v>0</v>
      </c>
      <c r="X84" s="41"/>
      <c r="Y84" s="41"/>
      <c r="Z84" s="41"/>
      <c r="AA84" s="41">
        <f>IFERROR(VLOOKUP($A84,Program[],6,0),0)</f>
        <v>0</v>
      </c>
      <c r="AB84" s="41"/>
      <c r="AC84" s="41"/>
      <c r="AD84" s="41">
        <f>IFERROR(VLOOKUP($A84,Program[],7,0),0)</f>
        <v>0</v>
      </c>
      <c r="AE84" s="41">
        <f>IFERROR(VLOOKUP($A84,Program[],8,0),0)</f>
        <v>0</v>
      </c>
      <c r="AF84" s="41">
        <f>IFERROR(VLOOKUP($A84,Program[],9,0),0)</f>
        <v>0</v>
      </c>
      <c r="AG84" s="41">
        <f>IFERROR(VLOOKUP($A84,Program[],10,0),0)</f>
        <v>0</v>
      </c>
      <c r="AH84" s="41">
        <f>IFERROR(VLOOKUP($A84,Program[],11,0),0)</f>
        <v>0</v>
      </c>
      <c r="AI84" s="41">
        <f>IFERROR(VLOOKUP($A84,Program[],12,0),0)</f>
        <v>0</v>
      </c>
      <c r="AJ84" s="41"/>
      <c r="AK84" s="41">
        <f>IFERROR(VLOOKUP($A84,Program[],13,0),0)</f>
        <v>0</v>
      </c>
      <c r="AL84" s="41"/>
      <c r="AM84" s="41"/>
      <c r="AN84" s="41"/>
      <c r="AO84" s="41"/>
      <c r="AP84" s="41"/>
      <c r="AQ84" s="41"/>
      <c r="AR84" s="41"/>
      <c r="AS84" s="41">
        <f>IFERROR(VLOOKUP($A84,Program[],14,0),0)</f>
        <v>0</v>
      </c>
      <c r="AT84" s="41"/>
      <c r="AU84" s="41"/>
      <c r="AV84" s="41">
        <f>IFERROR(VLOOKUP($A84,Program[],15,0),0)</f>
        <v>0</v>
      </c>
      <c r="AW84" s="41"/>
      <c r="AX84" s="41">
        <f>IFERROR(VLOOKUP($A84,Program[],16,0),0)</f>
        <v>0</v>
      </c>
      <c r="AY84" s="41">
        <f>IFERROR(VLOOKUP($A84,Program[],17,0),0)</f>
        <v>6088.71</v>
      </c>
      <c r="AZ84" s="41">
        <f>IFERROR(VLOOKUP($A84,Program[],18,0),0)</f>
        <v>0</v>
      </c>
      <c r="BA84" s="41">
        <f>IFERROR(VLOOKUP($A84,Program[],19,0),0)</f>
        <v>57546.73</v>
      </c>
      <c r="BB84" s="77">
        <f t="shared" si="27"/>
        <v>86846.779999999941</v>
      </c>
      <c r="BC84" s="41">
        <f>IFERROR(VLOOKUP(A84,Food[],3,0),0)</f>
        <v>356285.85</v>
      </c>
      <c r="BD84" s="41">
        <f>IFERROR(VLOOKUP($A84,FoodRev[],2,0),0)</f>
        <v>4013.15</v>
      </c>
      <c r="BE84" s="41">
        <f>IFERROR(VLOOKUP($A84,FoodRev[],3,0),0)</f>
        <v>28870.76</v>
      </c>
      <c r="BF84" s="41">
        <f>IFERROR(VLOOKUP($A84,FoodRev[],4,0),0)</f>
        <v>7445.18</v>
      </c>
      <c r="BG84" s="41">
        <f>IFERROR(VLOOKUP($A84,FoodRev[],5,0),0)</f>
        <v>211749.64</v>
      </c>
      <c r="BH84" s="41">
        <f>IFERROR(VLOOKUP($A84,FoodRev[],6,0),0)</f>
        <v>3960</v>
      </c>
      <c r="BI84" s="41">
        <f>IFERROR(VLOOKUP($A84,FoodRev[],7,0),0)</f>
        <v>0</v>
      </c>
      <c r="BJ84" s="41">
        <f>IFERROR(VLOOKUP($A84,FoodRev[],8,0),0)</f>
        <v>13400.34</v>
      </c>
      <c r="BK84" s="41">
        <f>IFERROR(VLOOKUP($A84,FoodRev[],9,0),0)</f>
        <v>0</v>
      </c>
      <c r="BL84" s="41">
        <f>IFERROR(VLOOKUP($A84,FoodRev[],10,0),0)</f>
        <v>0</v>
      </c>
      <c r="BM84" s="41">
        <f t="shared" si="28"/>
        <v>269439.07</v>
      </c>
      <c r="BN84" s="42">
        <f t="shared" si="24"/>
        <v>86846.779999999941</v>
      </c>
      <c r="BO84" s="78">
        <f t="shared" si="25"/>
        <v>86846.779999999941</v>
      </c>
      <c r="BP84" s="78">
        <f t="shared" si="26"/>
        <v>0</v>
      </c>
    </row>
    <row r="85" spans="1:68" x14ac:dyDescent="0.25">
      <c r="A85" s="40" t="s">
        <v>502</v>
      </c>
      <c r="B85" s="40" t="s">
        <v>780</v>
      </c>
      <c r="D85" s="203">
        <f t="shared" si="22"/>
        <v>4.6566128730773926E-10</v>
      </c>
      <c r="E85" s="41">
        <f>IFERROR(VLOOKUP(A85,Items[],5,0),0)</f>
        <v>3470260.88</v>
      </c>
      <c r="F85" s="42">
        <f t="shared" si="23"/>
        <v>3470260.8799999994</v>
      </c>
      <c r="G85" s="41">
        <v>0</v>
      </c>
      <c r="H85" s="41">
        <f>IFERROR(VLOOKUP(A85,Items[],4,0),0)</f>
        <v>3744652.07</v>
      </c>
      <c r="I85" s="41">
        <f>IFERROR(VLOOKUP(A85,Community[],4,0),0)</f>
        <v>0</v>
      </c>
      <c r="J85" s="41">
        <f>IFERROR(VLOOKUP(A85,Community[],5,0),0)</f>
        <v>0</v>
      </c>
      <c r="K85" s="41">
        <f>IFERROR(VLOOKUP(A85,Community[],6,0),0)</f>
        <v>0</v>
      </c>
      <c r="L85" s="41">
        <f>IFERROR(VLOOKUP(A85,Community[],7,0),0)</f>
        <v>0</v>
      </c>
      <c r="M85" s="41">
        <f>IFERROR(VLOOKUP(A85,Debt[],3,0),0)</f>
        <v>0</v>
      </c>
      <c r="N85" s="41">
        <f>IFERROR(VLOOKUP(A85,Debt[],4,0),0)</f>
        <v>0</v>
      </c>
      <c r="O85" s="41">
        <f>IFERROR(VLOOKUP(A85,Debt[],5,0),0)</f>
        <v>0</v>
      </c>
      <c r="P85" s="41">
        <f>IFERROR(VLOOKUP(A85,Items[],3,0),0)</f>
        <v>0</v>
      </c>
      <c r="Q85" s="41">
        <f>IFERROR(VLOOKUP($A85,Federal[],2,0),0)</f>
        <v>442.74</v>
      </c>
      <c r="R85" s="41">
        <f>IFERROR(VLOOKUP($A85,Federal[],4,0),0)</f>
        <v>210074.71</v>
      </c>
      <c r="S85" s="41"/>
      <c r="T85" s="47">
        <f>IFERROR(VLOOKUP($A85,Program[],3,0),0)</f>
        <v>0</v>
      </c>
      <c r="U85" s="47"/>
      <c r="V85" s="41">
        <f>IFERROR(VLOOKUP($A85,Program[],4,0),0)</f>
        <v>0</v>
      </c>
      <c r="W85" s="41">
        <f>IFERROR(VLOOKUP($A85,Program[],5,0),0)</f>
        <v>0</v>
      </c>
      <c r="X85" s="41"/>
      <c r="Y85" s="41"/>
      <c r="Z85" s="41"/>
      <c r="AA85" s="41">
        <f>IFERROR(VLOOKUP($A85,Program[],6,0),0)</f>
        <v>0</v>
      </c>
      <c r="AB85" s="41"/>
      <c r="AC85" s="41"/>
      <c r="AD85" s="41">
        <f>IFERROR(VLOOKUP($A85,Program[],7,0),0)</f>
        <v>0</v>
      </c>
      <c r="AE85" s="41">
        <f>IFERROR(VLOOKUP($A85,Program[],8,0),0)</f>
        <v>0</v>
      </c>
      <c r="AF85" s="41">
        <f>IFERROR(VLOOKUP($A85,Program[],9,0),0)</f>
        <v>0</v>
      </c>
      <c r="AG85" s="41">
        <f>IFERROR(VLOOKUP($A85,Program[],10,0),0)</f>
        <v>0</v>
      </c>
      <c r="AH85" s="41">
        <f>IFERROR(VLOOKUP($A85,Program[],11,0),0)</f>
        <v>0</v>
      </c>
      <c r="AI85" s="41">
        <f>IFERROR(VLOOKUP($A85,Program[],12,0),0)</f>
        <v>0</v>
      </c>
      <c r="AJ85" s="41"/>
      <c r="AK85" s="41">
        <f>IFERROR(VLOOKUP($A85,Program[],13,0),0)</f>
        <v>0</v>
      </c>
      <c r="AL85" s="41"/>
      <c r="AM85" s="41"/>
      <c r="AN85" s="41"/>
      <c r="AO85" s="41"/>
      <c r="AP85" s="41"/>
      <c r="AQ85" s="41"/>
      <c r="AR85" s="41"/>
      <c r="AS85" s="41">
        <f>IFERROR(VLOOKUP($A85,Program[],14,0),0)</f>
        <v>0</v>
      </c>
      <c r="AT85" s="41"/>
      <c r="AU85" s="41"/>
      <c r="AV85" s="41">
        <f>IFERROR(VLOOKUP($A85,Program[],15,0),0)</f>
        <v>0</v>
      </c>
      <c r="AW85" s="41"/>
      <c r="AX85" s="41">
        <f>IFERROR(VLOOKUP($A85,Program[],16,0),0)</f>
        <v>0</v>
      </c>
      <c r="AY85" s="41">
        <f>IFERROR(VLOOKUP($A85,Program[],17,0),0)</f>
        <v>0</v>
      </c>
      <c r="AZ85" s="41">
        <f>IFERROR(VLOOKUP($A85,Program[],18,0),0)</f>
        <v>0</v>
      </c>
      <c r="BA85" s="41">
        <f>IFERROR(VLOOKUP($A85,Program[],19,0),0)</f>
        <v>0</v>
      </c>
      <c r="BB85" s="77">
        <f t="shared" si="27"/>
        <v>22336.440000000006</v>
      </c>
      <c r="BC85" s="41">
        <f>IFERROR(VLOOKUP(A85,Food[],3,0),0)</f>
        <v>148017.59</v>
      </c>
      <c r="BD85" s="41">
        <f>IFERROR(VLOOKUP($A85,FoodRev[],2,0),0)</f>
        <v>594.17999999999995</v>
      </c>
      <c r="BE85" s="41">
        <f>IFERROR(VLOOKUP($A85,FoodRev[],3,0),0)</f>
        <v>63279.56</v>
      </c>
      <c r="BF85" s="41">
        <f>IFERROR(VLOOKUP($A85,FoodRev[],4,0),0)</f>
        <v>0</v>
      </c>
      <c r="BG85" s="41">
        <f>IFERROR(VLOOKUP($A85,FoodRev[],5,0),0)</f>
        <v>54475.32</v>
      </c>
      <c r="BH85" s="41">
        <f>IFERROR(VLOOKUP($A85,FoodRev[],6,0),0)</f>
        <v>0</v>
      </c>
      <c r="BI85" s="41">
        <f>IFERROR(VLOOKUP($A85,FoodRev[],7,0),0)</f>
        <v>0</v>
      </c>
      <c r="BJ85" s="41">
        <f>IFERROR(VLOOKUP($A85,FoodRev[],8,0),0)</f>
        <v>7332.09</v>
      </c>
      <c r="BK85" s="41">
        <f>IFERROR(VLOOKUP($A85,FoodRev[],9,0),0)</f>
        <v>0</v>
      </c>
      <c r="BL85" s="41">
        <f>IFERROR(VLOOKUP($A85,FoodRev[],10,0),0)</f>
        <v>0</v>
      </c>
      <c r="BM85" s="41">
        <f t="shared" si="28"/>
        <v>125681.15</v>
      </c>
      <c r="BN85" s="42">
        <f t="shared" si="24"/>
        <v>22336.440000000006</v>
      </c>
      <c r="BO85" s="78">
        <f t="shared" si="25"/>
        <v>22336.440000000006</v>
      </c>
      <c r="BP85" s="78">
        <f t="shared" si="26"/>
        <v>0</v>
      </c>
    </row>
    <row r="86" spans="1:68" x14ac:dyDescent="0.25">
      <c r="A86" s="40" t="s">
        <v>552</v>
      </c>
      <c r="B86" s="40" t="s">
        <v>781</v>
      </c>
      <c r="D86" s="203">
        <f t="shared" si="22"/>
        <v>0</v>
      </c>
      <c r="E86" s="41">
        <f>IFERROR(VLOOKUP(A86,Items[],5,0),0)</f>
        <v>1191801.9099999999</v>
      </c>
      <c r="F86" s="42">
        <f t="shared" si="23"/>
        <v>1191801.9099999999</v>
      </c>
      <c r="G86" s="41">
        <v>0</v>
      </c>
      <c r="H86" s="41">
        <f>IFERROR(VLOOKUP(A86,Items[],4,0),0)</f>
        <v>1347304.78</v>
      </c>
      <c r="I86" s="41">
        <f>IFERROR(VLOOKUP(A86,Community[],4,0),0)</f>
        <v>0</v>
      </c>
      <c r="J86" s="41">
        <f>IFERROR(VLOOKUP(A86,Community[],5,0),0)</f>
        <v>0</v>
      </c>
      <c r="K86" s="41">
        <f>IFERROR(VLOOKUP(A86,Community[],6,0),0)</f>
        <v>0</v>
      </c>
      <c r="L86" s="41">
        <f>IFERROR(VLOOKUP(A86,Community[],7,0),0)</f>
        <v>0</v>
      </c>
      <c r="M86" s="41">
        <f>IFERROR(VLOOKUP(A86,Debt[],3,0),0)</f>
        <v>0</v>
      </c>
      <c r="N86" s="41">
        <f>IFERROR(VLOOKUP(A86,Debt[],4,0),0)</f>
        <v>0</v>
      </c>
      <c r="O86" s="41">
        <f>IFERROR(VLOOKUP(A86,Debt[],5,0),0)</f>
        <v>0</v>
      </c>
      <c r="P86" s="41">
        <f>IFERROR(VLOOKUP(A86,Items[],3,0),0)</f>
        <v>0</v>
      </c>
      <c r="Q86" s="41">
        <f>IFERROR(VLOOKUP($A86,Federal[],2,0),0)</f>
        <v>163.59</v>
      </c>
      <c r="R86" s="41">
        <f>IFERROR(VLOOKUP($A86,Federal[],4,0),0)</f>
        <v>136177.07</v>
      </c>
      <c r="S86" s="41"/>
      <c r="T86" s="47">
        <f>IFERROR(VLOOKUP($A86,Program[],3,0),0)</f>
        <v>0</v>
      </c>
      <c r="U86" s="47"/>
      <c r="V86" s="41">
        <f>IFERROR(VLOOKUP($A86,Program[],4,0),0)</f>
        <v>0</v>
      </c>
      <c r="W86" s="41">
        <f>IFERROR(VLOOKUP($A86,Program[],5,0),0)</f>
        <v>0</v>
      </c>
      <c r="X86" s="41"/>
      <c r="Y86" s="41"/>
      <c r="Z86" s="41"/>
      <c r="AA86" s="41">
        <f>IFERROR(VLOOKUP($A86,Program[],6,0),0)</f>
        <v>0</v>
      </c>
      <c r="AB86" s="41"/>
      <c r="AC86" s="41"/>
      <c r="AD86" s="41">
        <f>IFERROR(VLOOKUP($A86,Program[],7,0),0)</f>
        <v>0</v>
      </c>
      <c r="AE86" s="41">
        <f>IFERROR(VLOOKUP($A86,Program[],8,0),0)</f>
        <v>0</v>
      </c>
      <c r="AF86" s="41">
        <f>IFERROR(VLOOKUP($A86,Program[],9,0),0)</f>
        <v>0</v>
      </c>
      <c r="AG86" s="41">
        <f>IFERROR(VLOOKUP($A86,Program[],10,0),0)</f>
        <v>0</v>
      </c>
      <c r="AH86" s="41">
        <f>IFERROR(VLOOKUP($A86,Program[],11,0),0)</f>
        <v>0</v>
      </c>
      <c r="AI86" s="41">
        <f>IFERROR(VLOOKUP($A86,Program[],12,0),0)</f>
        <v>0</v>
      </c>
      <c r="AJ86" s="41"/>
      <c r="AK86" s="41">
        <f>IFERROR(VLOOKUP($A86,Program[],13,0),0)</f>
        <v>0</v>
      </c>
      <c r="AL86" s="41"/>
      <c r="AM86" s="41"/>
      <c r="AN86" s="41"/>
      <c r="AO86" s="41"/>
      <c r="AP86" s="41"/>
      <c r="AQ86" s="41"/>
      <c r="AR86" s="41"/>
      <c r="AS86" s="41">
        <f>IFERROR(VLOOKUP($A86,Program[],14,0),0)</f>
        <v>0</v>
      </c>
      <c r="AT86" s="41"/>
      <c r="AU86" s="41"/>
      <c r="AV86" s="41">
        <f>IFERROR(VLOOKUP($A86,Program[],15,0),0)</f>
        <v>0</v>
      </c>
      <c r="AW86" s="41"/>
      <c r="AX86" s="41">
        <f>IFERROR(VLOOKUP($A86,Program[],16,0),0)</f>
        <v>0</v>
      </c>
      <c r="AY86" s="41">
        <f>IFERROR(VLOOKUP($A86,Program[],17,0),0)</f>
        <v>0</v>
      </c>
      <c r="AZ86" s="41">
        <f>IFERROR(VLOOKUP($A86,Program[],18,0),0)</f>
        <v>0</v>
      </c>
      <c r="BA86" s="41">
        <f>IFERROR(VLOOKUP($A86,Program[],19,0),0)</f>
        <v>0</v>
      </c>
      <c r="BB86" s="77">
        <f t="shared" si="27"/>
        <v>27758.51</v>
      </c>
      <c r="BC86" s="41">
        <f>IFERROR(VLOOKUP(A86,Food[],3,0),0)</f>
        <v>66364.989999999991</v>
      </c>
      <c r="BD86" s="41">
        <f>IFERROR(VLOOKUP($A86,FoodRev[],2,0),0)</f>
        <v>43.4</v>
      </c>
      <c r="BE86" s="41">
        <f>IFERROR(VLOOKUP($A86,FoodRev[],3,0),0)</f>
        <v>19118.810000000001</v>
      </c>
      <c r="BF86" s="41">
        <f>IFERROR(VLOOKUP($A86,FoodRev[],4,0),0)</f>
        <v>0</v>
      </c>
      <c r="BG86" s="41">
        <f>IFERROR(VLOOKUP($A86,FoodRev[],5,0),0)</f>
        <v>19444.27</v>
      </c>
      <c r="BH86" s="41">
        <f>IFERROR(VLOOKUP($A86,FoodRev[],6,0),0)</f>
        <v>0</v>
      </c>
      <c r="BI86" s="41">
        <f>IFERROR(VLOOKUP($A86,FoodRev[],7,0),0)</f>
        <v>0</v>
      </c>
      <c r="BJ86" s="41">
        <f>IFERROR(VLOOKUP($A86,FoodRev[],8,0),0)</f>
        <v>0</v>
      </c>
      <c r="BK86" s="41">
        <f>IFERROR(VLOOKUP($A86,FoodRev[],9,0),0)</f>
        <v>0</v>
      </c>
      <c r="BL86" s="41">
        <f>IFERROR(VLOOKUP($A86,FoodRev[],10,0),0)</f>
        <v>0</v>
      </c>
      <c r="BM86" s="41">
        <f t="shared" si="28"/>
        <v>38606.480000000003</v>
      </c>
      <c r="BN86" s="42">
        <f t="shared" si="24"/>
        <v>27758.51</v>
      </c>
      <c r="BO86" s="78">
        <f t="shared" si="25"/>
        <v>27758.51</v>
      </c>
      <c r="BP86" s="78">
        <f t="shared" si="26"/>
        <v>0</v>
      </c>
    </row>
    <row r="87" spans="1:68" x14ac:dyDescent="0.25">
      <c r="A87" s="40" t="s">
        <v>496</v>
      </c>
      <c r="B87" s="40" t="s">
        <v>782</v>
      </c>
      <c r="D87" s="203">
        <f t="shared" si="22"/>
        <v>4.6566128730773926E-10</v>
      </c>
      <c r="E87" s="41">
        <f>IFERROR(VLOOKUP(A87,Items[],5,0),0)</f>
        <v>4095523.58</v>
      </c>
      <c r="F87" s="42">
        <f t="shared" si="23"/>
        <v>4095523.5799999996</v>
      </c>
      <c r="G87" s="41">
        <v>0</v>
      </c>
      <c r="H87" s="41">
        <f>IFERROR(VLOOKUP(A87,Items[],4,0),0)</f>
        <v>4402254.58</v>
      </c>
      <c r="I87" s="41">
        <f>IFERROR(VLOOKUP(A87,Community[],4,0),0)</f>
        <v>0</v>
      </c>
      <c r="J87" s="41">
        <f>IFERROR(VLOOKUP(A87,Community[],5,0),0)</f>
        <v>0</v>
      </c>
      <c r="K87" s="41">
        <f>IFERROR(VLOOKUP(A87,Community[],6,0),0)</f>
        <v>0</v>
      </c>
      <c r="L87" s="41">
        <f>IFERROR(VLOOKUP(A87,Community[],7,0),0)</f>
        <v>0</v>
      </c>
      <c r="M87" s="41">
        <f>IFERROR(VLOOKUP(A87,Debt[],3,0),0)</f>
        <v>0</v>
      </c>
      <c r="N87" s="41">
        <f>IFERROR(VLOOKUP(A87,Debt[],4,0),0)</f>
        <v>0</v>
      </c>
      <c r="O87" s="41">
        <f>IFERROR(VLOOKUP(A87,Debt[],5,0),0)</f>
        <v>0</v>
      </c>
      <c r="P87" s="41">
        <f>IFERROR(VLOOKUP(A87,Items[],3,0),0)</f>
        <v>13430.42</v>
      </c>
      <c r="Q87" s="41">
        <f>IFERROR(VLOOKUP($A87,Federal[],2,0),0)</f>
        <v>428.46</v>
      </c>
      <c r="R87" s="41">
        <f>IFERROR(VLOOKUP($A87,Federal[],4,0),0)</f>
        <v>263662.86</v>
      </c>
      <c r="S87" s="41"/>
      <c r="T87" s="47">
        <f>IFERROR(VLOOKUP($A87,Program[],3,0),0)</f>
        <v>0</v>
      </c>
      <c r="U87" s="47"/>
      <c r="V87" s="41">
        <f>IFERROR(VLOOKUP($A87,Program[],4,0),0)</f>
        <v>0</v>
      </c>
      <c r="W87" s="41">
        <f>IFERROR(VLOOKUP($A87,Program[],5,0),0)</f>
        <v>0</v>
      </c>
      <c r="X87" s="41"/>
      <c r="Y87" s="41"/>
      <c r="Z87" s="41"/>
      <c r="AA87" s="41">
        <f>IFERROR(VLOOKUP($A87,Program[],6,0),0)</f>
        <v>0</v>
      </c>
      <c r="AB87" s="41"/>
      <c r="AC87" s="41"/>
      <c r="AD87" s="41">
        <f>IFERROR(VLOOKUP($A87,Program[],7,0),0)</f>
        <v>0</v>
      </c>
      <c r="AE87" s="41">
        <f>IFERROR(VLOOKUP($A87,Program[],8,0),0)</f>
        <v>0</v>
      </c>
      <c r="AF87" s="41">
        <f>IFERROR(VLOOKUP($A87,Program[],9,0),0)</f>
        <v>0</v>
      </c>
      <c r="AG87" s="41">
        <f>IFERROR(VLOOKUP($A87,Program[],10,0),0)</f>
        <v>0</v>
      </c>
      <c r="AH87" s="41">
        <f>IFERROR(VLOOKUP($A87,Program[],11,0),0)</f>
        <v>0</v>
      </c>
      <c r="AI87" s="41">
        <f>IFERROR(VLOOKUP($A87,Program[],12,0),0)</f>
        <v>0</v>
      </c>
      <c r="AJ87" s="41"/>
      <c r="AK87" s="41">
        <f>IFERROR(VLOOKUP($A87,Program[],13,0),0)</f>
        <v>0</v>
      </c>
      <c r="AL87" s="41"/>
      <c r="AM87" s="41"/>
      <c r="AN87" s="41"/>
      <c r="AO87" s="41"/>
      <c r="AP87" s="41"/>
      <c r="AQ87" s="41"/>
      <c r="AR87" s="41"/>
      <c r="AS87" s="41">
        <f>IFERROR(VLOOKUP($A87,Program[],14,0),0)</f>
        <v>0</v>
      </c>
      <c r="AT87" s="41"/>
      <c r="AU87" s="41"/>
      <c r="AV87" s="41">
        <f>IFERROR(VLOOKUP($A87,Program[],15,0),0)</f>
        <v>0</v>
      </c>
      <c r="AW87" s="41"/>
      <c r="AX87" s="41">
        <f>IFERROR(VLOOKUP($A87,Program[],16,0),0)</f>
        <v>0</v>
      </c>
      <c r="AY87" s="41">
        <f>IFERROR(VLOOKUP($A87,Program[],17,0),0)</f>
        <v>0</v>
      </c>
      <c r="AZ87" s="41">
        <f>IFERROR(VLOOKUP($A87,Program[],18,0),0)</f>
        <v>0</v>
      </c>
      <c r="BA87" s="41">
        <f>IFERROR(VLOOKUP($A87,Program[],19,0),0)</f>
        <v>0</v>
      </c>
      <c r="BB87" s="77">
        <f t="shared" si="27"/>
        <v>31082.780000000028</v>
      </c>
      <c r="BC87" s="41">
        <f>IFERROR(VLOOKUP(A87,Food[],3,0),0)</f>
        <v>204100.08000000002</v>
      </c>
      <c r="BD87" s="41">
        <f>IFERROR(VLOOKUP($A87,FoodRev[],2,0),0)</f>
        <v>4024.08</v>
      </c>
      <c r="BE87" s="41">
        <f>IFERROR(VLOOKUP($A87,FoodRev[],3,0),0)</f>
        <v>25185.18</v>
      </c>
      <c r="BF87" s="41">
        <f>IFERROR(VLOOKUP($A87,FoodRev[],4,0),0)</f>
        <v>0</v>
      </c>
      <c r="BG87" s="41">
        <f>IFERROR(VLOOKUP($A87,FoodRev[],5,0),0)</f>
        <v>134678.26</v>
      </c>
      <c r="BH87" s="41">
        <f>IFERROR(VLOOKUP($A87,FoodRev[],6,0),0)</f>
        <v>0</v>
      </c>
      <c r="BI87" s="41">
        <f>IFERROR(VLOOKUP($A87,FoodRev[],7,0),0)</f>
        <v>0</v>
      </c>
      <c r="BJ87" s="41">
        <f>IFERROR(VLOOKUP($A87,FoodRev[],8,0),0)</f>
        <v>9129.7800000000007</v>
      </c>
      <c r="BK87" s="41">
        <f>IFERROR(VLOOKUP($A87,FoodRev[],9,0),0)</f>
        <v>0</v>
      </c>
      <c r="BL87" s="41">
        <f>IFERROR(VLOOKUP($A87,FoodRev[],10,0),0)</f>
        <v>0</v>
      </c>
      <c r="BM87" s="41">
        <f t="shared" si="28"/>
        <v>173017.30000000002</v>
      </c>
      <c r="BN87" s="42">
        <f t="shared" si="24"/>
        <v>31082.780000000028</v>
      </c>
      <c r="BO87" s="78">
        <f t="shared" si="25"/>
        <v>31082.780000000028</v>
      </c>
      <c r="BP87" s="78">
        <f t="shared" si="26"/>
        <v>0</v>
      </c>
    </row>
    <row r="88" spans="1:68" x14ac:dyDescent="0.25">
      <c r="A88" s="40" t="s">
        <v>362</v>
      </c>
      <c r="B88" s="40" t="s">
        <v>783</v>
      </c>
      <c r="D88" s="203">
        <f t="shared" si="22"/>
        <v>0</v>
      </c>
      <c r="E88" s="41">
        <f>IFERROR(VLOOKUP(A88,Items[],5,0),0)</f>
        <v>10889634.699999999</v>
      </c>
      <c r="F88" s="42">
        <f t="shared" si="23"/>
        <v>10889634.699999999</v>
      </c>
      <c r="G88" s="41">
        <v>0</v>
      </c>
      <c r="H88" s="41">
        <f>IFERROR(VLOOKUP(A88,Items[],4,0),0)</f>
        <v>12390393.15</v>
      </c>
      <c r="I88" s="41">
        <f>IFERROR(VLOOKUP(A88,Community[],4,0),0)</f>
        <v>0</v>
      </c>
      <c r="J88" s="41">
        <f>IFERROR(VLOOKUP(A88,Community[],5,0),0)</f>
        <v>0</v>
      </c>
      <c r="K88" s="41">
        <f>IFERROR(VLOOKUP(A88,Community[],6,0),0)</f>
        <v>104882.88</v>
      </c>
      <c r="L88" s="41">
        <f>IFERROR(VLOOKUP(A88,Community[],7,0),0)</f>
        <v>0</v>
      </c>
      <c r="M88" s="41">
        <f>IFERROR(VLOOKUP(A88,Debt[],3,0),0)</f>
        <v>0</v>
      </c>
      <c r="N88" s="41">
        <f>IFERROR(VLOOKUP(A88,Debt[],4,0),0)</f>
        <v>0</v>
      </c>
      <c r="O88" s="41">
        <f>IFERROR(VLOOKUP(A88,Debt[],5,0),0)</f>
        <v>0</v>
      </c>
      <c r="P88" s="41">
        <f>IFERROR(VLOOKUP(A88,Items[],3,0),0)</f>
        <v>3784.26</v>
      </c>
      <c r="Q88" s="41">
        <f>IFERROR(VLOOKUP($A88,Federal[],2,0),0)</f>
        <v>1454.65</v>
      </c>
      <c r="R88" s="41">
        <f>IFERROR(VLOOKUP($A88,Federal[],4,0),0)</f>
        <v>1377540.66</v>
      </c>
      <c r="S88" s="41"/>
      <c r="T88" s="47">
        <f>IFERROR(VLOOKUP($A88,Program[],3,0),0)</f>
        <v>0</v>
      </c>
      <c r="U88" s="47"/>
      <c r="V88" s="41">
        <f>IFERROR(VLOOKUP($A88,Program[],4,0),0)</f>
        <v>0</v>
      </c>
      <c r="W88" s="41">
        <f>IFERROR(VLOOKUP($A88,Program[],5,0),0)</f>
        <v>0</v>
      </c>
      <c r="X88" s="41"/>
      <c r="Y88" s="41"/>
      <c r="Z88" s="41"/>
      <c r="AA88" s="41">
        <f>IFERROR(VLOOKUP($A88,Program[],6,0),0)</f>
        <v>0</v>
      </c>
      <c r="AB88" s="41"/>
      <c r="AC88" s="41"/>
      <c r="AD88" s="41">
        <f>IFERROR(VLOOKUP($A88,Program[],7,0),0)</f>
        <v>0</v>
      </c>
      <c r="AE88" s="41">
        <f>IFERROR(VLOOKUP($A88,Program[],8,0),0)</f>
        <v>0</v>
      </c>
      <c r="AF88" s="41">
        <f>IFERROR(VLOOKUP($A88,Program[],9,0),0)</f>
        <v>0</v>
      </c>
      <c r="AG88" s="41">
        <f>IFERROR(VLOOKUP($A88,Program[],10,0),0)</f>
        <v>0</v>
      </c>
      <c r="AH88" s="41">
        <f>IFERROR(VLOOKUP($A88,Program[],11,0),0)</f>
        <v>0</v>
      </c>
      <c r="AI88" s="41">
        <f>IFERROR(VLOOKUP($A88,Program[],12,0),0)</f>
        <v>0</v>
      </c>
      <c r="AJ88" s="41"/>
      <c r="AK88" s="41">
        <f>IFERROR(VLOOKUP($A88,Program[],13,0),0)</f>
        <v>0</v>
      </c>
      <c r="AL88" s="41"/>
      <c r="AM88" s="41"/>
      <c r="AN88" s="41"/>
      <c r="AO88" s="41"/>
      <c r="AP88" s="41"/>
      <c r="AQ88" s="41"/>
      <c r="AR88" s="41"/>
      <c r="AS88" s="41">
        <f>IFERROR(VLOOKUP($A88,Program[],14,0),0)</f>
        <v>0</v>
      </c>
      <c r="AT88" s="41"/>
      <c r="AU88" s="41"/>
      <c r="AV88" s="41">
        <f>IFERROR(VLOOKUP($A88,Program[],15,0),0)</f>
        <v>0</v>
      </c>
      <c r="AW88" s="41"/>
      <c r="AX88" s="41">
        <f>IFERROR(VLOOKUP($A88,Program[],16,0),0)</f>
        <v>0</v>
      </c>
      <c r="AY88" s="41">
        <f>IFERROR(VLOOKUP($A88,Program[],17,0),0)</f>
        <v>0</v>
      </c>
      <c r="AZ88" s="41">
        <f>IFERROR(VLOOKUP($A88,Program[],18,0),0)</f>
        <v>0</v>
      </c>
      <c r="BA88" s="41">
        <f>IFERROR(VLOOKUP($A88,Program[],19,0),0)</f>
        <v>0</v>
      </c>
      <c r="BB88" s="77">
        <f t="shared" si="27"/>
        <v>172625.83000000016</v>
      </c>
      <c r="BC88" s="41">
        <f>IFERROR(VLOOKUP(A88,Food[],3,0),0)</f>
        <v>668600.39000000013</v>
      </c>
      <c r="BD88" s="41">
        <f>IFERROR(VLOOKUP($A88,FoodRev[],2,0),0)</f>
        <v>3085.7</v>
      </c>
      <c r="BE88" s="41">
        <f>IFERROR(VLOOKUP($A88,FoodRev[],3,0),0)</f>
        <v>10010.299999999999</v>
      </c>
      <c r="BF88" s="41">
        <f>IFERROR(VLOOKUP($A88,FoodRev[],4,0),0)</f>
        <v>0</v>
      </c>
      <c r="BG88" s="41">
        <f>IFERROR(VLOOKUP($A88,FoodRev[],5,0),0)</f>
        <v>451180.97</v>
      </c>
      <c r="BH88" s="41">
        <f>IFERROR(VLOOKUP($A88,FoodRev[],6,0),0)</f>
        <v>0</v>
      </c>
      <c r="BI88" s="41">
        <f>IFERROR(VLOOKUP($A88,FoodRev[],7,0),0)</f>
        <v>0</v>
      </c>
      <c r="BJ88" s="41">
        <f>IFERROR(VLOOKUP($A88,FoodRev[],8,0),0)</f>
        <v>31697.59</v>
      </c>
      <c r="BK88" s="41">
        <f>IFERROR(VLOOKUP($A88,FoodRev[],9,0),0)</f>
        <v>0</v>
      </c>
      <c r="BL88" s="41">
        <f>IFERROR(VLOOKUP($A88,FoodRev[],10,0),0)</f>
        <v>0</v>
      </c>
      <c r="BM88" s="41">
        <f t="shared" si="28"/>
        <v>495974.56</v>
      </c>
      <c r="BN88" s="42">
        <f t="shared" si="24"/>
        <v>172625.83000000016</v>
      </c>
      <c r="BO88" s="78">
        <f t="shared" si="25"/>
        <v>172625.83000000016</v>
      </c>
      <c r="BP88" s="78">
        <f t="shared" si="26"/>
        <v>0</v>
      </c>
    </row>
    <row r="89" spans="1:68" x14ac:dyDescent="0.25">
      <c r="A89" s="40" t="s">
        <v>458</v>
      </c>
      <c r="B89" s="40" t="s">
        <v>784</v>
      </c>
      <c r="D89" s="203">
        <f t="shared" si="22"/>
        <v>-9.3132257461547852E-10</v>
      </c>
      <c r="E89" s="41">
        <f>IFERROR(VLOOKUP(A89,Items[],5,0),0)</f>
        <v>6018869.2199999997</v>
      </c>
      <c r="F89" s="42">
        <f t="shared" si="23"/>
        <v>6018869.2200000007</v>
      </c>
      <c r="G89" s="41">
        <v>0</v>
      </c>
      <c r="H89" s="41">
        <f>IFERROR(VLOOKUP(A89,Items[],4,0),0)</f>
        <v>8110428.2000000002</v>
      </c>
      <c r="I89" s="41">
        <f>IFERROR(VLOOKUP(A89,Community[],4,0),0)</f>
        <v>0</v>
      </c>
      <c r="J89" s="41">
        <f>IFERROR(VLOOKUP(A89,Community[],5,0),0)</f>
        <v>0</v>
      </c>
      <c r="K89" s="41">
        <f>IFERROR(VLOOKUP(A89,Community[],6,0),0)</f>
        <v>97086.55</v>
      </c>
      <c r="L89" s="41">
        <f>IFERROR(VLOOKUP(A89,Community[],7,0),0)</f>
        <v>0</v>
      </c>
      <c r="M89" s="41">
        <f>IFERROR(VLOOKUP(A89,Debt[],3,0),0)</f>
        <v>294.07</v>
      </c>
      <c r="N89" s="41">
        <f>IFERROR(VLOOKUP(A89,Debt[],4,0),0)</f>
        <v>9485.93</v>
      </c>
      <c r="O89" s="41">
        <f>IFERROR(VLOOKUP(A89,Debt[],5,0),0)</f>
        <v>0</v>
      </c>
      <c r="P89" s="41">
        <f>IFERROR(VLOOKUP(A89,Items[],3,0),0)</f>
        <v>138590.45000000001</v>
      </c>
      <c r="Q89" s="41">
        <f>IFERROR(VLOOKUP($A89,Federal[],2,0),0)</f>
        <v>729378.92</v>
      </c>
      <c r="R89" s="41">
        <f>IFERROR(VLOOKUP($A89,Federal[],4,0),0)</f>
        <v>1032845.12</v>
      </c>
      <c r="S89" s="41"/>
      <c r="T89" s="47">
        <f>IFERROR(VLOOKUP($A89,Program[],3,0),0)</f>
        <v>0</v>
      </c>
      <c r="U89" s="47"/>
      <c r="V89" s="41">
        <f>IFERROR(VLOOKUP($A89,Program[],4,0),0)</f>
        <v>0</v>
      </c>
      <c r="W89" s="41">
        <f>IFERROR(VLOOKUP($A89,Program[],5,0),0)</f>
        <v>0</v>
      </c>
      <c r="X89" s="41"/>
      <c r="Y89" s="41"/>
      <c r="Z89" s="41"/>
      <c r="AA89" s="41">
        <f>IFERROR(VLOOKUP($A89,Program[],6,0),0)</f>
        <v>0</v>
      </c>
      <c r="AB89" s="41"/>
      <c r="AC89" s="41"/>
      <c r="AD89" s="41">
        <f>IFERROR(VLOOKUP($A89,Program[],7,0),0)</f>
        <v>0</v>
      </c>
      <c r="AE89" s="41">
        <f>IFERROR(VLOOKUP($A89,Program[],8,0),0)</f>
        <v>0</v>
      </c>
      <c r="AF89" s="41">
        <f>IFERROR(VLOOKUP($A89,Program[],9,0),0)</f>
        <v>0</v>
      </c>
      <c r="AG89" s="41">
        <f>IFERROR(VLOOKUP($A89,Program[],10,0),0)</f>
        <v>0</v>
      </c>
      <c r="AH89" s="41">
        <f>IFERROR(VLOOKUP($A89,Program[],11,0),0)</f>
        <v>0</v>
      </c>
      <c r="AI89" s="41">
        <f>IFERROR(VLOOKUP($A89,Program[],12,0),0)</f>
        <v>0</v>
      </c>
      <c r="AJ89" s="41"/>
      <c r="AK89" s="41">
        <f>IFERROR(VLOOKUP($A89,Program[],13,0),0)</f>
        <v>0</v>
      </c>
      <c r="AL89" s="41"/>
      <c r="AM89" s="41"/>
      <c r="AN89" s="41"/>
      <c r="AO89" s="41"/>
      <c r="AP89" s="41"/>
      <c r="AQ89" s="41"/>
      <c r="AR89" s="41"/>
      <c r="AS89" s="41">
        <f>IFERROR(VLOOKUP($A89,Program[],14,0),0)</f>
        <v>0</v>
      </c>
      <c r="AT89" s="41"/>
      <c r="AU89" s="41"/>
      <c r="AV89" s="41">
        <f>IFERROR(VLOOKUP($A89,Program[],15,0),0)</f>
        <v>0</v>
      </c>
      <c r="AW89" s="41"/>
      <c r="AX89" s="41">
        <f>IFERROR(VLOOKUP($A89,Program[],16,0),0)</f>
        <v>0</v>
      </c>
      <c r="AY89" s="41">
        <f>IFERROR(VLOOKUP($A89,Program[],17,0),0)</f>
        <v>0</v>
      </c>
      <c r="AZ89" s="41">
        <f>IFERROR(VLOOKUP($A89,Program[],18,0),0)</f>
        <v>0</v>
      </c>
      <c r="BA89" s="41">
        <f>IFERROR(VLOOKUP($A89,Program[],19,0),0)</f>
        <v>0</v>
      </c>
      <c r="BB89" s="77">
        <f t="shared" si="27"/>
        <v>107305.36</v>
      </c>
      <c r="BC89" s="41">
        <f>IFERROR(VLOOKUP(A89,Food[],3,0),0)</f>
        <v>388066.26</v>
      </c>
      <c r="BD89" s="41">
        <f>IFERROR(VLOOKUP($A89,FoodRev[],2,0),0)</f>
        <v>1393</v>
      </c>
      <c r="BE89" s="41">
        <f>IFERROR(VLOOKUP($A89,FoodRev[],3,0),0)</f>
        <v>82484.94</v>
      </c>
      <c r="BF89" s="41">
        <f>IFERROR(VLOOKUP($A89,FoodRev[],4,0),0)</f>
        <v>0</v>
      </c>
      <c r="BG89" s="41">
        <f>IFERROR(VLOOKUP($A89,FoodRev[],5,0),0)</f>
        <v>179130.85</v>
      </c>
      <c r="BH89" s="41">
        <f>IFERROR(VLOOKUP($A89,FoodRev[],6,0),0)</f>
        <v>0</v>
      </c>
      <c r="BI89" s="41">
        <f>IFERROR(VLOOKUP($A89,FoodRev[],7,0),0)</f>
        <v>0</v>
      </c>
      <c r="BJ89" s="41">
        <f>IFERROR(VLOOKUP($A89,FoodRev[],8,0),0)</f>
        <v>17752.11</v>
      </c>
      <c r="BK89" s="41">
        <f>IFERROR(VLOOKUP($A89,FoodRev[],9,0),0)</f>
        <v>0</v>
      </c>
      <c r="BL89" s="41">
        <f>IFERROR(VLOOKUP($A89,FoodRev[],10,0),0)</f>
        <v>0</v>
      </c>
      <c r="BM89" s="41">
        <f t="shared" si="28"/>
        <v>280760.90000000002</v>
      </c>
      <c r="BN89" s="42">
        <f t="shared" si="24"/>
        <v>107305.36</v>
      </c>
      <c r="BO89" s="78">
        <f t="shared" si="25"/>
        <v>107305.36</v>
      </c>
      <c r="BP89" s="78">
        <f t="shared" si="26"/>
        <v>0</v>
      </c>
    </row>
    <row r="90" spans="1:68" x14ac:dyDescent="0.25">
      <c r="A90" s="40" t="s">
        <v>106</v>
      </c>
      <c r="B90" s="40" t="s">
        <v>785</v>
      </c>
      <c r="D90" s="203">
        <f t="shared" si="22"/>
        <v>1.4901161193847656E-8</v>
      </c>
      <c r="E90" s="41">
        <f>IFERROR(VLOOKUP(A90,Items[],5,0),0)</f>
        <v>98908775.180000007</v>
      </c>
      <c r="F90" s="42">
        <f t="shared" si="23"/>
        <v>98908775.179999992</v>
      </c>
      <c r="G90" s="41">
        <v>0</v>
      </c>
      <c r="H90" s="41">
        <f>IFERROR(VLOOKUP(A90,Items[],4,0),0)</f>
        <v>110636838.02</v>
      </c>
      <c r="I90" s="41">
        <f>IFERROR(VLOOKUP(A90,Community[],4,0),0)</f>
        <v>0</v>
      </c>
      <c r="J90" s="41">
        <f>IFERROR(VLOOKUP(A90,Community[],5,0),0)</f>
        <v>0</v>
      </c>
      <c r="K90" s="41">
        <f>IFERROR(VLOOKUP(A90,Community[],6,0),0)</f>
        <v>0</v>
      </c>
      <c r="L90" s="41">
        <f>IFERROR(VLOOKUP(A90,Community[],7,0),0)</f>
        <v>23797.06</v>
      </c>
      <c r="M90" s="41">
        <f>IFERROR(VLOOKUP(A90,Debt[],3,0),0)</f>
        <v>14936.32</v>
      </c>
      <c r="N90" s="41">
        <f>IFERROR(VLOOKUP(A90,Debt[],4,0),0)</f>
        <v>474889.14</v>
      </c>
      <c r="O90" s="41">
        <f>IFERROR(VLOOKUP(A90,Debt[],5,0),0)</f>
        <v>0</v>
      </c>
      <c r="P90" s="41">
        <f>IFERROR(VLOOKUP(A90,Items[],3,0),0)</f>
        <v>887262.76</v>
      </c>
      <c r="Q90" s="41">
        <f>IFERROR(VLOOKUP($A90,Federal[],2,0),0)</f>
        <v>4933333.04</v>
      </c>
      <c r="R90" s="41">
        <f>IFERROR(VLOOKUP($A90,Federal[],4,0),0)</f>
        <v>3975245.42</v>
      </c>
      <c r="S90" s="41"/>
      <c r="T90" s="47">
        <f>IFERROR(VLOOKUP($A90,Program[],3,0),0)</f>
        <v>0</v>
      </c>
      <c r="U90" s="47"/>
      <c r="V90" s="41">
        <f>IFERROR(VLOOKUP($A90,Program[],4,0),0)</f>
        <v>0</v>
      </c>
      <c r="W90" s="41">
        <f>IFERROR(VLOOKUP($A90,Program[],5,0),0)</f>
        <v>0</v>
      </c>
      <c r="X90" s="41"/>
      <c r="Y90" s="41"/>
      <c r="Z90" s="41"/>
      <c r="AA90" s="41">
        <f>IFERROR(VLOOKUP($A90,Program[],6,0),0)</f>
        <v>0</v>
      </c>
      <c r="AB90" s="41"/>
      <c r="AC90" s="41"/>
      <c r="AD90" s="41">
        <f>IFERROR(VLOOKUP($A90,Program[],7,0),0)</f>
        <v>0</v>
      </c>
      <c r="AE90" s="41">
        <f>IFERROR(VLOOKUP($A90,Program[],8,0),0)</f>
        <v>0</v>
      </c>
      <c r="AF90" s="41">
        <f>IFERROR(VLOOKUP($A90,Program[],9,0),0)</f>
        <v>0</v>
      </c>
      <c r="AG90" s="41">
        <f>IFERROR(VLOOKUP($A90,Program[],10,0),0)</f>
        <v>0</v>
      </c>
      <c r="AH90" s="41">
        <f>IFERROR(VLOOKUP($A90,Program[],11,0),0)</f>
        <v>0</v>
      </c>
      <c r="AI90" s="41">
        <f>IFERROR(VLOOKUP($A90,Program[],12,0),0)</f>
        <v>0</v>
      </c>
      <c r="AJ90" s="41"/>
      <c r="AK90" s="41">
        <f>IFERROR(VLOOKUP($A90,Program[],13,0),0)</f>
        <v>0</v>
      </c>
      <c r="AL90" s="41"/>
      <c r="AM90" s="41"/>
      <c r="AN90" s="41"/>
      <c r="AO90" s="41"/>
      <c r="AP90" s="41"/>
      <c r="AQ90" s="41"/>
      <c r="AR90" s="41"/>
      <c r="AS90" s="41">
        <f>IFERROR(VLOOKUP($A90,Program[],14,0),0)</f>
        <v>0</v>
      </c>
      <c r="AT90" s="41"/>
      <c r="AU90" s="41"/>
      <c r="AV90" s="41">
        <f>IFERROR(VLOOKUP($A90,Program[],15,0),0)</f>
        <v>0</v>
      </c>
      <c r="AW90" s="41"/>
      <c r="AX90" s="41">
        <f>IFERROR(VLOOKUP($A90,Program[],16,0),0)</f>
        <v>0</v>
      </c>
      <c r="AY90" s="41">
        <f>IFERROR(VLOOKUP($A90,Program[],17,0),0)</f>
        <v>0</v>
      </c>
      <c r="AZ90" s="41">
        <f>IFERROR(VLOOKUP($A90,Program[],18,0),0)</f>
        <v>0</v>
      </c>
      <c r="BA90" s="41">
        <f>IFERROR(VLOOKUP($A90,Program[],19,0),0)</f>
        <v>0</v>
      </c>
      <c r="BB90" s="77">
        <f t="shared" si="27"/>
        <v>1110872.040000001</v>
      </c>
      <c r="BC90" s="41">
        <f>IFERROR(VLOOKUP(A90,Food[],3,0),0)</f>
        <v>4356454.3900000006</v>
      </c>
      <c r="BD90" s="41">
        <f>IFERROR(VLOOKUP($A90,FoodRev[],2,0),0)</f>
        <v>599760.97</v>
      </c>
      <c r="BE90" s="41">
        <f>IFERROR(VLOOKUP($A90,FoodRev[],3,0),0)</f>
        <v>818838.13</v>
      </c>
      <c r="BF90" s="41">
        <f>IFERROR(VLOOKUP($A90,FoodRev[],4,0),0)</f>
        <v>0</v>
      </c>
      <c r="BG90" s="41">
        <f>IFERROR(VLOOKUP($A90,FoodRev[],5,0),0)</f>
        <v>1657319.97</v>
      </c>
      <c r="BH90" s="41">
        <f>IFERROR(VLOOKUP($A90,FoodRev[],6,0),0)</f>
        <v>0</v>
      </c>
      <c r="BI90" s="41">
        <f>IFERROR(VLOOKUP($A90,FoodRev[],7,0),0)</f>
        <v>0</v>
      </c>
      <c r="BJ90" s="41">
        <f>IFERROR(VLOOKUP($A90,FoodRev[],8,0),0)</f>
        <v>169663.28</v>
      </c>
      <c r="BK90" s="41">
        <f>IFERROR(VLOOKUP($A90,FoodRev[],9,0),0)</f>
        <v>0</v>
      </c>
      <c r="BL90" s="41">
        <f>IFERROR(VLOOKUP($A90,FoodRev[],10,0),0)</f>
        <v>0</v>
      </c>
      <c r="BM90" s="41">
        <f t="shared" si="28"/>
        <v>3245582.35</v>
      </c>
      <c r="BN90" s="42">
        <f t="shared" si="24"/>
        <v>1110872.040000001</v>
      </c>
      <c r="BO90" s="78">
        <f t="shared" si="25"/>
        <v>1110872.040000001</v>
      </c>
      <c r="BP90" s="78">
        <f t="shared" si="26"/>
        <v>0</v>
      </c>
    </row>
    <row r="91" spans="1:68" x14ac:dyDescent="0.25">
      <c r="A91" s="40" t="s">
        <v>292</v>
      </c>
      <c r="B91" s="40" t="s">
        <v>786</v>
      </c>
      <c r="D91" s="203">
        <f t="shared" si="22"/>
        <v>0</v>
      </c>
      <c r="E91" s="41">
        <f>IFERROR(VLOOKUP(A91,Items[],5,0),0)</f>
        <v>17391233.289999999</v>
      </c>
      <c r="F91" s="42">
        <f t="shared" si="23"/>
        <v>17391233.289999999</v>
      </c>
      <c r="G91" s="41">
        <v>0</v>
      </c>
      <c r="H91" s="41">
        <f>IFERROR(VLOOKUP(A91,Items[],4,0),0)</f>
        <v>18888904.07</v>
      </c>
      <c r="I91" s="41">
        <f>IFERROR(VLOOKUP(A91,Community[],4,0),0)</f>
        <v>0</v>
      </c>
      <c r="J91" s="41">
        <f>IFERROR(VLOOKUP(A91,Community[],5,0),0)</f>
        <v>0</v>
      </c>
      <c r="K91" s="41">
        <f>IFERROR(VLOOKUP(A91,Community[],6,0),0)</f>
        <v>0</v>
      </c>
      <c r="L91" s="41">
        <f>IFERROR(VLOOKUP(A91,Community[],7,0),0)</f>
        <v>40810.559999999998</v>
      </c>
      <c r="M91" s="41">
        <f>IFERROR(VLOOKUP(A91,Debt[],3,0),0)</f>
        <v>7513.4</v>
      </c>
      <c r="N91" s="41">
        <f>IFERROR(VLOOKUP(A91,Debt[],4,0),0)</f>
        <v>53896.480000000003</v>
      </c>
      <c r="O91" s="41">
        <f>IFERROR(VLOOKUP(A91,Debt[],5,0),0)</f>
        <v>0</v>
      </c>
      <c r="P91" s="41">
        <f>IFERROR(VLOOKUP(A91,Items[],3,0),0)</f>
        <v>145858.53</v>
      </c>
      <c r="Q91" s="41">
        <f>IFERROR(VLOOKUP($A91,Federal[],2,0),0)</f>
        <v>76047</v>
      </c>
      <c r="R91" s="41">
        <f>IFERROR(VLOOKUP($A91,Federal[],4,0),0)</f>
        <v>823059.8</v>
      </c>
      <c r="S91" s="41"/>
      <c r="T91" s="47">
        <f>IFERROR(VLOOKUP($A91,Program[],3,0),0)</f>
        <v>0</v>
      </c>
      <c r="U91" s="47"/>
      <c r="V91" s="41">
        <f>IFERROR(VLOOKUP($A91,Program[],4,0),0)</f>
        <v>0</v>
      </c>
      <c r="W91" s="41">
        <f>IFERROR(VLOOKUP($A91,Program[],5,0),0)</f>
        <v>0</v>
      </c>
      <c r="X91" s="41"/>
      <c r="Y91" s="41"/>
      <c r="Z91" s="41"/>
      <c r="AA91" s="41">
        <f>IFERROR(VLOOKUP($A91,Program[],6,0),0)</f>
        <v>0</v>
      </c>
      <c r="AB91" s="41"/>
      <c r="AC91" s="41"/>
      <c r="AD91" s="41">
        <f>IFERROR(VLOOKUP($A91,Program[],7,0),0)</f>
        <v>0</v>
      </c>
      <c r="AE91" s="41">
        <f>IFERROR(VLOOKUP($A91,Program[],8,0),0)</f>
        <v>0</v>
      </c>
      <c r="AF91" s="41">
        <f>IFERROR(VLOOKUP($A91,Program[],9,0),0)</f>
        <v>0</v>
      </c>
      <c r="AG91" s="41">
        <f>IFERROR(VLOOKUP($A91,Program[],10,0),0)</f>
        <v>0</v>
      </c>
      <c r="AH91" s="41">
        <f>IFERROR(VLOOKUP($A91,Program[],11,0),0)</f>
        <v>0</v>
      </c>
      <c r="AI91" s="41">
        <f>IFERROR(VLOOKUP($A91,Program[],12,0),0)</f>
        <v>0</v>
      </c>
      <c r="AJ91" s="41"/>
      <c r="AK91" s="41">
        <f>IFERROR(VLOOKUP($A91,Program[],13,0),0)</f>
        <v>0</v>
      </c>
      <c r="AL91" s="41"/>
      <c r="AM91" s="41"/>
      <c r="AN91" s="41"/>
      <c r="AO91" s="41"/>
      <c r="AP91" s="41"/>
      <c r="AQ91" s="41"/>
      <c r="AR91" s="41"/>
      <c r="AS91" s="41">
        <f>IFERROR(VLOOKUP($A91,Program[],14,0),0)</f>
        <v>0</v>
      </c>
      <c r="AT91" s="41"/>
      <c r="AU91" s="41"/>
      <c r="AV91" s="41">
        <f>IFERROR(VLOOKUP($A91,Program[],15,0),0)</f>
        <v>0</v>
      </c>
      <c r="AW91" s="41"/>
      <c r="AX91" s="41">
        <f>IFERROR(VLOOKUP($A91,Program[],16,0),0)</f>
        <v>0</v>
      </c>
      <c r="AY91" s="41">
        <f>IFERROR(VLOOKUP($A91,Program[],17,0),0)</f>
        <v>0</v>
      </c>
      <c r="AZ91" s="41">
        <f>IFERROR(VLOOKUP($A91,Program[],18,0),0)</f>
        <v>0</v>
      </c>
      <c r="BA91" s="41">
        <f>IFERROR(VLOOKUP($A91,Program[],19,0),0)</f>
        <v>0</v>
      </c>
      <c r="BB91" s="77">
        <f t="shared" si="27"/>
        <v>235291.82999999996</v>
      </c>
      <c r="BC91" s="41">
        <f>IFERROR(VLOOKUP(A91,Food[],3,0),0)</f>
        <v>893819.35</v>
      </c>
      <c r="BD91" s="41">
        <f>IFERROR(VLOOKUP($A91,FoodRev[],2,0),0)</f>
        <v>164197.67000000001</v>
      </c>
      <c r="BE91" s="41">
        <f>IFERROR(VLOOKUP($A91,FoodRev[],3,0),0)</f>
        <v>186287.34</v>
      </c>
      <c r="BF91" s="41">
        <f>IFERROR(VLOOKUP($A91,FoodRev[],4,0),0)</f>
        <v>0</v>
      </c>
      <c r="BG91" s="41">
        <f>IFERROR(VLOOKUP($A91,FoodRev[],5,0),0)</f>
        <v>251834.37</v>
      </c>
      <c r="BH91" s="41">
        <f>IFERROR(VLOOKUP($A91,FoodRev[],6,0),0)</f>
        <v>0</v>
      </c>
      <c r="BI91" s="41">
        <f>IFERROR(VLOOKUP($A91,FoodRev[],7,0),0)</f>
        <v>0</v>
      </c>
      <c r="BJ91" s="41">
        <f>IFERROR(VLOOKUP($A91,FoodRev[],8,0),0)</f>
        <v>56208.14</v>
      </c>
      <c r="BK91" s="41">
        <f>IFERROR(VLOOKUP($A91,FoodRev[],9,0),0)</f>
        <v>0</v>
      </c>
      <c r="BL91" s="41">
        <f>IFERROR(VLOOKUP($A91,FoodRev[],10,0),0)</f>
        <v>0</v>
      </c>
      <c r="BM91" s="41">
        <f t="shared" si="28"/>
        <v>658527.52</v>
      </c>
      <c r="BN91" s="42">
        <f t="shared" si="24"/>
        <v>235291.82999999996</v>
      </c>
      <c r="BO91" s="78">
        <f t="shared" si="25"/>
        <v>235291.82999999996</v>
      </c>
      <c r="BP91" s="78">
        <f t="shared" si="26"/>
        <v>0</v>
      </c>
    </row>
    <row r="92" spans="1:68" x14ac:dyDescent="0.25">
      <c r="A92" s="40" t="s">
        <v>262</v>
      </c>
      <c r="B92" s="40" t="s">
        <v>787</v>
      </c>
      <c r="D92" s="203">
        <f t="shared" si="22"/>
        <v>0</v>
      </c>
      <c r="E92" s="41">
        <f>IFERROR(VLOOKUP(A92,Items[],5,0),0)</f>
        <v>21004219.609999999</v>
      </c>
      <c r="F92" s="42">
        <f t="shared" si="23"/>
        <v>21004219.609999999</v>
      </c>
      <c r="G92" s="41">
        <v>0</v>
      </c>
      <c r="H92" s="41">
        <f>IFERROR(VLOOKUP(A92,Items[],4,0),0)</f>
        <v>22778676.530000001</v>
      </c>
      <c r="I92" s="41">
        <f>IFERROR(VLOOKUP(A92,Community[],4,0),0)</f>
        <v>0</v>
      </c>
      <c r="J92" s="41">
        <f>IFERROR(VLOOKUP(A92,Community[],5,0),0)</f>
        <v>0</v>
      </c>
      <c r="K92" s="41">
        <f>IFERROR(VLOOKUP(A92,Community[],6,0),0)</f>
        <v>0</v>
      </c>
      <c r="L92" s="41">
        <f>IFERROR(VLOOKUP(A92,Community[],7,0),0)</f>
        <v>370983.96</v>
      </c>
      <c r="M92" s="41">
        <f>IFERROR(VLOOKUP(A92,Debt[],3,0),0)</f>
        <v>0</v>
      </c>
      <c r="N92" s="41">
        <f>IFERROR(VLOOKUP(A92,Debt[],4,0),0)</f>
        <v>0</v>
      </c>
      <c r="O92" s="41">
        <f>IFERROR(VLOOKUP(A92,Debt[],5,0),0)</f>
        <v>0</v>
      </c>
      <c r="P92" s="41">
        <f>IFERROR(VLOOKUP(A92,Items[],3,0),0)</f>
        <v>47614.19</v>
      </c>
      <c r="Q92" s="41">
        <f>IFERROR(VLOOKUP($A92,Federal[],2,0),0)</f>
        <v>0</v>
      </c>
      <c r="R92" s="41">
        <f>IFERROR(VLOOKUP($A92,Federal[],4,0),0)</f>
        <v>1162472.17</v>
      </c>
      <c r="S92" s="41"/>
      <c r="T92" s="47">
        <f>IFERROR(VLOOKUP($A92,Program[],3,0),0)</f>
        <v>0</v>
      </c>
      <c r="U92" s="47"/>
      <c r="V92" s="41">
        <f>IFERROR(VLOOKUP($A92,Program[],4,0),0)</f>
        <v>0</v>
      </c>
      <c r="W92" s="41">
        <f>IFERROR(VLOOKUP($A92,Program[],5,0),0)</f>
        <v>0</v>
      </c>
      <c r="X92" s="41"/>
      <c r="Y92" s="41"/>
      <c r="Z92" s="41"/>
      <c r="AA92" s="41">
        <f>IFERROR(VLOOKUP($A92,Program[],6,0),0)</f>
        <v>0</v>
      </c>
      <c r="AB92" s="41"/>
      <c r="AC92" s="41"/>
      <c r="AD92" s="41">
        <f>IFERROR(VLOOKUP($A92,Program[],7,0),0)</f>
        <v>0</v>
      </c>
      <c r="AE92" s="41">
        <f>IFERROR(VLOOKUP($A92,Program[],8,0),0)</f>
        <v>0</v>
      </c>
      <c r="AF92" s="41">
        <f>IFERROR(VLOOKUP($A92,Program[],9,0),0)</f>
        <v>0</v>
      </c>
      <c r="AG92" s="41">
        <f>IFERROR(VLOOKUP($A92,Program[],10,0),0)</f>
        <v>0</v>
      </c>
      <c r="AH92" s="41">
        <f>IFERROR(VLOOKUP($A92,Program[],11,0),0)</f>
        <v>0</v>
      </c>
      <c r="AI92" s="41">
        <f>IFERROR(VLOOKUP($A92,Program[],12,0),0)</f>
        <v>0</v>
      </c>
      <c r="AJ92" s="41"/>
      <c r="AK92" s="41">
        <f>IFERROR(VLOOKUP($A92,Program[],13,0),0)</f>
        <v>0</v>
      </c>
      <c r="AL92" s="41"/>
      <c r="AM92" s="41"/>
      <c r="AN92" s="41"/>
      <c r="AO92" s="41"/>
      <c r="AP92" s="41"/>
      <c r="AQ92" s="41"/>
      <c r="AR92" s="41"/>
      <c r="AS92" s="41">
        <f>IFERROR(VLOOKUP($A92,Program[],14,0),0)</f>
        <v>0</v>
      </c>
      <c r="AT92" s="41"/>
      <c r="AU92" s="41"/>
      <c r="AV92" s="41">
        <f>IFERROR(VLOOKUP($A92,Program[],15,0),0)</f>
        <v>0</v>
      </c>
      <c r="AW92" s="41"/>
      <c r="AX92" s="41">
        <f>IFERROR(VLOOKUP($A92,Program[],16,0),0)</f>
        <v>0</v>
      </c>
      <c r="AY92" s="41">
        <f>IFERROR(VLOOKUP($A92,Program[],17,0),0)</f>
        <v>0</v>
      </c>
      <c r="AZ92" s="41">
        <f>IFERROR(VLOOKUP($A92,Program[],18,0),0)</f>
        <v>0</v>
      </c>
      <c r="BA92" s="41">
        <f>IFERROR(VLOOKUP($A92,Program[],19,0),0)</f>
        <v>0</v>
      </c>
      <c r="BB92" s="77">
        <f t="shared" si="27"/>
        <v>232827.35000000003</v>
      </c>
      <c r="BC92" s="41">
        <f>IFERROR(VLOOKUP(A92,Food[],3,0),0)</f>
        <v>629404.30000000005</v>
      </c>
      <c r="BD92" s="41">
        <f>IFERROR(VLOOKUP($A92,FoodRev[],2,0),0)</f>
        <v>83494.899999999994</v>
      </c>
      <c r="BE92" s="41">
        <f>IFERROR(VLOOKUP($A92,FoodRev[],3,0),0)</f>
        <v>109891.7</v>
      </c>
      <c r="BF92" s="41">
        <f>IFERROR(VLOOKUP($A92,FoodRev[],4,0),0)</f>
        <v>0</v>
      </c>
      <c r="BG92" s="41">
        <f>IFERROR(VLOOKUP($A92,FoodRev[],5,0),0)</f>
        <v>180398.52</v>
      </c>
      <c r="BH92" s="41">
        <f>IFERROR(VLOOKUP($A92,FoodRev[],6,0),0)</f>
        <v>0</v>
      </c>
      <c r="BI92" s="41">
        <f>IFERROR(VLOOKUP($A92,FoodRev[],7,0),0)</f>
        <v>0</v>
      </c>
      <c r="BJ92" s="41">
        <f>IFERROR(VLOOKUP($A92,FoodRev[],8,0),0)</f>
        <v>22791.83</v>
      </c>
      <c r="BK92" s="41">
        <f>IFERROR(VLOOKUP($A92,FoodRev[],9,0),0)</f>
        <v>0</v>
      </c>
      <c r="BL92" s="41">
        <f>IFERROR(VLOOKUP($A92,FoodRev[],10,0),0)</f>
        <v>0</v>
      </c>
      <c r="BM92" s="41">
        <f t="shared" si="28"/>
        <v>396576.95</v>
      </c>
      <c r="BN92" s="42">
        <f t="shared" si="24"/>
        <v>232827.35000000003</v>
      </c>
      <c r="BO92" s="78">
        <f t="shared" si="25"/>
        <v>232827.35000000003</v>
      </c>
      <c r="BP92" s="78">
        <f t="shared" si="26"/>
        <v>0</v>
      </c>
    </row>
    <row r="93" spans="1:68" x14ac:dyDescent="0.25">
      <c r="A93" s="40" t="s">
        <v>596</v>
      </c>
      <c r="B93" s="40" t="s">
        <v>788</v>
      </c>
      <c r="D93" s="203">
        <f t="shared" si="22"/>
        <v>1.1641532182693481E-10</v>
      </c>
      <c r="E93" s="41">
        <f>IFERROR(VLOOKUP(A93,Items[],5,0),0)</f>
        <v>894130.89</v>
      </c>
      <c r="F93" s="42">
        <f t="shared" si="23"/>
        <v>894130.8899999999</v>
      </c>
      <c r="G93" s="41">
        <v>0</v>
      </c>
      <c r="H93" s="41">
        <f>IFERROR(VLOOKUP(A93,Items[],4,0),0)</f>
        <v>1473437.4</v>
      </c>
      <c r="I93" s="41">
        <f>IFERROR(VLOOKUP(A93,Community[],4,0),0)</f>
        <v>0</v>
      </c>
      <c r="J93" s="41">
        <f>IFERROR(VLOOKUP(A93,Community[],5,0),0)</f>
        <v>0</v>
      </c>
      <c r="K93" s="41">
        <f>IFERROR(VLOOKUP(A93,Community[],6,0),0)</f>
        <v>0</v>
      </c>
      <c r="L93" s="41">
        <f>IFERROR(VLOOKUP(A93,Community[],7,0),0)</f>
        <v>0</v>
      </c>
      <c r="M93" s="41">
        <f>IFERROR(VLOOKUP(A93,Debt[],3,0),0)</f>
        <v>0</v>
      </c>
      <c r="N93" s="41">
        <f>IFERROR(VLOOKUP(A93,Debt[],4,0),0)</f>
        <v>0</v>
      </c>
      <c r="O93" s="41">
        <f>IFERROR(VLOOKUP(A93,Debt[],5,0),0)</f>
        <v>0</v>
      </c>
      <c r="P93" s="41">
        <f>IFERROR(VLOOKUP(A93,Items[],3,0),0)</f>
        <v>111949.46</v>
      </c>
      <c r="Q93" s="41">
        <f>IFERROR(VLOOKUP($A93,Federal[],2,0),0)</f>
        <v>402227.93</v>
      </c>
      <c r="R93" s="41">
        <f>IFERROR(VLOOKUP($A93,Federal[],4,0),0)</f>
        <v>86968.21</v>
      </c>
      <c r="S93" s="41"/>
      <c r="T93" s="47">
        <f>IFERROR(VLOOKUP($A93,Program[],3,0),0)</f>
        <v>0</v>
      </c>
      <c r="U93" s="47"/>
      <c r="V93" s="41">
        <f>IFERROR(VLOOKUP($A93,Program[],4,0),0)</f>
        <v>3758.7</v>
      </c>
      <c r="W93" s="41">
        <f>IFERROR(VLOOKUP($A93,Program[],5,0),0)</f>
        <v>0</v>
      </c>
      <c r="X93" s="41"/>
      <c r="Y93" s="41"/>
      <c r="Z93" s="41"/>
      <c r="AA93" s="41">
        <f>IFERROR(VLOOKUP($A93,Program[],6,0),0)</f>
        <v>0</v>
      </c>
      <c r="AB93" s="41"/>
      <c r="AC93" s="41"/>
      <c r="AD93" s="41">
        <f>IFERROR(VLOOKUP($A93,Program[],7,0),0)</f>
        <v>0</v>
      </c>
      <c r="AE93" s="41">
        <f>IFERROR(VLOOKUP($A93,Program[],8,0),0)</f>
        <v>0</v>
      </c>
      <c r="AF93" s="41">
        <f>IFERROR(VLOOKUP($A93,Program[],9,0),0)</f>
        <v>0</v>
      </c>
      <c r="AG93" s="41">
        <f>IFERROR(VLOOKUP($A93,Program[],10,0),0)</f>
        <v>0</v>
      </c>
      <c r="AH93" s="41">
        <f>IFERROR(VLOOKUP($A93,Program[],11,0),0)</f>
        <v>0</v>
      </c>
      <c r="AI93" s="41">
        <f>IFERROR(VLOOKUP($A93,Program[],12,0),0)</f>
        <v>0</v>
      </c>
      <c r="AJ93" s="41"/>
      <c r="AK93" s="41">
        <f>IFERROR(VLOOKUP($A93,Program[],13,0),0)</f>
        <v>0</v>
      </c>
      <c r="AL93" s="41"/>
      <c r="AM93" s="41"/>
      <c r="AN93" s="41"/>
      <c r="AO93" s="41"/>
      <c r="AP93" s="41"/>
      <c r="AQ93" s="41"/>
      <c r="AR93" s="41"/>
      <c r="AS93" s="41">
        <f>IFERROR(VLOOKUP($A93,Program[],14,0),0)</f>
        <v>0</v>
      </c>
      <c r="AT93" s="41"/>
      <c r="AU93" s="41"/>
      <c r="AV93" s="41">
        <f>IFERROR(VLOOKUP($A93,Program[],15,0),0)</f>
        <v>0</v>
      </c>
      <c r="AW93" s="41"/>
      <c r="AX93" s="41">
        <f>IFERROR(VLOOKUP($A93,Program[],16,0),0)</f>
        <v>0</v>
      </c>
      <c r="AY93" s="41">
        <f>IFERROR(VLOOKUP($A93,Program[],17,0),0)</f>
        <v>0</v>
      </c>
      <c r="AZ93" s="41">
        <f>IFERROR(VLOOKUP($A93,Program[],18,0),0)</f>
        <v>0</v>
      </c>
      <c r="BA93" s="41">
        <f>IFERROR(VLOOKUP($A93,Program[],19,0),0)</f>
        <v>18816.3</v>
      </c>
      <c r="BB93" s="77">
        <f t="shared" si="27"/>
        <v>90787.19</v>
      </c>
      <c r="BC93" s="41">
        <f>IFERROR(VLOOKUP(A93,Food[],3,0),0)</f>
        <v>116298.3</v>
      </c>
      <c r="BD93" s="41">
        <f>IFERROR(VLOOKUP($A93,FoodRev[],2,0),0)</f>
        <v>0</v>
      </c>
      <c r="BE93" s="41">
        <f>IFERROR(VLOOKUP($A93,FoodRev[],3,0),0)</f>
        <v>735.91</v>
      </c>
      <c r="BF93" s="41">
        <f>IFERROR(VLOOKUP($A93,FoodRev[],4,0),0)</f>
        <v>0</v>
      </c>
      <c r="BG93" s="41">
        <f>IFERROR(VLOOKUP($A93,FoodRev[],5,0),0)</f>
        <v>24775.200000000001</v>
      </c>
      <c r="BH93" s="41">
        <f>IFERROR(VLOOKUP($A93,FoodRev[],6,0),0)</f>
        <v>0</v>
      </c>
      <c r="BI93" s="41">
        <f>IFERROR(VLOOKUP($A93,FoodRev[],7,0),0)</f>
        <v>0</v>
      </c>
      <c r="BJ93" s="41">
        <f>IFERROR(VLOOKUP($A93,FoodRev[],8,0),0)</f>
        <v>0</v>
      </c>
      <c r="BK93" s="41">
        <f>IFERROR(VLOOKUP($A93,FoodRev[],9,0),0)</f>
        <v>0</v>
      </c>
      <c r="BL93" s="41">
        <f>IFERROR(VLOOKUP($A93,FoodRev[],10,0),0)</f>
        <v>0</v>
      </c>
      <c r="BM93" s="41">
        <f t="shared" si="28"/>
        <v>25511.11</v>
      </c>
      <c r="BN93" s="42">
        <f t="shared" si="24"/>
        <v>90787.19</v>
      </c>
      <c r="BO93" s="78">
        <f t="shared" si="25"/>
        <v>90787.19</v>
      </c>
      <c r="BP93" s="78">
        <f t="shared" si="26"/>
        <v>0</v>
      </c>
    </row>
    <row r="94" spans="1:68" x14ac:dyDescent="0.25">
      <c r="A94" s="40" t="s">
        <v>566</v>
      </c>
      <c r="B94" s="40" t="s">
        <v>789</v>
      </c>
      <c r="D94" s="203">
        <f t="shared" si="22"/>
        <v>-4.6566128730773926E-10</v>
      </c>
      <c r="E94" s="41">
        <f>IFERROR(VLOOKUP(A94,Items[],5,0),0)</f>
        <v>1689502.95</v>
      </c>
      <c r="F94" s="42">
        <f t="shared" si="23"/>
        <v>1689502.9500000004</v>
      </c>
      <c r="G94" s="41">
        <v>0</v>
      </c>
      <c r="H94" s="41">
        <f>IFERROR(VLOOKUP(A94,Items[],4,0),0)</f>
        <v>1920054.44</v>
      </c>
      <c r="I94" s="41">
        <f>IFERROR(VLOOKUP(A94,Community[],4,0),0)</f>
        <v>0</v>
      </c>
      <c r="J94" s="41">
        <f>IFERROR(VLOOKUP(A94,Community[],5,0),0)</f>
        <v>0</v>
      </c>
      <c r="K94" s="41">
        <f>IFERROR(VLOOKUP(A94,Community[],6,0),0)</f>
        <v>0</v>
      </c>
      <c r="L94" s="41">
        <f>IFERROR(VLOOKUP(A94,Community[],7,0),0)</f>
        <v>0</v>
      </c>
      <c r="M94" s="41">
        <f>IFERROR(VLOOKUP(A94,Debt[],3,0),0)</f>
        <v>0</v>
      </c>
      <c r="N94" s="41">
        <f>IFERROR(VLOOKUP(A94,Debt[],4,0),0)</f>
        <v>0</v>
      </c>
      <c r="O94" s="41">
        <f>IFERROR(VLOOKUP(A94,Debt[],5,0),0)</f>
        <v>0</v>
      </c>
      <c r="P94" s="41">
        <f>IFERROR(VLOOKUP(A94,Items[],3,0),0)</f>
        <v>5932.42</v>
      </c>
      <c r="Q94" s="41">
        <f>IFERROR(VLOOKUP($A94,Federal[],2,0),0)</f>
        <v>3458.63</v>
      </c>
      <c r="R94" s="41">
        <f>IFERROR(VLOOKUP($A94,Federal[],4,0),0)</f>
        <v>210451.69</v>
      </c>
      <c r="S94" s="41"/>
      <c r="T94" s="47">
        <f>IFERROR(VLOOKUP($A94,Program[],3,0),0)</f>
        <v>0</v>
      </c>
      <c r="U94" s="47"/>
      <c r="V94" s="41">
        <f>IFERROR(VLOOKUP($A94,Program[],4,0),0)</f>
        <v>0</v>
      </c>
      <c r="W94" s="41">
        <f>IFERROR(VLOOKUP($A94,Program[],5,0),0)</f>
        <v>0</v>
      </c>
      <c r="X94" s="41"/>
      <c r="Y94" s="41"/>
      <c r="Z94" s="41"/>
      <c r="AA94" s="41">
        <f>IFERROR(VLOOKUP($A94,Program[],6,0),0)</f>
        <v>0</v>
      </c>
      <c r="AB94" s="41"/>
      <c r="AC94" s="41"/>
      <c r="AD94" s="41">
        <f>IFERROR(VLOOKUP($A94,Program[],7,0),0)</f>
        <v>0</v>
      </c>
      <c r="AE94" s="41">
        <f>IFERROR(VLOOKUP($A94,Program[],8,0),0)</f>
        <v>0</v>
      </c>
      <c r="AF94" s="41">
        <f>IFERROR(VLOOKUP($A94,Program[],9,0),0)</f>
        <v>0</v>
      </c>
      <c r="AG94" s="41">
        <f>IFERROR(VLOOKUP($A94,Program[],10,0),0)</f>
        <v>0</v>
      </c>
      <c r="AH94" s="41">
        <f>IFERROR(VLOOKUP($A94,Program[],11,0),0)</f>
        <v>0</v>
      </c>
      <c r="AI94" s="41">
        <f>IFERROR(VLOOKUP($A94,Program[],12,0),0)</f>
        <v>0</v>
      </c>
      <c r="AJ94" s="41"/>
      <c r="AK94" s="41">
        <f>IFERROR(VLOOKUP($A94,Program[],13,0),0)</f>
        <v>0</v>
      </c>
      <c r="AL94" s="41"/>
      <c r="AM94" s="41"/>
      <c r="AN94" s="41"/>
      <c r="AO94" s="41"/>
      <c r="AP94" s="41"/>
      <c r="AQ94" s="41"/>
      <c r="AR94" s="41"/>
      <c r="AS94" s="41">
        <f>IFERROR(VLOOKUP($A94,Program[],14,0),0)</f>
        <v>0</v>
      </c>
      <c r="AT94" s="41"/>
      <c r="AU94" s="41"/>
      <c r="AV94" s="41">
        <f>IFERROR(VLOOKUP($A94,Program[],15,0),0)</f>
        <v>0</v>
      </c>
      <c r="AW94" s="41"/>
      <c r="AX94" s="41">
        <f>IFERROR(VLOOKUP($A94,Program[],16,0),0)</f>
        <v>0</v>
      </c>
      <c r="AY94" s="41">
        <f>IFERROR(VLOOKUP($A94,Program[],17,0),0)</f>
        <v>0</v>
      </c>
      <c r="AZ94" s="41">
        <f>IFERROR(VLOOKUP($A94,Program[],18,0),0)</f>
        <v>0</v>
      </c>
      <c r="BA94" s="41">
        <f>IFERROR(VLOOKUP($A94,Program[],19,0),0)</f>
        <v>5932.42</v>
      </c>
      <c r="BB94" s="77">
        <f t="shared" si="27"/>
        <v>66217.510000000009</v>
      </c>
      <c r="BC94" s="41">
        <f>IFERROR(VLOOKUP(A94,Food[],3,0),0)</f>
        <v>147630.71000000002</v>
      </c>
      <c r="BD94" s="41">
        <f>IFERROR(VLOOKUP($A94,FoodRev[],2,0),0)</f>
        <v>827.56</v>
      </c>
      <c r="BE94" s="41">
        <f>IFERROR(VLOOKUP($A94,FoodRev[],3,0),0)</f>
        <v>14419.79</v>
      </c>
      <c r="BF94" s="41">
        <f>IFERROR(VLOOKUP($A94,FoodRev[],4,0),0)</f>
        <v>1393.82</v>
      </c>
      <c r="BG94" s="41">
        <f>IFERROR(VLOOKUP($A94,FoodRev[],5,0),0)</f>
        <v>47480.61</v>
      </c>
      <c r="BH94" s="41">
        <f>IFERROR(VLOOKUP($A94,FoodRev[],6,0),0)</f>
        <v>0</v>
      </c>
      <c r="BI94" s="41">
        <f>IFERROR(VLOOKUP($A94,FoodRev[],7,0),0)</f>
        <v>13102.6</v>
      </c>
      <c r="BJ94" s="41">
        <f>IFERROR(VLOOKUP($A94,FoodRev[],8,0),0)</f>
        <v>4188.82</v>
      </c>
      <c r="BK94" s="41">
        <f>IFERROR(VLOOKUP($A94,FoodRev[],9,0),0)</f>
        <v>0</v>
      </c>
      <c r="BL94" s="41">
        <f>IFERROR(VLOOKUP($A94,FoodRev[],10,0),0)</f>
        <v>0</v>
      </c>
      <c r="BM94" s="41">
        <f t="shared" si="28"/>
        <v>81413.200000000012</v>
      </c>
      <c r="BN94" s="42">
        <f t="shared" si="24"/>
        <v>66217.510000000009</v>
      </c>
      <c r="BO94" s="78">
        <f t="shared" si="25"/>
        <v>66217.510000000009</v>
      </c>
      <c r="BP94" s="78">
        <f t="shared" si="26"/>
        <v>0</v>
      </c>
    </row>
    <row r="95" spans="1:68" x14ac:dyDescent="0.25">
      <c r="A95" s="40" t="s">
        <v>366</v>
      </c>
      <c r="B95" s="40" t="s">
        <v>790</v>
      </c>
      <c r="D95" s="203">
        <f t="shared" si="22"/>
        <v>3.7252902984619141E-9</v>
      </c>
      <c r="E95" s="41">
        <f>IFERROR(VLOOKUP(A95,Items[],5,0),0)</f>
        <v>10340779.050000001</v>
      </c>
      <c r="F95" s="42">
        <f t="shared" si="23"/>
        <v>10340779.049999997</v>
      </c>
      <c r="G95" s="41">
        <v>0</v>
      </c>
      <c r="H95" s="41">
        <f>IFERROR(VLOOKUP(A95,Items[],4,0),0)</f>
        <v>10830169.59</v>
      </c>
      <c r="I95" s="41">
        <f>IFERROR(VLOOKUP(A95,Community[],4,0),0)</f>
        <v>0</v>
      </c>
      <c r="J95" s="41">
        <f>IFERROR(VLOOKUP(A95,Community[],5,0),0)</f>
        <v>0</v>
      </c>
      <c r="K95" s="41">
        <f>IFERROR(VLOOKUP(A95,Community[],6,0),0)</f>
        <v>26063.65</v>
      </c>
      <c r="L95" s="41">
        <f>IFERROR(VLOOKUP(A95,Community[],7,0),0)</f>
        <v>0</v>
      </c>
      <c r="M95" s="41">
        <f>IFERROR(VLOOKUP(A95,Debt[],3,0),0)</f>
        <v>303.72000000000003</v>
      </c>
      <c r="N95" s="41">
        <f>IFERROR(VLOOKUP(A95,Debt[],4,0),0)</f>
        <v>8727.5300000000007</v>
      </c>
      <c r="O95" s="41">
        <f>IFERROR(VLOOKUP(A95,Debt[],5,0),0)</f>
        <v>0</v>
      </c>
      <c r="P95" s="41">
        <f>IFERROR(VLOOKUP(A95,Items[],3,0),0)</f>
        <v>27381.49</v>
      </c>
      <c r="Q95" s="41">
        <f>IFERROR(VLOOKUP($A95,Federal[],2,0),0)</f>
        <v>11005.24</v>
      </c>
      <c r="R95" s="41">
        <f>IFERROR(VLOOKUP($A95,Federal[],4,0),0)</f>
        <v>344361.05</v>
      </c>
      <c r="S95" s="41"/>
      <c r="T95" s="47">
        <f>IFERROR(VLOOKUP($A95,Program[],3,0),0)</f>
        <v>0</v>
      </c>
      <c r="U95" s="47"/>
      <c r="V95" s="41">
        <f>IFERROR(VLOOKUP($A95,Program[],4,0),0)</f>
        <v>0</v>
      </c>
      <c r="W95" s="41">
        <f>IFERROR(VLOOKUP($A95,Program[],5,0),0)</f>
        <v>0</v>
      </c>
      <c r="X95" s="41"/>
      <c r="Y95" s="41"/>
      <c r="Z95" s="41"/>
      <c r="AA95" s="41">
        <f>IFERROR(VLOOKUP($A95,Program[],6,0),0)</f>
        <v>0</v>
      </c>
      <c r="AB95" s="41"/>
      <c r="AC95" s="41"/>
      <c r="AD95" s="41">
        <f>IFERROR(VLOOKUP($A95,Program[],7,0),0)</f>
        <v>0</v>
      </c>
      <c r="AE95" s="41">
        <f>IFERROR(VLOOKUP($A95,Program[],8,0),0)</f>
        <v>0</v>
      </c>
      <c r="AF95" s="41">
        <f>IFERROR(VLOOKUP($A95,Program[],9,0),0)</f>
        <v>0</v>
      </c>
      <c r="AG95" s="41">
        <f>IFERROR(VLOOKUP($A95,Program[],10,0),0)</f>
        <v>0</v>
      </c>
      <c r="AH95" s="41">
        <f>IFERROR(VLOOKUP($A95,Program[],11,0),0)</f>
        <v>0</v>
      </c>
      <c r="AI95" s="41">
        <f>IFERROR(VLOOKUP($A95,Program[],12,0),0)</f>
        <v>0</v>
      </c>
      <c r="AJ95" s="41"/>
      <c r="AK95" s="41">
        <f>IFERROR(VLOOKUP($A95,Program[],13,0),0)</f>
        <v>0</v>
      </c>
      <c r="AL95" s="41"/>
      <c r="AM95" s="41"/>
      <c r="AN95" s="41"/>
      <c r="AO95" s="41"/>
      <c r="AP95" s="41"/>
      <c r="AQ95" s="41"/>
      <c r="AR95" s="41"/>
      <c r="AS95" s="41">
        <f>IFERROR(VLOOKUP($A95,Program[],14,0),0)</f>
        <v>0</v>
      </c>
      <c r="AT95" s="41"/>
      <c r="AU95" s="41"/>
      <c r="AV95" s="41">
        <f>IFERROR(VLOOKUP($A95,Program[],15,0),0)</f>
        <v>7189.69</v>
      </c>
      <c r="AW95" s="41"/>
      <c r="AX95" s="41">
        <f>IFERROR(VLOOKUP($A95,Program[],16,0),0)</f>
        <v>0</v>
      </c>
      <c r="AY95" s="41">
        <f>IFERROR(VLOOKUP($A95,Program[],17,0),0)</f>
        <v>0</v>
      </c>
      <c r="AZ95" s="41">
        <f>IFERROR(VLOOKUP($A95,Program[],18,0),0)</f>
        <v>0</v>
      </c>
      <c r="BA95" s="41">
        <f>IFERROR(VLOOKUP($A95,Program[],19,0),0)</f>
        <v>0</v>
      </c>
      <c r="BB95" s="77">
        <f t="shared" si="27"/>
        <v>111907.84000000004</v>
      </c>
      <c r="BC95" s="41">
        <f>IFERROR(VLOOKUP(A95,Food[],3,0),0)</f>
        <v>304443.66000000003</v>
      </c>
      <c r="BD95" s="41">
        <f>IFERROR(VLOOKUP($A95,FoodRev[],2,0),0)</f>
        <v>11929.42</v>
      </c>
      <c r="BE95" s="41">
        <f>IFERROR(VLOOKUP($A95,FoodRev[],3,0),0)</f>
        <v>52457.26</v>
      </c>
      <c r="BF95" s="41">
        <f>IFERROR(VLOOKUP($A95,FoodRev[],4,0),0)</f>
        <v>14350.87</v>
      </c>
      <c r="BG95" s="41">
        <f>IFERROR(VLOOKUP($A95,FoodRev[],5,0),0)</f>
        <v>113798.27</v>
      </c>
      <c r="BH95" s="41">
        <f>IFERROR(VLOOKUP($A95,FoodRev[],6,0),0)</f>
        <v>0</v>
      </c>
      <c r="BI95" s="41">
        <f>IFERROR(VLOOKUP($A95,FoodRev[],7,0),0)</f>
        <v>0</v>
      </c>
      <c r="BJ95" s="41">
        <f>IFERROR(VLOOKUP($A95,FoodRev[],8,0),0)</f>
        <v>0</v>
      </c>
      <c r="BK95" s="41">
        <f>IFERROR(VLOOKUP($A95,FoodRev[],9,0),0)</f>
        <v>0</v>
      </c>
      <c r="BL95" s="41">
        <f>IFERROR(VLOOKUP($A95,FoodRev[],10,0),0)</f>
        <v>0</v>
      </c>
      <c r="BM95" s="41">
        <f t="shared" si="28"/>
        <v>192535.82</v>
      </c>
      <c r="BN95" s="42">
        <f t="shared" si="24"/>
        <v>111907.84000000004</v>
      </c>
      <c r="BO95" s="78">
        <f t="shared" si="25"/>
        <v>111907.84000000004</v>
      </c>
      <c r="BP95" s="78">
        <f t="shared" si="26"/>
        <v>0</v>
      </c>
    </row>
    <row r="96" spans="1:68" x14ac:dyDescent="0.25">
      <c r="A96" s="40" t="s">
        <v>288</v>
      </c>
      <c r="B96" s="40" t="s">
        <v>791</v>
      </c>
      <c r="D96" s="203">
        <f t="shared" si="22"/>
        <v>1.862645149230957E-9</v>
      </c>
      <c r="E96" s="41">
        <f>IFERROR(VLOOKUP(A96,Items[],5,0),0)</f>
        <v>15004827.210000001</v>
      </c>
      <c r="F96" s="42">
        <f t="shared" si="23"/>
        <v>15004827.209999999</v>
      </c>
      <c r="G96" s="41">
        <v>0</v>
      </c>
      <c r="H96" s="41">
        <f>IFERROR(VLOOKUP(A96,Items[],4,0),0)</f>
        <v>16602070.15</v>
      </c>
      <c r="I96" s="41">
        <f>IFERROR(VLOOKUP(A96,Community[],4,0),0)</f>
        <v>0</v>
      </c>
      <c r="J96" s="41">
        <f>IFERROR(VLOOKUP(A96,Community[],5,0),0)</f>
        <v>0</v>
      </c>
      <c r="K96" s="41">
        <f>IFERROR(VLOOKUP(A96,Community[],6,0),0)</f>
        <v>0</v>
      </c>
      <c r="L96" s="41">
        <f>IFERROR(VLOOKUP(A96,Community[],7,0),0)</f>
        <v>0</v>
      </c>
      <c r="M96" s="41">
        <f>IFERROR(VLOOKUP(A96,Debt[],3,0),0)</f>
        <v>0</v>
      </c>
      <c r="N96" s="41">
        <f>IFERROR(VLOOKUP(A96,Debt[],4,0),0)</f>
        <v>0</v>
      </c>
      <c r="O96" s="41">
        <f>IFERROR(VLOOKUP(A96,Debt[],5,0),0)</f>
        <v>0</v>
      </c>
      <c r="P96" s="41">
        <f>IFERROR(VLOOKUP(A96,Items[],3,0),0)</f>
        <v>187146.57</v>
      </c>
      <c r="Q96" s="41">
        <f>IFERROR(VLOOKUP($A96,Federal[],2,0),0)</f>
        <v>33547.629999999997</v>
      </c>
      <c r="R96" s="41">
        <f>IFERROR(VLOOKUP($A96,Federal[],4,0),0)</f>
        <v>1261774.58</v>
      </c>
      <c r="S96" s="41"/>
      <c r="T96" s="47">
        <f>IFERROR(VLOOKUP($A96,Program[],3,0),0)</f>
        <v>0</v>
      </c>
      <c r="U96" s="47"/>
      <c r="V96" s="41">
        <f>IFERROR(VLOOKUP($A96,Program[],4,0),0)</f>
        <v>0</v>
      </c>
      <c r="W96" s="41">
        <f>IFERROR(VLOOKUP($A96,Program[],5,0),0)</f>
        <v>0</v>
      </c>
      <c r="X96" s="41"/>
      <c r="Y96" s="41"/>
      <c r="Z96" s="41"/>
      <c r="AA96" s="41">
        <f>IFERROR(VLOOKUP($A96,Program[],6,0),0)</f>
        <v>0</v>
      </c>
      <c r="AB96" s="41"/>
      <c r="AC96" s="41"/>
      <c r="AD96" s="41">
        <f>IFERROR(VLOOKUP($A96,Program[],7,0),0)</f>
        <v>0</v>
      </c>
      <c r="AE96" s="41">
        <f>IFERROR(VLOOKUP($A96,Program[],8,0),0)</f>
        <v>0</v>
      </c>
      <c r="AF96" s="41">
        <f>IFERROR(VLOOKUP($A96,Program[],9,0),0)</f>
        <v>0</v>
      </c>
      <c r="AG96" s="41">
        <f>IFERROR(VLOOKUP($A96,Program[],10,0),0)</f>
        <v>0</v>
      </c>
      <c r="AH96" s="41">
        <f>IFERROR(VLOOKUP($A96,Program[],11,0),0)</f>
        <v>0</v>
      </c>
      <c r="AI96" s="41">
        <f>IFERROR(VLOOKUP($A96,Program[],12,0),0)</f>
        <v>0</v>
      </c>
      <c r="AJ96" s="41"/>
      <c r="AK96" s="41">
        <f>IFERROR(VLOOKUP($A96,Program[],13,0),0)</f>
        <v>0</v>
      </c>
      <c r="AL96" s="41"/>
      <c r="AM96" s="41"/>
      <c r="AN96" s="41"/>
      <c r="AO96" s="41"/>
      <c r="AP96" s="41"/>
      <c r="AQ96" s="41"/>
      <c r="AR96" s="41"/>
      <c r="AS96" s="41">
        <f>IFERROR(VLOOKUP($A96,Program[],14,0),0)</f>
        <v>0</v>
      </c>
      <c r="AT96" s="41"/>
      <c r="AU96" s="41"/>
      <c r="AV96" s="41">
        <f>IFERROR(VLOOKUP($A96,Program[],15,0),0)</f>
        <v>0</v>
      </c>
      <c r="AW96" s="41"/>
      <c r="AX96" s="41">
        <f>IFERROR(VLOOKUP($A96,Program[],16,0),0)</f>
        <v>0</v>
      </c>
      <c r="AY96" s="41">
        <f>IFERROR(VLOOKUP($A96,Program[],17,0),0)</f>
        <v>0</v>
      </c>
      <c r="AZ96" s="41">
        <f>IFERROR(VLOOKUP($A96,Program[],18,0),0)</f>
        <v>0</v>
      </c>
      <c r="BA96" s="41">
        <f>IFERROR(VLOOKUP($A96,Program[],19,0),0)</f>
        <v>0</v>
      </c>
      <c r="BB96" s="77">
        <f t="shared" si="27"/>
        <v>272198.82999999996</v>
      </c>
      <c r="BC96" s="41">
        <f>IFERROR(VLOOKUP(A96,Food[],3,0),0)</f>
        <v>661919.00999999989</v>
      </c>
      <c r="BD96" s="41">
        <f>IFERROR(VLOOKUP($A96,FoodRev[],2,0),0)</f>
        <v>23042.7</v>
      </c>
      <c r="BE96" s="41">
        <f>IFERROR(VLOOKUP($A96,FoodRev[],3,0),0)</f>
        <v>91731.46</v>
      </c>
      <c r="BF96" s="41">
        <f>IFERROR(VLOOKUP($A96,FoodRev[],4,0),0)</f>
        <v>0</v>
      </c>
      <c r="BG96" s="41">
        <f>IFERROR(VLOOKUP($A96,FoodRev[],5,0),0)</f>
        <v>257876.27</v>
      </c>
      <c r="BH96" s="41">
        <f>IFERROR(VLOOKUP($A96,FoodRev[],6,0),0)</f>
        <v>0</v>
      </c>
      <c r="BI96" s="41">
        <f>IFERROR(VLOOKUP($A96,FoodRev[],7,0),0)</f>
        <v>0</v>
      </c>
      <c r="BJ96" s="41">
        <f>IFERROR(VLOOKUP($A96,FoodRev[],8,0),0)</f>
        <v>17069.75</v>
      </c>
      <c r="BK96" s="41">
        <f>IFERROR(VLOOKUP($A96,FoodRev[],9,0),0)</f>
        <v>0</v>
      </c>
      <c r="BL96" s="41">
        <f>IFERROR(VLOOKUP($A96,FoodRev[],10,0),0)</f>
        <v>0</v>
      </c>
      <c r="BM96" s="41">
        <f t="shared" si="28"/>
        <v>389720.18</v>
      </c>
      <c r="BN96" s="42">
        <f t="shared" si="24"/>
        <v>272198.82999999996</v>
      </c>
      <c r="BO96" s="78">
        <f t="shared" si="25"/>
        <v>272198.82999999996</v>
      </c>
      <c r="BP96" s="78">
        <f t="shared" si="26"/>
        <v>0</v>
      </c>
    </row>
    <row r="97" spans="1:68" x14ac:dyDescent="0.25">
      <c r="A97" s="40" t="s">
        <v>278</v>
      </c>
      <c r="B97" s="40" t="s">
        <v>792</v>
      </c>
      <c r="D97" s="203">
        <f t="shared" si="22"/>
        <v>7.4505805969238281E-9</v>
      </c>
      <c r="E97" s="41">
        <f>IFERROR(VLOOKUP(A97,Items[],5,0),0)</f>
        <v>22140437.82</v>
      </c>
      <c r="F97" s="42">
        <f t="shared" si="23"/>
        <v>22140437.819999993</v>
      </c>
      <c r="G97" s="41">
        <v>0</v>
      </c>
      <c r="H97" s="41">
        <f>IFERROR(VLOOKUP(A97,Items[],4,0),0)</f>
        <v>24134982.859999999</v>
      </c>
      <c r="I97" s="41">
        <f>IFERROR(VLOOKUP(A97,Community[],4,0),0)</f>
        <v>0</v>
      </c>
      <c r="J97" s="41">
        <f>IFERROR(VLOOKUP(A97,Community[],5,0),0)</f>
        <v>0</v>
      </c>
      <c r="K97" s="41">
        <f>IFERROR(VLOOKUP(A97,Community[],6,0),0)</f>
        <v>0</v>
      </c>
      <c r="L97" s="41">
        <f>IFERROR(VLOOKUP(A97,Community[],7,0),0)</f>
        <v>34689.689999999995</v>
      </c>
      <c r="M97" s="41">
        <f>IFERROR(VLOOKUP(A97,Debt[],3,0),0)</f>
        <v>0</v>
      </c>
      <c r="N97" s="41">
        <f>IFERROR(VLOOKUP(A97,Debt[],4,0),0)</f>
        <v>0</v>
      </c>
      <c r="O97" s="41">
        <f>IFERROR(VLOOKUP(A97,Debt[],5,0),0)</f>
        <v>0</v>
      </c>
      <c r="P97" s="41">
        <f>IFERROR(VLOOKUP(A97,Items[],3,0),0)</f>
        <v>56273.94</v>
      </c>
      <c r="Q97" s="41">
        <f>IFERROR(VLOOKUP($A97,Federal[],2,0),0)</f>
        <v>61566.16</v>
      </c>
      <c r="R97" s="41">
        <f>IFERROR(VLOOKUP($A97,Federal[],4,0),0)</f>
        <v>1637725.6</v>
      </c>
      <c r="S97" s="41"/>
      <c r="T97" s="47">
        <f>IFERROR(VLOOKUP($A97,Program[],3,0),0)</f>
        <v>0</v>
      </c>
      <c r="U97" s="47"/>
      <c r="V97" s="41">
        <f>IFERROR(VLOOKUP($A97,Program[],4,0),0)</f>
        <v>0</v>
      </c>
      <c r="W97" s="41">
        <f>IFERROR(VLOOKUP($A97,Program[],5,0),0)</f>
        <v>0</v>
      </c>
      <c r="X97" s="41"/>
      <c r="Y97" s="41"/>
      <c r="Z97" s="41"/>
      <c r="AA97" s="41">
        <f>IFERROR(VLOOKUP($A97,Program[],6,0),0)</f>
        <v>0</v>
      </c>
      <c r="AB97" s="41"/>
      <c r="AC97" s="41"/>
      <c r="AD97" s="41">
        <f>IFERROR(VLOOKUP($A97,Program[],7,0),0)</f>
        <v>0</v>
      </c>
      <c r="AE97" s="41">
        <f>IFERROR(VLOOKUP($A97,Program[],8,0),0)</f>
        <v>0</v>
      </c>
      <c r="AF97" s="41">
        <f>IFERROR(VLOOKUP($A97,Program[],9,0),0)</f>
        <v>0</v>
      </c>
      <c r="AG97" s="41">
        <f>IFERROR(VLOOKUP($A97,Program[],10,0),0)</f>
        <v>0</v>
      </c>
      <c r="AH97" s="41">
        <f>IFERROR(VLOOKUP($A97,Program[],11,0),0)</f>
        <v>0</v>
      </c>
      <c r="AI97" s="41">
        <f>IFERROR(VLOOKUP($A97,Program[],12,0),0)</f>
        <v>0</v>
      </c>
      <c r="AJ97" s="41"/>
      <c r="AK97" s="41">
        <f>IFERROR(VLOOKUP($A97,Program[],13,0),0)</f>
        <v>0</v>
      </c>
      <c r="AL97" s="41"/>
      <c r="AM97" s="41"/>
      <c r="AN97" s="41"/>
      <c r="AO97" s="41"/>
      <c r="AP97" s="41"/>
      <c r="AQ97" s="41"/>
      <c r="AR97" s="41"/>
      <c r="AS97" s="41">
        <f>IFERROR(VLOOKUP($A97,Program[],14,0),0)</f>
        <v>0</v>
      </c>
      <c r="AT97" s="41"/>
      <c r="AU97" s="41"/>
      <c r="AV97" s="41">
        <f>IFERROR(VLOOKUP($A97,Program[],15,0),0)</f>
        <v>0</v>
      </c>
      <c r="AW97" s="41"/>
      <c r="AX97" s="41">
        <f>IFERROR(VLOOKUP($A97,Program[],16,0),0)</f>
        <v>0</v>
      </c>
      <c r="AY97" s="41">
        <f>IFERROR(VLOOKUP($A97,Program[],17,0),0)</f>
        <v>0</v>
      </c>
      <c r="AZ97" s="41">
        <f>IFERROR(VLOOKUP($A97,Program[],18,0),0)</f>
        <v>0</v>
      </c>
      <c r="BA97" s="41">
        <f>IFERROR(VLOOKUP($A97,Program[],19,0),0)</f>
        <v>38669.06</v>
      </c>
      <c r="BB97" s="77">
        <f t="shared" si="27"/>
        <v>441536.75</v>
      </c>
      <c r="BC97" s="41">
        <f>IFERROR(VLOOKUP(A97,Food[],3,0),0)</f>
        <v>1096426.5</v>
      </c>
      <c r="BD97" s="41">
        <f>IFERROR(VLOOKUP($A97,FoodRev[],2,0),0)</f>
        <v>107888.36</v>
      </c>
      <c r="BE97" s="41">
        <f>IFERROR(VLOOKUP($A97,FoodRev[],3,0),0)</f>
        <v>135070.35</v>
      </c>
      <c r="BF97" s="41">
        <f>IFERROR(VLOOKUP($A97,FoodRev[],4,0),0)</f>
        <v>0</v>
      </c>
      <c r="BG97" s="41">
        <f>IFERROR(VLOOKUP($A97,FoodRev[],5,0),0)</f>
        <v>286517.81</v>
      </c>
      <c r="BH97" s="41">
        <f>IFERROR(VLOOKUP($A97,FoodRev[],6,0),0)</f>
        <v>0</v>
      </c>
      <c r="BI97" s="41">
        <f>IFERROR(VLOOKUP($A97,FoodRev[],7,0),0)</f>
        <v>6096</v>
      </c>
      <c r="BJ97" s="41">
        <f>IFERROR(VLOOKUP($A97,FoodRev[],8,0),0)</f>
        <v>119317.23</v>
      </c>
      <c r="BK97" s="41">
        <f>IFERROR(VLOOKUP($A97,FoodRev[],9,0),0)</f>
        <v>0</v>
      </c>
      <c r="BL97" s="41">
        <f>IFERROR(VLOOKUP($A97,FoodRev[],10,0),0)</f>
        <v>0</v>
      </c>
      <c r="BM97" s="41">
        <f t="shared" si="28"/>
        <v>654889.75</v>
      </c>
      <c r="BN97" s="42">
        <f t="shared" si="24"/>
        <v>441536.75</v>
      </c>
      <c r="BO97" s="78">
        <f t="shared" si="25"/>
        <v>441536.75</v>
      </c>
      <c r="BP97" s="78">
        <f t="shared" si="26"/>
        <v>0</v>
      </c>
    </row>
    <row r="98" spans="1:68" x14ac:dyDescent="0.25">
      <c r="A98" s="40" t="s">
        <v>4</v>
      </c>
      <c r="B98" s="40" t="s">
        <v>793</v>
      </c>
      <c r="D98" s="203">
        <f t="shared" si="22"/>
        <v>-2.384185791015625E-7</v>
      </c>
      <c r="E98" s="41">
        <f>IFERROR(VLOOKUP(A98,Items[],5,0),0)</f>
        <v>1112235896.0599999</v>
      </c>
      <c r="F98" s="42">
        <f t="shared" si="23"/>
        <v>1112235896.0600002</v>
      </c>
      <c r="G98" s="41">
        <v>0</v>
      </c>
      <c r="H98" s="41">
        <f>IFERROR(VLOOKUP(A98,Items[],4,0),0)</f>
        <v>1195855065.0799999</v>
      </c>
      <c r="I98" s="41">
        <f>IFERROR(VLOOKUP(A98,Community[],4,0),0)</f>
        <v>1162548.2700000003</v>
      </c>
      <c r="J98" s="41">
        <f>IFERROR(VLOOKUP(A98,Community[],5,0),0)</f>
        <v>0</v>
      </c>
      <c r="K98" s="41">
        <f>IFERROR(VLOOKUP(A98,Community[],6,0),0)</f>
        <v>363036.74</v>
      </c>
      <c r="L98" s="41">
        <f>IFERROR(VLOOKUP(A98,Community[],7,0),0)</f>
        <v>319499.99</v>
      </c>
      <c r="M98" s="41">
        <f>IFERROR(VLOOKUP(A98,Debt[],3,0),0)</f>
        <v>67477.850000000006</v>
      </c>
      <c r="N98" s="41">
        <f>IFERROR(VLOOKUP(A98,Debt[],4,0),0)</f>
        <v>3997079.8</v>
      </c>
      <c r="O98" s="41">
        <f>IFERROR(VLOOKUP(A98,Debt[],5,0),0)</f>
        <v>0</v>
      </c>
      <c r="P98" s="41">
        <f>IFERROR(VLOOKUP(A98,Items[],3,0),0)</f>
        <v>3896869.59</v>
      </c>
      <c r="Q98" s="41">
        <f>IFERROR(VLOOKUP($A98,Federal[],2,0),0)</f>
        <v>67266.83</v>
      </c>
      <c r="R98" s="41">
        <f>IFERROR(VLOOKUP($A98,Federal[],4,0),0)</f>
        <v>67482369.200000003</v>
      </c>
      <c r="S98" s="41"/>
      <c r="T98" s="47">
        <f>IFERROR(VLOOKUP($A98,Program[],3,0),0)</f>
        <v>0</v>
      </c>
      <c r="U98" s="47"/>
      <c r="V98" s="41">
        <f>IFERROR(VLOOKUP($A98,Program[],4,0),0)</f>
        <v>0</v>
      </c>
      <c r="W98" s="41">
        <f>IFERROR(VLOOKUP($A98,Program[],5,0),0)</f>
        <v>0</v>
      </c>
      <c r="X98" s="41"/>
      <c r="Y98" s="41"/>
      <c r="Z98" s="41"/>
      <c r="AA98" s="41">
        <f>IFERROR(VLOOKUP($A98,Program[],6,0),0)</f>
        <v>0</v>
      </c>
      <c r="AB98" s="41"/>
      <c r="AC98" s="41"/>
      <c r="AD98" s="41">
        <f>IFERROR(VLOOKUP($A98,Program[],7,0),0)</f>
        <v>0</v>
      </c>
      <c r="AE98" s="41">
        <f>IFERROR(VLOOKUP($A98,Program[],8,0),0)</f>
        <v>0</v>
      </c>
      <c r="AF98" s="41">
        <f>IFERROR(VLOOKUP($A98,Program[],9,0),0)</f>
        <v>0</v>
      </c>
      <c r="AG98" s="41">
        <f>IFERROR(VLOOKUP($A98,Program[],10,0),0)</f>
        <v>0</v>
      </c>
      <c r="AH98" s="41">
        <f>IFERROR(VLOOKUP($A98,Program[],11,0),0)</f>
        <v>0</v>
      </c>
      <c r="AI98" s="41">
        <f>IFERROR(VLOOKUP($A98,Program[],12,0),0)</f>
        <v>0</v>
      </c>
      <c r="AJ98" s="41"/>
      <c r="AK98" s="41">
        <f>IFERROR(VLOOKUP($A98,Program[],13,0),0)</f>
        <v>0</v>
      </c>
      <c r="AL98" s="41"/>
      <c r="AM98" s="41"/>
      <c r="AN98" s="41"/>
      <c r="AO98" s="41"/>
      <c r="AP98" s="41"/>
      <c r="AQ98" s="41"/>
      <c r="AR98" s="41"/>
      <c r="AS98" s="41">
        <f>IFERROR(VLOOKUP($A98,Program[],14,0),0)</f>
        <v>0</v>
      </c>
      <c r="AT98" s="41"/>
      <c r="AU98" s="41"/>
      <c r="AV98" s="41">
        <f>IFERROR(VLOOKUP($A98,Program[],15,0),0)</f>
        <v>0</v>
      </c>
      <c r="AW98" s="41"/>
      <c r="AX98" s="41">
        <f>IFERROR(VLOOKUP($A98,Program[],16,0),0)</f>
        <v>0</v>
      </c>
      <c r="AY98" s="41">
        <f>IFERROR(VLOOKUP($A98,Program[],17,0),0)</f>
        <v>0</v>
      </c>
      <c r="AZ98" s="41">
        <f>IFERROR(VLOOKUP($A98,Program[],18,0),0)</f>
        <v>0</v>
      </c>
      <c r="BA98" s="41">
        <f>IFERROR(VLOOKUP($A98,Program[],19,0),0)</f>
        <v>0</v>
      </c>
      <c r="BB98" s="77">
        <f t="shared" si="27"/>
        <v>3468478.2499999981</v>
      </c>
      <c r="BC98" s="41">
        <f>IFERROR(VLOOKUP(A98,Food[],3,0),0)</f>
        <v>20515334.039999999</v>
      </c>
      <c r="BD98" s="41">
        <f>IFERROR(VLOOKUP($A98,FoodRev[],2,0),0)</f>
        <v>2619231.79</v>
      </c>
      <c r="BE98" s="41">
        <f>IFERROR(VLOOKUP($A98,FoodRev[],3,0),0)</f>
        <v>3284288.55</v>
      </c>
      <c r="BF98" s="41">
        <f>IFERROR(VLOOKUP($A98,FoodRev[],4,0),0)</f>
        <v>0</v>
      </c>
      <c r="BG98" s="41">
        <f>IFERROR(VLOOKUP($A98,FoodRev[],5,0),0)</f>
        <v>9021354.6500000004</v>
      </c>
      <c r="BH98" s="41">
        <f>IFERROR(VLOOKUP($A98,FoodRev[],6,0),0)</f>
        <v>0</v>
      </c>
      <c r="BI98" s="41">
        <f>IFERROR(VLOOKUP($A98,FoodRev[],7,0),0)</f>
        <v>254148.11</v>
      </c>
      <c r="BJ98" s="41">
        <f>IFERROR(VLOOKUP($A98,FoodRev[],8,0),0)</f>
        <v>1508332.28</v>
      </c>
      <c r="BK98" s="41">
        <f>IFERROR(VLOOKUP($A98,FoodRev[],9,0),0)</f>
        <v>0</v>
      </c>
      <c r="BL98" s="41">
        <f>IFERROR(VLOOKUP($A98,FoodRev[],10,0),0)</f>
        <v>359500.41</v>
      </c>
      <c r="BM98" s="41">
        <f t="shared" si="28"/>
        <v>17046855.789999999</v>
      </c>
      <c r="BN98" s="42">
        <f t="shared" si="24"/>
        <v>3468478.2499999981</v>
      </c>
      <c r="BO98" s="78">
        <f t="shared" si="25"/>
        <v>3468478.2499999981</v>
      </c>
      <c r="BP98" s="78">
        <f t="shared" si="26"/>
        <v>0</v>
      </c>
    </row>
    <row r="99" spans="1:68" x14ac:dyDescent="0.25">
      <c r="A99" s="40" t="s">
        <v>20</v>
      </c>
      <c r="B99" s="40" t="s">
        <v>794</v>
      </c>
      <c r="D99" s="203">
        <f t="shared" si="22"/>
        <v>0</v>
      </c>
      <c r="E99" s="41">
        <f>IFERROR(VLOOKUP(A99,Items[],5,0),0)</f>
        <v>389006523.00999999</v>
      </c>
      <c r="F99" s="42">
        <f t="shared" si="23"/>
        <v>389006523.00999999</v>
      </c>
      <c r="G99" s="41">
        <v>0</v>
      </c>
      <c r="H99" s="41">
        <f>IFERROR(VLOOKUP(A99,Items[],4,0),0)</f>
        <v>428997001.98000002</v>
      </c>
      <c r="I99" s="41">
        <f>IFERROR(VLOOKUP(A99,Community[],4,0),0)</f>
        <v>0</v>
      </c>
      <c r="J99" s="41">
        <f>IFERROR(VLOOKUP(A99,Community[],5,0),0)</f>
        <v>0</v>
      </c>
      <c r="K99" s="41">
        <f>IFERROR(VLOOKUP(A99,Community[],6,0),0)</f>
        <v>5367219.5999999996</v>
      </c>
      <c r="L99" s="41">
        <f>IFERROR(VLOOKUP(A99,Community[],7,0),0)</f>
        <v>997635.91</v>
      </c>
      <c r="M99" s="41">
        <f>IFERROR(VLOOKUP(A99,Debt[],3,0),0)</f>
        <v>46416.09</v>
      </c>
      <c r="N99" s="41">
        <f>IFERROR(VLOOKUP(A99,Debt[],4,0),0)</f>
        <v>866506.71</v>
      </c>
      <c r="O99" s="41">
        <f>IFERROR(VLOOKUP(A99,Debt[],5,0),0)</f>
        <v>0</v>
      </c>
      <c r="P99" s="41">
        <f>IFERROR(VLOOKUP(A99,Items[],3,0),0)</f>
        <v>344243.27</v>
      </c>
      <c r="Q99" s="41">
        <f>IFERROR(VLOOKUP($A99,Federal[],2,0),0)</f>
        <v>27515.16</v>
      </c>
      <c r="R99" s="41">
        <f>IFERROR(VLOOKUP($A99,Federal[],4,0),0)</f>
        <v>30033540.780000001</v>
      </c>
      <c r="S99" s="41"/>
      <c r="T99" s="47">
        <f>IFERROR(VLOOKUP($A99,Program[],3,0),0)</f>
        <v>0</v>
      </c>
      <c r="U99" s="47"/>
      <c r="V99" s="41">
        <f>IFERROR(VLOOKUP($A99,Program[],4,0),0)</f>
        <v>0</v>
      </c>
      <c r="W99" s="41">
        <f>IFERROR(VLOOKUP($A99,Program[],5,0),0)</f>
        <v>0</v>
      </c>
      <c r="X99" s="41"/>
      <c r="Y99" s="41"/>
      <c r="Z99" s="41"/>
      <c r="AA99" s="41">
        <f>IFERROR(VLOOKUP($A99,Program[],6,0),0)</f>
        <v>0</v>
      </c>
      <c r="AB99" s="41"/>
      <c r="AC99" s="41"/>
      <c r="AD99" s="41">
        <f>IFERROR(VLOOKUP($A99,Program[],7,0),0)</f>
        <v>10043.49</v>
      </c>
      <c r="AE99" s="41">
        <f>IFERROR(VLOOKUP($A99,Program[],8,0),0)</f>
        <v>0</v>
      </c>
      <c r="AF99" s="41">
        <f>IFERROR(VLOOKUP($A99,Program[],9,0),0)</f>
        <v>0</v>
      </c>
      <c r="AG99" s="41">
        <f>IFERROR(VLOOKUP($A99,Program[],10,0),0)</f>
        <v>0</v>
      </c>
      <c r="AH99" s="41">
        <f>IFERROR(VLOOKUP($A99,Program[],11,0),0)</f>
        <v>0</v>
      </c>
      <c r="AI99" s="41">
        <f>IFERROR(VLOOKUP($A99,Program[],12,0),0)</f>
        <v>0</v>
      </c>
      <c r="AJ99" s="41"/>
      <c r="AK99" s="41">
        <f>IFERROR(VLOOKUP($A99,Program[],13,0),0)</f>
        <v>0</v>
      </c>
      <c r="AL99" s="41"/>
      <c r="AM99" s="41"/>
      <c r="AN99" s="41"/>
      <c r="AO99" s="41"/>
      <c r="AP99" s="41"/>
      <c r="AQ99" s="41"/>
      <c r="AR99" s="41"/>
      <c r="AS99" s="41">
        <f>IFERROR(VLOOKUP($A99,Program[],14,0),0)</f>
        <v>0</v>
      </c>
      <c r="AT99" s="41"/>
      <c r="AU99" s="41"/>
      <c r="AV99" s="41">
        <f>IFERROR(VLOOKUP($A99,Program[],15,0),0)</f>
        <v>206454.71</v>
      </c>
      <c r="AW99" s="41"/>
      <c r="AX99" s="41">
        <f>IFERROR(VLOOKUP($A99,Program[],16,0),0)</f>
        <v>0</v>
      </c>
      <c r="AY99" s="41">
        <f>IFERROR(VLOOKUP($A99,Program[],17,0),0)</f>
        <v>0</v>
      </c>
      <c r="AZ99" s="41">
        <f>IFERROR(VLOOKUP($A99,Program[],18,0),0)</f>
        <v>0</v>
      </c>
      <c r="BA99" s="41">
        <f>IFERROR(VLOOKUP($A99,Program[],19,0),0)</f>
        <v>65208.78</v>
      </c>
      <c r="BB99" s="77">
        <f t="shared" si="27"/>
        <v>0</v>
      </c>
      <c r="BC99" s="41">
        <f>IFERROR(VLOOKUP(A99,Food[],3,0),0)</f>
        <v>14860589.93</v>
      </c>
      <c r="BD99" s="41">
        <f>IFERROR(VLOOKUP($A99,FoodRev[],2,0),0)</f>
        <v>103139.37</v>
      </c>
      <c r="BE99" s="41">
        <f>IFERROR(VLOOKUP($A99,FoodRev[],3,0),0)</f>
        <v>2929466.18</v>
      </c>
      <c r="BF99" s="41">
        <f>IFERROR(VLOOKUP($A99,FoodRev[],4,0),0)</f>
        <v>0</v>
      </c>
      <c r="BG99" s="41">
        <f>IFERROR(VLOOKUP($A99,FoodRev[],5,0),0)</f>
        <v>11206060.16</v>
      </c>
      <c r="BH99" s="41">
        <f>IFERROR(VLOOKUP($A99,FoodRev[],6,0),0)</f>
        <v>0</v>
      </c>
      <c r="BI99" s="41">
        <f>IFERROR(VLOOKUP($A99,FoodRev[],7,0),0)</f>
        <v>0</v>
      </c>
      <c r="BJ99" s="41">
        <f>IFERROR(VLOOKUP($A99,FoodRev[],8,0),0)</f>
        <v>1065421.3400000001</v>
      </c>
      <c r="BK99" s="41">
        <f>IFERROR(VLOOKUP($A99,FoodRev[],9,0),0)</f>
        <v>0</v>
      </c>
      <c r="BL99" s="41">
        <f>IFERROR(VLOOKUP($A99,FoodRev[],10,0),0)</f>
        <v>0</v>
      </c>
      <c r="BM99" s="41">
        <f t="shared" si="28"/>
        <v>15304087.050000001</v>
      </c>
      <c r="BN99" s="42">
        <f t="shared" si="24"/>
        <v>-443497.11999999941</v>
      </c>
      <c r="BO99" s="78">
        <f t="shared" si="25"/>
        <v>0</v>
      </c>
      <c r="BP99" s="78">
        <f t="shared" si="26"/>
        <v>-443497.11999999941</v>
      </c>
    </row>
    <row r="100" spans="1:68" x14ac:dyDescent="0.25">
      <c r="A100" s="40" t="s">
        <v>142</v>
      </c>
      <c r="B100" s="40" t="s">
        <v>795</v>
      </c>
      <c r="D100" s="203">
        <f t="shared" si="22"/>
        <v>0</v>
      </c>
      <c r="E100" s="41">
        <f>IFERROR(VLOOKUP(A100,Items[],5,0),0)</f>
        <v>74127444.359999999</v>
      </c>
      <c r="F100" s="42">
        <f t="shared" si="23"/>
        <v>74127444.359999999</v>
      </c>
      <c r="G100" s="41">
        <v>0</v>
      </c>
      <c r="H100" s="41">
        <f>IFERROR(VLOOKUP(A100,Items[],4,0),0)</f>
        <v>80010028.040000007</v>
      </c>
      <c r="I100" s="41">
        <f>IFERROR(VLOOKUP(A100,Community[],4,0),0)</f>
        <v>0</v>
      </c>
      <c r="J100" s="41">
        <f>IFERROR(VLOOKUP(A100,Community[],5,0),0)</f>
        <v>0</v>
      </c>
      <c r="K100" s="41">
        <f>IFERROR(VLOOKUP(A100,Community[],6,0),0)</f>
        <v>827722.11000000022</v>
      </c>
      <c r="L100" s="41">
        <f>IFERROR(VLOOKUP(A100,Community[],7,0),0)</f>
        <v>76895.790000000023</v>
      </c>
      <c r="M100" s="41">
        <f>IFERROR(VLOOKUP(A100,Debt[],3,0),0)</f>
        <v>0</v>
      </c>
      <c r="N100" s="41">
        <f>IFERROR(VLOOKUP(A100,Debt[],4,0),0)</f>
        <v>0</v>
      </c>
      <c r="O100" s="41">
        <f>IFERROR(VLOOKUP(A100,Debt[],5,0),0)</f>
        <v>100</v>
      </c>
      <c r="P100" s="41">
        <f>IFERROR(VLOOKUP(A100,Items[],3,0),0)</f>
        <v>521991.93</v>
      </c>
      <c r="Q100" s="41">
        <f>IFERROR(VLOOKUP($A100,Federal[],2,0),0)</f>
        <v>5552.3</v>
      </c>
      <c r="R100" s="41">
        <f>IFERROR(VLOOKUP($A100,Federal[],4,0),0)</f>
        <v>3438550.48</v>
      </c>
      <c r="S100" s="41"/>
      <c r="T100" s="47">
        <f>IFERROR(VLOOKUP($A100,Program[],3,0),0)</f>
        <v>0</v>
      </c>
      <c r="U100" s="47"/>
      <c r="V100" s="41">
        <f>IFERROR(VLOOKUP($A100,Program[],4,0),0)</f>
        <v>0</v>
      </c>
      <c r="W100" s="41">
        <f>IFERROR(VLOOKUP($A100,Program[],5,0),0)</f>
        <v>0</v>
      </c>
      <c r="X100" s="41"/>
      <c r="Y100" s="41"/>
      <c r="Z100" s="41"/>
      <c r="AA100" s="41">
        <f>IFERROR(VLOOKUP($A100,Program[],6,0),0)</f>
        <v>0</v>
      </c>
      <c r="AB100" s="41"/>
      <c r="AC100" s="41"/>
      <c r="AD100" s="41">
        <f>IFERROR(VLOOKUP($A100,Program[],7,0),0)</f>
        <v>0</v>
      </c>
      <c r="AE100" s="41">
        <f>IFERROR(VLOOKUP($A100,Program[],8,0),0)</f>
        <v>0</v>
      </c>
      <c r="AF100" s="41">
        <f>IFERROR(VLOOKUP($A100,Program[],9,0),0)</f>
        <v>0</v>
      </c>
      <c r="AG100" s="41">
        <f>IFERROR(VLOOKUP($A100,Program[],10,0),0)</f>
        <v>0</v>
      </c>
      <c r="AH100" s="41">
        <f>IFERROR(VLOOKUP($A100,Program[],11,0),0)</f>
        <v>0</v>
      </c>
      <c r="AI100" s="41">
        <f>IFERROR(VLOOKUP($A100,Program[],12,0),0)</f>
        <v>0</v>
      </c>
      <c r="AJ100" s="41"/>
      <c r="AK100" s="41">
        <f>IFERROR(VLOOKUP($A100,Program[],13,0),0)</f>
        <v>0</v>
      </c>
      <c r="AL100" s="41"/>
      <c r="AM100" s="41"/>
      <c r="AN100" s="41"/>
      <c r="AO100" s="41"/>
      <c r="AP100" s="41"/>
      <c r="AQ100" s="41"/>
      <c r="AR100" s="41"/>
      <c r="AS100" s="41">
        <f>IFERROR(VLOOKUP($A100,Program[],14,0),0)</f>
        <v>0</v>
      </c>
      <c r="AT100" s="41"/>
      <c r="AU100" s="41"/>
      <c r="AV100" s="41">
        <f>IFERROR(VLOOKUP($A100,Program[],15,0),0)</f>
        <v>0</v>
      </c>
      <c r="AW100" s="41"/>
      <c r="AX100" s="41">
        <f>IFERROR(VLOOKUP($A100,Program[],16,0),0)</f>
        <v>0</v>
      </c>
      <c r="AY100" s="41">
        <f>IFERROR(VLOOKUP($A100,Program[],17,0),0)</f>
        <v>0</v>
      </c>
      <c r="AZ100" s="41">
        <f>IFERROR(VLOOKUP($A100,Program[],18,0),0)</f>
        <v>0</v>
      </c>
      <c r="BA100" s="41">
        <f>IFERROR(VLOOKUP($A100,Program[],19,0),0)</f>
        <v>0</v>
      </c>
      <c r="BB100" s="77">
        <f t="shared" si="27"/>
        <v>1040002.1699999992</v>
      </c>
      <c r="BC100" s="41">
        <f>IFERROR(VLOOKUP(A100,Food[],3,0),0)</f>
        <v>3142860.8099999996</v>
      </c>
      <c r="BD100" s="41">
        <f>IFERROR(VLOOKUP($A100,FoodRev[],2,0),0)</f>
        <v>725654.7</v>
      </c>
      <c r="BE100" s="41">
        <f>IFERROR(VLOOKUP($A100,FoodRev[],3,0),0)</f>
        <v>286116.37</v>
      </c>
      <c r="BF100" s="41">
        <f>IFERROR(VLOOKUP($A100,FoodRev[],4,0),0)</f>
        <v>0</v>
      </c>
      <c r="BG100" s="41">
        <f>IFERROR(VLOOKUP($A100,FoodRev[],5,0),0)</f>
        <v>942735.53</v>
      </c>
      <c r="BH100" s="41">
        <f>IFERROR(VLOOKUP($A100,FoodRev[],6,0),0)</f>
        <v>0</v>
      </c>
      <c r="BI100" s="41">
        <f>IFERROR(VLOOKUP($A100,FoodRev[],7,0),0)</f>
        <v>0</v>
      </c>
      <c r="BJ100" s="41">
        <f>IFERROR(VLOOKUP($A100,FoodRev[],8,0),0)</f>
        <v>148352.04</v>
      </c>
      <c r="BK100" s="41">
        <f>IFERROR(VLOOKUP($A100,FoodRev[],9,0),0)</f>
        <v>0</v>
      </c>
      <c r="BL100" s="41">
        <f>IFERROR(VLOOKUP($A100,FoodRev[],10,0),0)</f>
        <v>0</v>
      </c>
      <c r="BM100" s="41">
        <f t="shared" si="28"/>
        <v>2102858.64</v>
      </c>
      <c r="BN100" s="42">
        <f t="shared" si="24"/>
        <v>1040002.1699999992</v>
      </c>
      <c r="BO100" s="78">
        <f t="shared" si="25"/>
        <v>1040002.1699999992</v>
      </c>
      <c r="BP100" s="78">
        <f t="shared" si="26"/>
        <v>0</v>
      </c>
    </row>
    <row r="101" spans="1:68" x14ac:dyDescent="0.25">
      <c r="A101" s="40" t="s">
        <v>132</v>
      </c>
      <c r="B101" s="40" t="s">
        <v>796</v>
      </c>
      <c r="D101" s="203">
        <f t="shared" si="22"/>
        <v>0</v>
      </c>
      <c r="E101" s="41">
        <f>IFERROR(VLOOKUP(A101,Items[],5,0),0)</f>
        <v>75263102.790000007</v>
      </c>
      <c r="F101" s="42">
        <f t="shared" si="23"/>
        <v>75263102.790000007</v>
      </c>
      <c r="G101" s="41">
        <v>0</v>
      </c>
      <c r="H101" s="41">
        <f>IFERROR(VLOOKUP(A101,Items[],4,0),0)</f>
        <v>79090155.200000003</v>
      </c>
      <c r="I101" s="41">
        <f>IFERROR(VLOOKUP(A101,Community[],4,0),0)</f>
        <v>0</v>
      </c>
      <c r="J101" s="41">
        <f>IFERROR(VLOOKUP(A101,Community[],5,0),0)</f>
        <v>0</v>
      </c>
      <c r="K101" s="41">
        <f>IFERROR(VLOOKUP(A101,Community[],6,0),0)</f>
        <v>0</v>
      </c>
      <c r="L101" s="41">
        <f>IFERROR(VLOOKUP(A101,Community[],7,0),0)</f>
        <v>535728.36999999988</v>
      </c>
      <c r="M101" s="41">
        <f>IFERROR(VLOOKUP(A101,Debt[],3,0),0)</f>
        <v>5316.2</v>
      </c>
      <c r="N101" s="41">
        <f>IFERROR(VLOOKUP(A101,Debt[],4,0),0)</f>
        <v>60641.32</v>
      </c>
      <c r="O101" s="41">
        <f>IFERROR(VLOOKUP(A101,Debt[],5,0),0)</f>
        <v>0</v>
      </c>
      <c r="P101" s="41">
        <f>IFERROR(VLOOKUP(A101,Items[],3,0),0)</f>
        <v>68948.66</v>
      </c>
      <c r="Q101" s="41">
        <f>IFERROR(VLOOKUP($A101,Federal[],2,0),0)</f>
        <v>5421.71</v>
      </c>
      <c r="R101" s="41">
        <f>IFERROR(VLOOKUP($A101,Federal[],4,0),0)</f>
        <v>1295440.21</v>
      </c>
      <c r="S101" s="41"/>
      <c r="T101" s="47">
        <f>IFERROR(VLOOKUP($A101,Program[],3,0),0)</f>
        <v>0</v>
      </c>
      <c r="U101" s="47"/>
      <c r="V101" s="41">
        <f>IFERROR(VLOOKUP($A101,Program[],4,0),0)</f>
        <v>0</v>
      </c>
      <c r="W101" s="41">
        <f>IFERROR(VLOOKUP($A101,Program[],5,0),0)</f>
        <v>0</v>
      </c>
      <c r="X101" s="41"/>
      <c r="Y101" s="41"/>
      <c r="Z101" s="41"/>
      <c r="AA101" s="41">
        <f>IFERROR(VLOOKUP($A101,Program[],6,0),0)</f>
        <v>0</v>
      </c>
      <c r="AB101" s="41"/>
      <c r="AC101" s="41"/>
      <c r="AD101" s="41">
        <f>IFERROR(VLOOKUP($A101,Program[],7,0),0)</f>
        <v>0</v>
      </c>
      <c r="AE101" s="41">
        <f>IFERROR(VLOOKUP($A101,Program[],8,0),0)</f>
        <v>0</v>
      </c>
      <c r="AF101" s="41">
        <f>IFERROR(VLOOKUP($A101,Program[],9,0),0)</f>
        <v>0</v>
      </c>
      <c r="AG101" s="41">
        <f>IFERROR(VLOOKUP($A101,Program[],10,0),0)</f>
        <v>0</v>
      </c>
      <c r="AH101" s="41">
        <f>IFERROR(VLOOKUP($A101,Program[],11,0),0)</f>
        <v>0</v>
      </c>
      <c r="AI101" s="41">
        <f>IFERROR(VLOOKUP($A101,Program[],12,0),0)</f>
        <v>0</v>
      </c>
      <c r="AJ101" s="41"/>
      <c r="AK101" s="41">
        <f>IFERROR(VLOOKUP($A101,Program[],13,0),0)</f>
        <v>0</v>
      </c>
      <c r="AL101" s="41"/>
      <c r="AM101" s="41"/>
      <c r="AN101" s="41"/>
      <c r="AO101" s="41"/>
      <c r="AP101" s="41"/>
      <c r="AQ101" s="41"/>
      <c r="AR101" s="41"/>
      <c r="AS101" s="41">
        <f>IFERROR(VLOOKUP($A101,Program[],14,0),0)</f>
        <v>0</v>
      </c>
      <c r="AT101" s="41"/>
      <c r="AU101" s="41"/>
      <c r="AV101" s="41">
        <f>IFERROR(VLOOKUP($A101,Program[],15,0),0)</f>
        <v>0</v>
      </c>
      <c r="AW101" s="41"/>
      <c r="AX101" s="41">
        <f>IFERROR(VLOOKUP($A101,Program[],16,0),0)</f>
        <v>0</v>
      </c>
      <c r="AY101" s="41">
        <f>IFERROR(VLOOKUP($A101,Program[],17,0),0)</f>
        <v>0</v>
      </c>
      <c r="AZ101" s="41">
        <f>IFERROR(VLOOKUP($A101,Program[],18,0),0)</f>
        <v>45000</v>
      </c>
      <c r="BA101" s="41">
        <f>IFERROR(VLOOKUP($A101,Program[],19,0),0)</f>
        <v>0</v>
      </c>
      <c r="BB101" s="77">
        <f t="shared" si="27"/>
        <v>97978.569999999978</v>
      </c>
      <c r="BC101" s="41">
        <f>IFERROR(VLOOKUP(A101,Food[],3,0),0)</f>
        <v>2183504.84</v>
      </c>
      <c r="BD101" s="41">
        <f>IFERROR(VLOOKUP($A101,FoodRev[],2,0),0)</f>
        <v>1899635.14</v>
      </c>
      <c r="BE101" s="41">
        <f>IFERROR(VLOOKUP($A101,FoodRev[],3,0),0)</f>
        <v>920.8</v>
      </c>
      <c r="BF101" s="41">
        <f>IFERROR(VLOOKUP($A101,FoodRev[],4,0),0)</f>
        <v>0</v>
      </c>
      <c r="BG101" s="41">
        <f>IFERROR(VLOOKUP($A101,FoodRev[],5,0),0)</f>
        <v>115342.73</v>
      </c>
      <c r="BH101" s="41">
        <f>IFERROR(VLOOKUP($A101,FoodRev[],6,0),0)</f>
        <v>0</v>
      </c>
      <c r="BI101" s="41">
        <f>IFERROR(VLOOKUP($A101,FoodRev[],7,0),0)</f>
        <v>0</v>
      </c>
      <c r="BJ101" s="41">
        <f>IFERROR(VLOOKUP($A101,FoodRev[],8,0),0)</f>
        <v>69627.600000000006</v>
      </c>
      <c r="BK101" s="41">
        <f>IFERROR(VLOOKUP($A101,FoodRev[],9,0),0)</f>
        <v>0</v>
      </c>
      <c r="BL101" s="41">
        <f>IFERROR(VLOOKUP($A101,FoodRev[],10,0),0)</f>
        <v>0</v>
      </c>
      <c r="BM101" s="41">
        <f t="shared" si="28"/>
        <v>2085526.27</v>
      </c>
      <c r="BN101" s="42">
        <f t="shared" si="24"/>
        <v>97978.569999999978</v>
      </c>
      <c r="BO101" s="78">
        <f t="shared" si="25"/>
        <v>97978.569999999978</v>
      </c>
      <c r="BP101" s="78">
        <f t="shared" si="26"/>
        <v>0</v>
      </c>
    </row>
    <row r="102" spans="1:68" x14ac:dyDescent="0.25">
      <c r="A102" s="40" t="s">
        <v>32</v>
      </c>
      <c r="B102" s="40" t="s">
        <v>797</v>
      </c>
      <c r="D102" s="203">
        <f t="shared" si="22"/>
        <v>0</v>
      </c>
      <c r="E102" s="41">
        <f>IFERROR(VLOOKUP(A102,Items[],5,0),0)</f>
        <v>364224907.42000002</v>
      </c>
      <c r="F102" s="42">
        <f t="shared" si="23"/>
        <v>364224907.42000002</v>
      </c>
      <c r="G102" s="41">
        <v>0</v>
      </c>
      <c r="H102" s="41">
        <f>IFERROR(VLOOKUP(A102,Items[],4,0),0)</f>
        <v>400293006.5</v>
      </c>
      <c r="I102" s="41">
        <f>IFERROR(VLOOKUP(A102,Community[],4,0),0)</f>
        <v>0</v>
      </c>
      <c r="J102" s="41">
        <f>IFERROR(VLOOKUP(A102,Community[],5,0),0)</f>
        <v>0</v>
      </c>
      <c r="K102" s="41">
        <f>IFERROR(VLOOKUP(A102,Community[],6,0),0)</f>
        <v>3453297.1899999995</v>
      </c>
      <c r="L102" s="41">
        <f>IFERROR(VLOOKUP(A102,Community[],7,0),0)</f>
        <v>1357762.61</v>
      </c>
      <c r="M102" s="41">
        <f>IFERROR(VLOOKUP(A102,Debt[],3,0),0)</f>
        <v>0</v>
      </c>
      <c r="N102" s="41">
        <f>IFERROR(VLOOKUP(A102,Debt[],4,0),0)</f>
        <v>0</v>
      </c>
      <c r="O102" s="41">
        <f>IFERROR(VLOOKUP(A102,Debt[],5,0),0)</f>
        <v>100</v>
      </c>
      <c r="P102" s="41">
        <f>IFERROR(VLOOKUP(A102,Items[],3,0),0)</f>
        <v>1831178.11</v>
      </c>
      <c r="Q102" s="41">
        <f>IFERROR(VLOOKUP($A102,Federal[],2,0),0)</f>
        <v>22984.959999999999</v>
      </c>
      <c r="R102" s="41">
        <f>IFERROR(VLOOKUP($A102,Federal[],4,0),0)</f>
        <v>28726835.629999999</v>
      </c>
      <c r="S102" s="41"/>
      <c r="T102" s="47">
        <f>IFERROR(VLOOKUP($A102,Program[],3,0),0)</f>
        <v>0</v>
      </c>
      <c r="U102" s="47"/>
      <c r="V102" s="41">
        <f>IFERROR(VLOOKUP($A102,Program[],4,0),0)</f>
        <v>0</v>
      </c>
      <c r="W102" s="41">
        <f>IFERROR(VLOOKUP($A102,Program[],5,0),0)</f>
        <v>0</v>
      </c>
      <c r="X102" s="41"/>
      <c r="Y102" s="41"/>
      <c r="Z102" s="41"/>
      <c r="AA102" s="41">
        <f>IFERROR(VLOOKUP($A102,Program[],6,0),0)</f>
        <v>0</v>
      </c>
      <c r="AB102" s="41"/>
      <c r="AC102" s="41"/>
      <c r="AD102" s="41">
        <f>IFERROR(VLOOKUP($A102,Program[],7,0),0)</f>
        <v>0</v>
      </c>
      <c r="AE102" s="41">
        <f>IFERROR(VLOOKUP($A102,Program[],8,0),0)</f>
        <v>0</v>
      </c>
      <c r="AF102" s="41">
        <f>IFERROR(VLOOKUP($A102,Program[],9,0),0)</f>
        <v>0</v>
      </c>
      <c r="AG102" s="41">
        <f>IFERROR(VLOOKUP($A102,Program[],10,0),0)</f>
        <v>0</v>
      </c>
      <c r="AH102" s="41">
        <f>IFERROR(VLOOKUP($A102,Program[],11,0),0)</f>
        <v>0</v>
      </c>
      <c r="AI102" s="41">
        <f>IFERROR(VLOOKUP($A102,Program[],12,0),0)</f>
        <v>0</v>
      </c>
      <c r="AJ102" s="41"/>
      <c r="AK102" s="41">
        <f>IFERROR(VLOOKUP($A102,Program[],13,0),0)</f>
        <v>0</v>
      </c>
      <c r="AL102" s="41"/>
      <c r="AM102" s="41"/>
      <c r="AN102" s="41"/>
      <c r="AO102" s="41"/>
      <c r="AP102" s="41"/>
      <c r="AQ102" s="41"/>
      <c r="AR102" s="41"/>
      <c r="AS102" s="41">
        <f>IFERROR(VLOOKUP($A102,Program[],14,0),0)</f>
        <v>0</v>
      </c>
      <c r="AT102" s="41"/>
      <c r="AU102" s="41"/>
      <c r="AV102" s="41">
        <f>IFERROR(VLOOKUP($A102,Program[],15,0),0)</f>
        <v>0</v>
      </c>
      <c r="AW102" s="41"/>
      <c r="AX102" s="41">
        <f>IFERROR(VLOOKUP($A102,Program[],16,0),0)</f>
        <v>0</v>
      </c>
      <c r="AY102" s="41">
        <f>IFERROR(VLOOKUP($A102,Program[],17,0),0)</f>
        <v>0</v>
      </c>
      <c r="AZ102" s="41">
        <f>IFERROR(VLOOKUP($A102,Program[],18,0),0)</f>
        <v>13194.25</v>
      </c>
      <c r="BA102" s="41">
        <f>IFERROR(VLOOKUP($A102,Program[],19,0),0)</f>
        <v>40275</v>
      </c>
      <c r="BB102" s="77">
        <f t="shared" si="27"/>
        <v>0</v>
      </c>
      <c r="BC102" s="41">
        <f>IFERROR(VLOOKUP(A102,Food[],3,0),0)</f>
        <v>10559579.640000002</v>
      </c>
      <c r="BD102" s="41">
        <f>IFERROR(VLOOKUP($A102,FoodRev[],2,0),0)</f>
        <v>13002.03</v>
      </c>
      <c r="BE102" s="41">
        <f>IFERROR(VLOOKUP($A102,FoodRev[],3,0),0)</f>
        <v>1625280.58</v>
      </c>
      <c r="BF102" s="41">
        <f>IFERROR(VLOOKUP($A102,FoodRev[],4,0),0)</f>
        <v>0</v>
      </c>
      <c r="BG102" s="41">
        <f>IFERROR(VLOOKUP($A102,FoodRev[],5,0),0)</f>
        <v>9015642.0399999991</v>
      </c>
      <c r="BH102" s="41">
        <f>IFERROR(VLOOKUP($A102,FoodRev[],6,0),0)</f>
        <v>0</v>
      </c>
      <c r="BI102" s="41">
        <f>IFERROR(VLOOKUP($A102,FoodRev[],7,0),0)</f>
        <v>0</v>
      </c>
      <c r="BJ102" s="41">
        <f>IFERROR(VLOOKUP($A102,FoodRev[],8,0),0)</f>
        <v>814527.77</v>
      </c>
      <c r="BK102" s="41">
        <f>IFERROR(VLOOKUP($A102,FoodRev[],9,0),0)</f>
        <v>0</v>
      </c>
      <c r="BL102" s="41">
        <f>IFERROR(VLOOKUP($A102,FoodRev[],10,0),0)</f>
        <v>0</v>
      </c>
      <c r="BM102" s="41">
        <f t="shared" si="28"/>
        <v>11468452.419999998</v>
      </c>
      <c r="BN102" s="42">
        <f t="shared" si="24"/>
        <v>-908872.77999999607</v>
      </c>
      <c r="BO102" s="78">
        <f t="shared" si="25"/>
        <v>0</v>
      </c>
      <c r="BP102" s="78">
        <f t="shared" si="26"/>
        <v>-908872.77999999607</v>
      </c>
    </row>
    <row r="103" spans="1:68" x14ac:dyDescent="0.25">
      <c r="A103" s="40" t="s">
        <v>242</v>
      </c>
      <c r="B103" s="40" t="s">
        <v>798</v>
      </c>
      <c r="D103" s="203">
        <f t="shared" si="22"/>
        <v>0</v>
      </c>
      <c r="E103" s="41">
        <f>IFERROR(VLOOKUP(A103,Items[],5,0),0)</f>
        <v>26047119.670000002</v>
      </c>
      <c r="F103" s="42">
        <f t="shared" si="23"/>
        <v>26047119.670000002</v>
      </c>
      <c r="G103" s="41">
        <v>0</v>
      </c>
      <c r="H103" s="41">
        <f>IFERROR(VLOOKUP(A103,Items[],4,0),0)</f>
        <v>27815032.120000001</v>
      </c>
      <c r="I103" s="41">
        <f>IFERROR(VLOOKUP(A103,Community[],4,0),0)</f>
        <v>0</v>
      </c>
      <c r="J103" s="41">
        <f>IFERROR(VLOOKUP(A103,Community[],5,0),0)</f>
        <v>0</v>
      </c>
      <c r="K103" s="41">
        <f>IFERROR(VLOOKUP(A103,Community[],6,0),0)</f>
        <v>252548.63</v>
      </c>
      <c r="L103" s="41">
        <f>IFERROR(VLOOKUP(A103,Community[],7,0),0)</f>
        <v>0</v>
      </c>
      <c r="M103" s="41">
        <f>IFERROR(VLOOKUP(A103,Debt[],3,0),0)</f>
        <v>0</v>
      </c>
      <c r="N103" s="41">
        <f>IFERROR(VLOOKUP(A103,Debt[],4,0),0)</f>
        <v>0</v>
      </c>
      <c r="O103" s="41">
        <f>IFERROR(VLOOKUP(A103,Debt[],5,0),0)</f>
        <v>0</v>
      </c>
      <c r="P103" s="41">
        <f>IFERROR(VLOOKUP(A103,Items[],3,0),0)</f>
        <v>8080.33</v>
      </c>
      <c r="Q103" s="41">
        <f>IFERROR(VLOOKUP($A103,Federal[],2,0),0)</f>
        <v>1911.23</v>
      </c>
      <c r="R103" s="41">
        <f>IFERROR(VLOOKUP($A103,Federal[],4,0),0)</f>
        <v>972446.89</v>
      </c>
      <c r="S103" s="41"/>
      <c r="T103" s="47">
        <f>IFERROR(VLOOKUP($A103,Program[],3,0),0)</f>
        <v>0</v>
      </c>
      <c r="U103" s="47"/>
      <c r="V103" s="41">
        <f>IFERROR(VLOOKUP($A103,Program[],4,0),0)</f>
        <v>0</v>
      </c>
      <c r="W103" s="41">
        <f>IFERROR(VLOOKUP($A103,Program[],5,0),0)</f>
        <v>0</v>
      </c>
      <c r="X103" s="41"/>
      <c r="Y103" s="41"/>
      <c r="Z103" s="41"/>
      <c r="AA103" s="41">
        <f>IFERROR(VLOOKUP($A103,Program[],6,0),0)</f>
        <v>0</v>
      </c>
      <c r="AB103" s="41"/>
      <c r="AC103" s="41"/>
      <c r="AD103" s="41">
        <f>IFERROR(VLOOKUP($A103,Program[],7,0),0)</f>
        <v>0</v>
      </c>
      <c r="AE103" s="41">
        <f>IFERROR(VLOOKUP($A103,Program[],8,0),0)</f>
        <v>0</v>
      </c>
      <c r="AF103" s="41">
        <f>IFERROR(VLOOKUP($A103,Program[],9,0),0)</f>
        <v>0</v>
      </c>
      <c r="AG103" s="41">
        <f>IFERROR(VLOOKUP($A103,Program[],10,0),0)</f>
        <v>0</v>
      </c>
      <c r="AH103" s="41">
        <f>IFERROR(VLOOKUP($A103,Program[],11,0),0)</f>
        <v>0</v>
      </c>
      <c r="AI103" s="41">
        <f>IFERROR(VLOOKUP($A103,Program[],12,0),0)</f>
        <v>0</v>
      </c>
      <c r="AJ103" s="41"/>
      <c r="AK103" s="41">
        <f>IFERROR(VLOOKUP($A103,Program[],13,0),0)</f>
        <v>0</v>
      </c>
      <c r="AL103" s="41"/>
      <c r="AM103" s="41"/>
      <c r="AN103" s="41"/>
      <c r="AO103" s="41"/>
      <c r="AP103" s="41"/>
      <c r="AQ103" s="41"/>
      <c r="AR103" s="41"/>
      <c r="AS103" s="41">
        <f>IFERROR(VLOOKUP($A103,Program[],14,0),0)</f>
        <v>0</v>
      </c>
      <c r="AT103" s="41"/>
      <c r="AU103" s="41"/>
      <c r="AV103" s="41">
        <f>IFERROR(VLOOKUP($A103,Program[],15,0),0)</f>
        <v>0</v>
      </c>
      <c r="AW103" s="41"/>
      <c r="AX103" s="41">
        <f>IFERROR(VLOOKUP($A103,Program[],16,0),0)</f>
        <v>0</v>
      </c>
      <c r="AY103" s="41">
        <f>IFERROR(VLOOKUP($A103,Program[],17,0),0)</f>
        <v>0</v>
      </c>
      <c r="AZ103" s="41">
        <f>IFERROR(VLOOKUP($A103,Program[],18,0),0)</f>
        <v>0</v>
      </c>
      <c r="BA103" s="41">
        <f>IFERROR(VLOOKUP($A103,Program[],19,0),0)</f>
        <v>0</v>
      </c>
      <c r="BB103" s="77">
        <f t="shared" si="27"/>
        <v>34006.459999999897</v>
      </c>
      <c r="BC103" s="41">
        <f>IFERROR(VLOOKUP(A103,Food[],3,0),0)</f>
        <v>830461.75999999989</v>
      </c>
      <c r="BD103" s="41">
        <f>IFERROR(VLOOKUP($A103,FoodRev[],2,0),0)</f>
        <v>365195.58</v>
      </c>
      <c r="BE103" s="41">
        <f>IFERROR(VLOOKUP($A103,FoodRev[],3,0),0)</f>
        <v>167729.79</v>
      </c>
      <c r="BF103" s="41">
        <f>IFERROR(VLOOKUP($A103,FoodRev[],4,0),0)</f>
        <v>0</v>
      </c>
      <c r="BG103" s="41">
        <f>IFERROR(VLOOKUP($A103,FoodRev[],5,0),0)</f>
        <v>210892.53</v>
      </c>
      <c r="BH103" s="41">
        <f>IFERROR(VLOOKUP($A103,FoodRev[],6,0),0)</f>
        <v>0</v>
      </c>
      <c r="BI103" s="41">
        <f>IFERROR(VLOOKUP($A103,FoodRev[],7,0),0)</f>
        <v>0</v>
      </c>
      <c r="BJ103" s="41">
        <f>IFERROR(VLOOKUP($A103,FoodRev[],8,0),0)</f>
        <v>52637.4</v>
      </c>
      <c r="BK103" s="41">
        <f>IFERROR(VLOOKUP($A103,FoodRev[],9,0),0)</f>
        <v>0</v>
      </c>
      <c r="BL103" s="41">
        <f>IFERROR(VLOOKUP($A103,FoodRev[],10,0),0)</f>
        <v>0</v>
      </c>
      <c r="BM103" s="41">
        <f t="shared" si="28"/>
        <v>796455.3</v>
      </c>
      <c r="BN103" s="42">
        <f t="shared" si="24"/>
        <v>34006.459999999897</v>
      </c>
      <c r="BO103" s="78">
        <f t="shared" si="25"/>
        <v>34006.459999999897</v>
      </c>
      <c r="BP103" s="78">
        <f t="shared" si="26"/>
        <v>0</v>
      </c>
    </row>
    <row r="104" spans="1:68" x14ac:dyDescent="0.25">
      <c r="A104" s="40" t="s">
        <v>44</v>
      </c>
      <c r="B104" s="40" t="s">
        <v>799</v>
      </c>
      <c r="D104" s="203">
        <f t="shared" si="22"/>
        <v>0</v>
      </c>
      <c r="E104" s="41">
        <f>IFERROR(VLOOKUP(A104,Items[],5,0),0)</f>
        <v>283629549.18000001</v>
      </c>
      <c r="F104" s="42">
        <f t="shared" si="23"/>
        <v>283629549.18000001</v>
      </c>
      <c r="G104" s="41">
        <v>0</v>
      </c>
      <c r="H104" s="41">
        <f>IFERROR(VLOOKUP(A104,Items[],4,0),0)</f>
        <v>308925632.54000002</v>
      </c>
      <c r="I104" s="41">
        <f>IFERROR(VLOOKUP(A104,Community[],4,0),0)</f>
        <v>0</v>
      </c>
      <c r="J104" s="41">
        <f>IFERROR(VLOOKUP(A104,Community[],5,0),0)</f>
        <v>0</v>
      </c>
      <c r="K104" s="41">
        <f>IFERROR(VLOOKUP(A104,Community[],6,0),0)</f>
        <v>1573142.99</v>
      </c>
      <c r="L104" s="41">
        <f>IFERROR(VLOOKUP(A104,Community[],7,0),0)</f>
        <v>1732710.02</v>
      </c>
      <c r="M104" s="41">
        <f>IFERROR(VLOOKUP(A104,Debt[],3,0),0)</f>
        <v>294330.03999999998</v>
      </c>
      <c r="N104" s="41">
        <f>IFERROR(VLOOKUP(A104,Debt[],4,0),0)</f>
        <v>364292.62</v>
      </c>
      <c r="O104" s="41">
        <f>IFERROR(VLOOKUP(A104,Debt[],5,0),0)</f>
        <v>0</v>
      </c>
      <c r="P104" s="41">
        <f>IFERROR(VLOOKUP(A104,Items[],3,0),0)</f>
        <v>326212.02</v>
      </c>
      <c r="Q104" s="41">
        <f>IFERROR(VLOOKUP($A104,Federal[],2,0),0)</f>
        <v>18987.77</v>
      </c>
      <c r="R104" s="41">
        <f>IFERROR(VLOOKUP($A104,Federal[],4,0),0)</f>
        <v>18580434.640000001</v>
      </c>
      <c r="S104" s="41"/>
      <c r="T104" s="47">
        <f>IFERROR(VLOOKUP($A104,Program[],3,0),0)</f>
        <v>0</v>
      </c>
      <c r="U104" s="47"/>
      <c r="V104" s="41">
        <f>IFERROR(VLOOKUP($A104,Program[],4,0),0)</f>
        <v>0</v>
      </c>
      <c r="W104" s="41">
        <f>IFERROR(VLOOKUP($A104,Program[],5,0),0)</f>
        <v>0</v>
      </c>
      <c r="X104" s="41"/>
      <c r="Y104" s="41"/>
      <c r="Z104" s="41"/>
      <c r="AA104" s="41">
        <f>IFERROR(VLOOKUP($A104,Program[],6,0),0)</f>
        <v>0</v>
      </c>
      <c r="AB104" s="41"/>
      <c r="AC104" s="41"/>
      <c r="AD104" s="41">
        <f>IFERROR(VLOOKUP($A104,Program[],7,0),0)</f>
        <v>0</v>
      </c>
      <c r="AE104" s="41">
        <f>IFERROR(VLOOKUP($A104,Program[],8,0),0)</f>
        <v>0</v>
      </c>
      <c r="AF104" s="41">
        <f>IFERROR(VLOOKUP($A104,Program[],9,0),0)</f>
        <v>0</v>
      </c>
      <c r="AG104" s="41">
        <f>IFERROR(VLOOKUP($A104,Program[],10,0),0)</f>
        <v>0</v>
      </c>
      <c r="AH104" s="41">
        <f>IFERROR(VLOOKUP($A104,Program[],11,0),0)</f>
        <v>0</v>
      </c>
      <c r="AI104" s="41">
        <f>IFERROR(VLOOKUP($A104,Program[],12,0),0)</f>
        <v>0</v>
      </c>
      <c r="AJ104" s="41"/>
      <c r="AK104" s="41">
        <f>IFERROR(VLOOKUP($A104,Program[],13,0),0)</f>
        <v>0</v>
      </c>
      <c r="AL104" s="41"/>
      <c r="AM104" s="41"/>
      <c r="AN104" s="41"/>
      <c r="AO104" s="41"/>
      <c r="AP104" s="41"/>
      <c r="AQ104" s="41"/>
      <c r="AR104" s="41"/>
      <c r="AS104" s="41">
        <f>IFERROR(VLOOKUP($A104,Program[],14,0),0)</f>
        <v>0</v>
      </c>
      <c r="AT104" s="41"/>
      <c r="AU104" s="41"/>
      <c r="AV104" s="41">
        <f>IFERROR(VLOOKUP($A104,Program[],15,0),0)</f>
        <v>0</v>
      </c>
      <c r="AW104" s="41"/>
      <c r="AX104" s="41">
        <f>IFERROR(VLOOKUP($A104,Program[],16,0),0)</f>
        <v>0</v>
      </c>
      <c r="AY104" s="41">
        <f>IFERROR(VLOOKUP($A104,Program[],17,0),0)</f>
        <v>0</v>
      </c>
      <c r="AZ104" s="41">
        <f>IFERROR(VLOOKUP($A104,Program[],18,0),0)</f>
        <v>0</v>
      </c>
      <c r="BA104" s="41">
        <f>IFERROR(VLOOKUP($A104,Program[],19,0),0)</f>
        <v>0</v>
      </c>
      <c r="BB104" s="77">
        <f t="shared" si="27"/>
        <v>225868.57000000007</v>
      </c>
      <c r="BC104" s="41">
        <f>IFERROR(VLOOKUP(A104,Food[],3,0),0)</f>
        <v>8522785.4199999999</v>
      </c>
      <c r="BD104" s="41">
        <f>IFERROR(VLOOKUP($A104,FoodRev[],2,0),0)</f>
        <v>176344.39</v>
      </c>
      <c r="BE104" s="41">
        <f>IFERROR(VLOOKUP($A104,FoodRev[],3,0),0)</f>
        <v>2229628.87</v>
      </c>
      <c r="BF104" s="41">
        <f>IFERROR(VLOOKUP($A104,FoodRev[],4,0),0)</f>
        <v>0</v>
      </c>
      <c r="BG104" s="41">
        <f>IFERROR(VLOOKUP($A104,FoodRev[],5,0),0)</f>
        <v>5156327.58</v>
      </c>
      <c r="BH104" s="41">
        <f>IFERROR(VLOOKUP($A104,FoodRev[],6,0),0)</f>
        <v>0</v>
      </c>
      <c r="BI104" s="41">
        <f>IFERROR(VLOOKUP($A104,FoodRev[],7,0),0)</f>
        <v>0</v>
      </c>
      <c r="BJ104" s="41">
        <f>IFERROR(VLOOKUP($A104,FoodRev[],8,0),0)</f>
        <v>734616.01</v>
      </c>
      <c r="BK104" s="41">
        <f>IFERROR(VLOOKUP($A104,FoodRev[],9,0),0)</f>
        <v>0</v>
      </c>
      <c r="BL104" s="41">
        <f>IFERROR(VLOOKUP($A104,FoodRev[],10,0),0)</f>
        <v>0</v>
      </c>
      <c r="BM104" s="41">
        <f t="shared" si="28"/>
        <v>8296916.8499999996</v>
      </c>
      <c r="BN104" s="42">
        <f t="shared" ref="BN104:BN122" si="29">BC104-BD104-BE104-BF104-BG104-BH104-BI104-BJ104-BK104-BL104</f>
        <v>225868.57000000007</v>
      </c>
      <c r="BO104" s="78">
        <f t="shared" ref="BO104:BO122" si="30">IF(BN104&lt;0,0,BN104)</f>
        <v>225868.57000000007</v>
      </c>
      <c r="BP104" s="78">
        <f t="shared" ref="BP104:BP122" si="31">IF(BN104&lt;0,BN104,0)</f>
        <v>0</v>
      </c>
    </row>
    <row r="105" spans="1:68" x14ac:dyDescent="0.25">
      <c r="A105" s="40" t="s">
        <v>568</v>
      </c>
      <c r="B105" s="40" t="s">
        <v>800</v>
      </c>
      <c r="D105" s="203">
        <f t="shared" si="22"/>
        <v>0</v>
      </c>
      <c r="E105" s="41">
        <f>IFERROR(VLOOKUP(A105,Items[],5,0),0)</f>
        <v>2742893.55</v>
      </c>
      <c r="F105" s="42">
        <f t="shared" si="23"/>
        <v>2742893.55</v>
      </c>
      <c r="G105" s="41">
        <v>0</v>
      </c>
      <c r="H105" s="41">
        <f>IFERROR(VLOOKUP(A105,Items[],4,0),0)</f>
        <v>2933033.59</v>
      </c>
      <c r="I105" s="41">
        <f>IFERROR(VLOOKUP(A105,Community[],4,0),0)</f>
        <v>0</v>
      </c>
      <c r="J105" s="41">
        <f>IFERROR(VLOOKUP(A105,Community[],5,0),0)</f>
        <v>0</v>
      </c>
      <c r="K105" s="41">
        <f>IFERROR(VLOOKUP(A105,Community[],6,0),0)</f>
        <v>109546.62</v>
      </c>
      <c r="L105" s="41">
        <f>IFERROR(VLOOKUP(A105,Community[],7,0),0)</f>
        <v>40366.36</v>
      </c>
      <c r="M105" s="41">
        <f>IFERROR(VLOOKUP(A105,Debt[],3,0),0)</f>
        <v>0</v>
      </c>
      <c r="N105" s="41">
        <f>IFERROR(VLOOKUP(A105,Debt[],4,0),0)</f>
        <v>0</v>
      </c>
      <c r="O105" s="41">
        <f>IFERROR(VLOOKUP(A105,Debt[],5,0),0)</f>
        <v>0</v>
      </c>
      <c r="P105" s="41">
        <f>IFERROR(VLOOKUP(A105,Items[],3,0),0)</f>
        <v>0</v>
      </c>
      <c r="Q105" s="41">
        <f>IFERROR(VLOOKUP($A105,Federal[],2,0),0)</f>
        <v>65.58</v>
      </c>
      <c r="R105" s="41">
        <f>IFERROR(VLOOKUP($A105,Federal[],4,0),0)</f>
        <v>31121.78</v>
      </c>
      <c r="S105" s="41"/>
      <c r="T105" s="47">
        <f>IFERROR(VLOOKUP($A105,Program[],3,0),0)</f>
        <v>0</v>
      </c>
      <c r="U105" s="47"/>
      <c r="V105" s="41">
        <f>IFERROR(VLOOKUP($A105,Program[],4,0),0)</f>
        <v>0</v>
      </c>
      <c r="W105" s="41">
        <f>IFERROR(VLOOKUP($A105,Program[],5,0),0)</f>
        <v>0</v>
      </c>
      <c r="X105" s="41"/>
      <c r="Y105" s="41"/>
      <c r="Z105" s="41"/>
      <c r="AA105" s="41">
        <f>IFERROR(VLOOKUP($A105,Program[],6,0),0)</f>
        <v>0</v>
      </c>
      <c r="AB105" s="41"/>
      <c r="AC105" s="41"/>
      <c r="AD105" s="41">
        <f>IFERROR(VLOOKUP($A105,Program[],7,0),0)</f>
        <v>0</v>
      </c>
      <c r="AE105" s="41">
        <f>IFERROR(VLOOKUP($A105,Program[],8,0),0)</f>
        <v>0</v>
      </c>
      <c r="AF105" s="41">
        <f>IFERROR(VLOOKUP($A105,Program[],9,0),0)</f>
        <v>0</v>
      </c>
      <c r="AG105" s="41">
        <f>IFERROR(VLOOKUP($A105,Program[],10,0),0)</f>
        <v>0</v>
      </c>
      <c r="AH105" s="41">
        <f>IFERROR(VLOOKUP($A105,Program[],11,0),0)</f>
        <v>0</v>
      </c>
      <c r="AI105" s="41">
        <f>IFERROR(VLOOKUP($A105,Program[],12,0),0)</f>
        <v>0</v>
      </c>
      <c r="AJ105" s="41"/>
      <c r="AK105" s="41">
        <f>IFERROR(VLOOKUP($A105,Program[],13,0),0)</f>
        <v>0</v>
      </c>
      <c r="AL105" s="41"/>
      <c r="AM105" s="41"/>
      <c r="AN105" s="41"/>
      <c r="AO105" s="41"/>
      <c r="AP105" s="41"/>
      <c r="AQ105" s="41"/>
      <c r="AR105" s="41"/>
      <c r="AS105" s="41">
        <f>IFERROR(VLOOKUP($A105,Program[],14,0),0)</f>
        <v>0</v>
      </c>
      <c r="AT105" s="41"/>
      <c r="AU105" s="41"/>
      <c r="AV105" s="41">
        <f>IFERROR(VLOOKUP($A105,Program[],15,0),0)</f>
        <v>0</v>
      </c>
      <c r="AW105" s="41"/>
      <c r="AX105" s="41">
        <f>IFERROR(VLOOKUP($A105,Program[],16,0),0)</f>
        <v>0</v>
      </c>
      <c r="AY105" s="41">
        <f>IFERROR(VLOOKUP($A105,Program[],17,0),0)</f>
        <v>0</v>
      </c>
      <c r="AZ105" s="41">
        <f>IFERROR(VLOOKUP($A105,Program[],18,0),0)</f>
        <v>0</v>
      </c>
      <c r="BA105" s="41">
        <f>IFERROR(VLOOKUP($A105,Program[],19,0),0)</f>
        <v>0</v>
      </c>
      <c r="BB105" s="77">
        <f t="shared" si="27"/>
        <v>69938.23000000001</v>
      </c>
      <c r="BC105" s="41">
        <f>IFERROR(VLOOKUP(A105,Food[],3,0),0)</f>
        <v>110099.71</v>
      </c>
      <c r="BD105" s="41">
        <f>IFERROR(VLOOKUP($A105,FoodRev[],2,0),0)</f>
        <v>0</v>
      </c>
      <c r="BE105" s="41">
        <f>IFERROR(VLOOKUP($A105,FoodRev[],3,0),0)</f>
        <v>9039.7000000000007</v>
      </c>
      <c r="BF105" s="41">
        <f>IFERROR(VLOOKUP($A105,FoodRev[],4,0),0)</f>
        <v>0</v>
      </c>
      <c r="BG105" s="41">
        <f>IFERROR(VLOOKUP($A105,FoodRev[],5,0),0)</f>
        <v>31121.78</v>
      </c>
      <c r="BH105" s="41">
        <f>IFERROR(VLOOKUP($A105,FoodRev[],6,0),0)</f>
        <v>0</v>
      </c>
      <c r="BI105" s="41">
        <f>IFERROR(VLOOKUP($A105,FoodRev[],7,0),0)</f>
        <v>0</v>
      </c>
      <c r="BJ105" s="41">
        <f>IFERROR(VLOOKUP($A105,FoodRev[],8,0),0)</f>
        <v>0</v>
      </c>
      <c r="BK105" s="41">
        <f>IFERROR(VLOOKUP($A105,FoodRev[],9,0),0)</f>
        <v>0</v>
      </c>
      <c r="BL105" s="41">
        <f>IFERROR(VLOOKUP($A105,FoodRev[],10,0),0)</f>
        <v>0</v>
      </c>
      <c r="BM105" s="41">
        <f t="shared" si="28"/>
        <v>40161.479999999996</v>
      </c>
      <c r="BN105" s="42">
        <f t="shared" si="29"/>
        <v>69938.23000000001</v>
      </c>
      <c r="BO105" s="78">
        <f t="shared" si="30"/>
        <v>69938.23000000001</v>
      </c>
      <c r="BP105" s="78">
        <f t="shared" si="31"/>
        <v>0</v>
      </c>
    </row>
    <row r="106" spans="1:68" x14ac:dyDescent="0.25">
      <c r="A106" s="40" t="s">
        <v>28</v>
      </c>
      <c r="B106" s="40" t="s">
        <v>801</v>
      </c>
      <c r="D106" s="203">
        <f t="shared" si="22"/>
        <v>0</v>
      </c>
      <c r="E106" s="41">
        <f>IFERROR(VLOOKUP(A106,Items[],5,0),0)</f>
        <v>395905643.86000001</v>
      </c>
      <c r="F106" s="42">
        <f t="shared" si="23"/>
        <v>395905643.86000001</v>
      </c>
      <c r="G106" s="41">
        <v>0</v>
      </c>
      <c r="H106" s="41">
        <f>IFERROR(VLOOKUP(A106,Items[],4,0),0)</f>
        <v>426193674.17000002</v>
      </c>
      <c r="I106" s="41">
        <f>IFERROR(VLOOKUP(A106,Community[],4,0),0)</f>
        <v>0</v>
      </c>
      <c r="J106" s="41">
        <f>IFERROR(VLOOKUP(A106,Community[],5,0),0)</f>
        <v>0</v>
      </c>
      <c r="K106" s="41">
        <f>IFERROR(VLOOKUP(A106,Community[],6,0),0)</f>
        <v>8310432.2700000005</v>
      </c>
      <c r="L106" s="41">
        <f>IFERROR(VLOOKUP(A106,Community[],7,0),0)</f>
        <v>1804756.6799999997</v>
      </c>
      <c r="M106" s="41">
        <f>IFERROR(VLOOKUP(A106,Debt[],3,0),0)</f>
        <v>53811.75</v>
      </c>
      <c r="N106" s="41">
        <f>IFERROR(VLOOKUP(A106,Debt[],4,0),0)</f>
        <v>448427.86</v>
      </c>
      <c r="O106" s="41">
        <f>IFERROR(VLOOKUP(A106,Debt[],5,0),0)</f>
        <v>0</v>
      </c>
      <c r="P106" s="41">
        <f>IFERROR(VLOOKUP(A106,Items[],3,0),0)</f>
        <v>2448602.89</v>
      </c>
      <c r="Q106" s="41">
        <f>IFERROR(VLOOKUP($A106,Federal[],2,0),0)</f>
        <v>25741.34</v>
      </c>
      <c r="R106" s="41">
        <f>IFERROR(VLOOKUP($A106,Federal[],4,0),0)</f>
        <v>13200420.99</v>
      </c>
      <c r="S106" s="41"/>
      <c r="T106" s="47">
        <f>IFERROR(VLOOKUP($A106,Program[],3,0),0)</f>
        <v>0</v>
      </c>
      <c r="U106" s="47"/>
      <c r="V106" s="41">
        <f>IFERROR(VLOOKUP($A106,Program[],4,0),0)</f>
        <v>0</v>
      </c>
      <c r="W106" s="41">
        <f>IFERROR(VLOOKUP($A106,Program[],5,0),0)</f>
        <v>0</v>
      </c>
      <c r="X106" s="41"/>
      <c r="Y106" s="41"/>
      <c r="Z106" s="41"/>
      <c r="AA106" s="41">
        <f>IFERROR(VLOOKUP($A106,Program[],6,0),0)</f>
        <v>0</v>
      </c>
      <c r="AB106" s="41"/>
      <c r="AC106" s="41"/>
      <c r="AD106" s="41">
        <f>IFERROR(VLOOKUP($A106,Program[],7,0),0)</f>
        <v>0</v>
      </c>
      <c r="AE106" s="41">
        <f>IFERROR(VLOOKUP($A106,Program[],8,0),0)</f>
        <v>0</v>
      </c>
      <c r="AF106" s="41">
        <f>IFERROR(VLOOKUP($A106,Program[],9,0),0)</f>
        <v>0</v>
      </c>
      <c r="AG106" s="41">
        <f>IFERROR(VLOOKUP($A106,Program[],10,0),0)</f>
        <v>0</v>
      </c>
      <c r="AH106" s="41">
        <f>IFERROR(VLOOKUP($A106,Program[],11,0),0)</f>
        <v>0</v>
      </c>
      <c r="AI106" s="41">
        <f>IFERROR(VLOOKUP($A106,Program[],12,0),0)</f>
        <v>0</v>
      </c>
      <c r="AJ106" s="41"/>
      <c r="AK106" s="41">
        <f>IFERROR(VLOOKUP($A106,Program[],13,0),0)</f>
        <v>0</v>
      </c>
      <c r="AL106" s="41"/>
      <c r="AM106" s="41"/>
      <c r="AN106" s="41"/>
      <c r="AO106" s="41"/>
      <c r="AP106" s="41"/>
      <c r="AQ106" s="41"/>
      <c r="AR106" s="41"/>
      <c r="AS106" s="41">
        <f>IFERROR(VLOOKUP($A106,Program[],14,0),0)</f>
        <v>0</v>
      </c>
      <c r="AT106" s="41"/>
      <c r="AU106" s="41"/>
      <c r="AV106" s="41">
        <f>IFERROR(VLOOKUP($A106,Program[],15,0),0)</f>
        <v>0</v>
      </c>
      <c r="AW106" s="41"/>
      <c r="AX106" s="41">
        <f>IFERROR(VLOOKUP($A106,Program[],16,0),0)</f>
        <v>0</v>
      </c>
      <c r="AY106" s="41">
        <f>IFERROR(VLOOKUP($A106,Program[],17,0),0)</f>
        <v>0</v>
      </c>
      <c r="AZ106" s="41">
        <f>IFERROR(VLOOKUP($A106,Program[],18,0),0)</f>
        <v>0</v>
      </c>
      <c r="BA106" s="41">
        <f>IFERROR(VLOOKUP($A106,Program[],19,0),0)</f>
        <v>0</v>
      </c>
      <c r="BB106" s="77">
        <f t="shared" si="27"/>
        <v>0</v>
      </c>
      <c r="BC106" s="41">
        <f>IFERROR(VLOOKUP(A106,Food[],3,0),0)</f>
        <v>8045546.1600000011</v>
      </c>
      <c r="BD106" s="41">
        <f>IFERROR(VLOOKUP($A106,FoodRev[],2,0),0)</f>
        <v>4359678.53</v>
      </c>
      <c r="BE106" s="41">
        <f>IFERROR(VLOOKUP($A106,FoodRev[],3,0),0)</f>
        <v>641184.56999999995</v>
      </c>
      <c r="BF106" s="41">
        <f>IFERROR(VLOOKUP($A106,FoodRev[],4,0),0)</f>
        <v>0</v>
      </c>
      <c r="BG106" s="41">
        <f>IFERROR(VLOOKUP($A106,FoodRev[],5,0),0)</f>
        <v>3419634.82</v>
      </c>
      <c r="BH106" s="41">
        <f>IFERROR(VLOOKUP($A106,FoodRev[],6,0),0)</f>
        <v>0</v>
      </c>
      <c r="BI106" s="41">
        <f>IFERROR(VLOOKUP($A106,FoodRev[],7,0),0)</f>
        <v>0</v>
      </c>
      <c r="BJ106" s="41">
        <f>IFERROR(VLOOKUP($A106,FoodRev[],8,0),0)</f>
        <v>630074.81000000006</v>
      </c>
      <c r="BK106" s="41">
        <f>IFERROR(VLOOKUP($A106,FoodRev[],9,0),0)</f>
        <v>0</v>
      </c>
      <c r="BL106" s="41">
        <f>IFERROR(VLOOKUP($A106,FoodRev[],10,0),0)</f>
        <v>0</v>
      </c>
      <c r="BM106" s="41">
        <f t="shared" si="28"/>
        <v>9050572.7300000004</v>
      </c>
      <c r="BN106" s="42">
        <f t="shared" si="29"/>
        <v>-1005026.5699999989</v>
      </c>
      <c r="BO106" s="78">
        <f t="shared" si="30"/>
        <v>0</v>
      </c>
      <c r="BP106" s="78">
        <f t="shared" si="31"/>
        <v>-1005026.5699999989</v>
      </c>
    </row>
    <row r="107" spans="1:68" x14ac:dyDescent="0.25">
      <c r="A107" s="40" t="s">
        <v>182</v>
      </c>
      <c r="B107" s="40" t="s">
        <v>802</v>
      </c>
      <c r="D107" s="203">
        <f t="shared" si="22"/>
        <v>7.4505805969238281E-9</v>
      </c>
      <c r="E107" s="41">
        <f>IFERROR(VLOOKUP(A107,Items[],5,0),0)</f>
        <v>50003080.289999999</v>
      </c>
      <c r="F107" s="42">
        <f t="shared" si="23"/>
        <v>50003080.289999992</v>
      </c>
      <c r="G107" s="41">
        <v>0</v>
      </c>
      <c r="H107" s="41">
        <f>IFERROR(VLOOKUP(A107,Items[],4,0),0)</f>
        <v>56424146.119999997</v>
      </c>
      <c r="I107" s="41">
        <f>IFERROR(VLOOKUP(A107,Community[],4,0),0)</f>
        <v>0</v>
      </c>
      <c r="J107" s="41">
        <f>IFERROR(VLOOKUP(A107,Community[],5,0),0)</f>
        <v>0</v>
      </c>
      <c r="K107" s="41">
        <f>IFERROR(VLOOKUP(A107,Community[],6,0),0)</f>
        <v>1586507.3199999998</v>
      </c>
      <c r="L107" s="41">
        <f>IFERROR(VLOOKUP(A107,Community[],7,0),0)</f>
        <v>319714.31</v>
      </c>
      <c r="M107" s="41">
        <f>IFERROR(VLOOKUP(A107,Debt[],3,0),0)</f>
        <v>228746.67</v>
      </c>
      <c r="N107" s="41">
        <f>IFERROR(VLOOKUP(A107,Debt[],4,0),0)</f>
        <v>71838.720000000001</v>
      </c>
      <c r="O107" s="41">
        <f>IFERROR(VLOOKUP(A107,Debt[],5,0),0)</f>
        <v>0</v>
      </c>
      <c r="P107" s="41">
        <f>IFERROR(VLOOKUP(A107,Items[],3,0),0)</f>
        <v>183024.42</v>
      </c>
      <c r="Q107" s="41">
        <f>IFERROR(VLOOKUP($A107,Federal[],2,0),0)</f>
        <v>3517.36</v>
      </c>
      <c r="R107" s="41">
        <f>IFERROR(VLOOKUP($A107,Federal[],4,0),0)</f>
        <v>4273726.54</v>
      </c>
      <c r="S107" s="41"/>
      <c r="T107" s="47">
        <f>IFERROR(VLOOKUP($A107,Program[],3,0),0)</f>
        <v>0</v>
      </c>
      <c r="U107" s="47"/>
      <c r="V107" s="41">
        <f>IFERROR(VLOOKUP($A107,Program[],4,0),0)</f>
        <v>0</v>
      </c>
      <c r="W107" s="41">
        <f>IFERROR(VLOOKUP($A107,Program[],5,0),0)</f>
        <v>0</v>
      </c>
      <c r="X107" s="41"/>
      <c r="Y107" s="41"/>
      <c r="Z107" s="41"/>
      <c r="AA107" s="41">
        <f>IFERROR(VLOOKUP($A107,Program[],6,0),0)</f>
        <v>0</v>
      </c>
      <c r="AB107" s="41"/>
      <c r="AC107" s="41"/>
      <c r="AD107" s="41">
        <f>IFERROR(VLOOKUP($A107,Program[],7,0),0)</f>
        <v>0</v>
      </c>
      <c r="AE107" s="41">
        <f>IFERROR(VLOOKUP($A107,Program[],8,0),0)</f>
        <v>0</v>
      </c>
      <c r="AF107" s="41">
        <f>IFERROR(VLOOKUP($A107,Program[],9,0),0)</f>
        <v>0</v>
      </c>
      <c r="AG107" s="41">
        <f>IFERROR(VLOOKUP($A107,Program[],10,0),0)</f>
        <v>0</v>
      </c>
      <c r="AH107" s="41">
        <f>IFERROR(VLOOKUP($A107,Program[],11,0),0)</f>
        <v>0</v>
      </c>
      <c r="AI107" s="41">
        <f>IFERROR(VLOOKUP($A107,Program[],12,0),0)</f>
        <v>0</v>
      </c>
      <c r="AJ107" s="41"/>
      <c r="AK107" s="41">
        <f>IFERROR(VLOOKUP($A107,Program[],13,0),0)</f>
        <v>0</v>
      </c>
      <c r="AL107" s="41"/>
      <c r="AM107" s="41"/>
      <c r="AN107" s="41"/>
      <c r="AO107" s="41"/>
      <c r="AP107" s="41"/>
      <c r="AQ107" s="41"/>
      <c r="AR107" s="41"/>
      <c r="AS107" s="41">
        <f>IFERROR(VLOOKUP($A107,Program[],14,0),0)</f>
        <v>0</v>
      </c>
      <c r="AT107" s="41"/>
      <c r="AU107" s="41"/>
      <c r="AV107" s="41">
        <f>IFERROR(VLOOKUP($A107,Program[],15,0),0)</f>
        <v>0</v>
      </c>
      <c r="AW107" s="41"/>
      <c r="AX107" s="41">
        <f>IFERROR(VLOOKUP($A107,Program[],16,0),0)</f>
        <v>0</v>
      </c>
      <c r="AY107" s="41">
        <f>IFERROR(VLOOKUP($A107,Program[],17,0),0)</f>
        <v>0</v>
      </c>
      <c r="AZ107" s="41">
        <f>IFERROR(VLOOKUP($A107,Program[],18,0),0)</f>
        <v>0</v>
      </c>
      <c r="BA107" s="41">
        <f>IFERROR(VLOOKUP($A107,Program[],19,0),0)</f>
        <v>0</v>
      </c>
      <c r="BB107" s="77">
        <f t="shared" si="27"/>
        <v>0</v>
      </c>
      <c r="BC107" s="41">
        <f>IFERROR(VLOOKUP(A107,Food[],3,0),0)</f>
        <v>1918901.49</v>
      </c>
      <c r="BD107" s="41">
        <f>IFERROR(VLOOKUP($A107,FoodRev[],2,0),0)</f>
        <v>3140.5</v>
      </c>
      <c r="BE107" s="41">
        <f>IFERROR(VLOOKUP($A107,FoodRev[],3,0),0)</f>
        <v>66869.509999999995</v>
      </c>
      <c r="BF107" s="41">
        <f>IFERROR(VLOOKUP($A107,FoodRev[],4,0),0)</f>
        <v>0</v>
      </c>
      <c r="BG107" s="41">
        <f>IFERROR(VLOOKUP($A107,FoodRev[],5,0),0)</f>
        <v>2109981.69</v>
      </c>
      <c r="BH107" s="41">
        <f>IFERROR(VLOOKUP($A107,FoodRev[],6,0),0)</f>
        <v>0</v>
      </c>
      <c r="BI107" s="41">
        <f>IFERROR(VLOOKUP($A107,FoodRev[],7,0),0)</f>
        <v>0</v>
      </c>
      <c r="BJ107" s="41">
        <f>IFERROR(VLOOKUP($A107,FoodRev[],8,0),0)</f>
        <v>54929.31</v>
      </c>
      <c r="BK107" s="41">
        <f>IFERROR(VLOOKUP($A107,FoodRev[],9,0),0)</f>
        <v>0</v>
      </c>
      <c r="BL107" s="41">
        <f>IFERROR(VLOOKUP($A107,FoodRev[],10,0),0)</f>
        <v>0</v>
      </c>
      <c r="BM107" s="41">
        <f t="shared" si="28"/>
        <v>2234921.0099999998</v>
      </c>
      <c r="BN107" s="42">
        <f t="shared" si="29"/>
        <v>-316019.51999999996</v>
      </c>
      <c r="BO107" s="78">
        <f t="shared" si="30"/>
        <v>0</v>
      </c>
      <c r="BP107" s="78">
        <f t="shared" si="31"/>
        <v>-316019.51999999996</v>
      </c>
    </row>
    <row r="108" spans="1:68" x14ac:dyDescent="0.25">
      <c r="A108" s="40" t="s">
        <v>168</v>
      </c>
      <c r="B108" s="40" t="s">
        <v>803</v>
      </c>
      <c r="D108" s="203">
        <f t="shared" si="22"/>
        <v>7.4505805969238281E-9</v>
      </c>
      <c r="E108" s="41">
        <f>IFERROR(VLOOKUP(A108,Items[],5,0),0)</f>
        <v>56365259.140000001</v>
      </c>
      <c r="F108" s="42">
        <f t="shared" si="23"/>
        <v>56365259.139999993</v>
      </c>
      <c r="G108" s="41">
        <v>0</v>
      </c>
      <c r="H108" s="41">
        <f>IFERROR(VLOOKUP(A108,Items[],4,0),0)</f>
        <v>59197178.869999997</v>
      </c>
      <c r="I108" s="41">
        <f>IFERROR(VLOOKUP(A108,Community[],4,0),0)</f>
        <v>0</v>
      </c>
      <c r="J108" s="41">
        <f>IFERROR(VLOOKUP(A108,Community[],5,0),0)</f>
        <v>0</v>
      </c>
      <c r="K108" s="41">
        <f>IFERROR(VLOOKUP(A108,Community[],6,0),0)</f>
        <v>478379.58999999997</v>
      </c>
      <c r="L108" s="41">
        <f>IFERROR(VLOOKUP(A108,Community[],7,0),0)</f>
        <v>17744.45</v>
      </c>
      <c r="M108" s="41">
        <f>IFERROR(VLOOKUP(A108,Debt[],3,0),0)</f>
        <v>0</v>
      </c>
      <c r="N108" s="41">
        <f>IFERROR(VLOOKUP(A108,Debt[],4,0),0)</f>
        <v>0</v>
      </c>
      <c r="O108" s="41">
        <f>IFERROR(VLOOKUP(A108,Debt[],5,0),0)</f>
        <v>0</v>
      </c>
      <c r="P108" s="41">
        <f>IFERROR(VLOOKUP(A108,Items[],3,0),0)</f>
        <v>43229</v>
      </c>
      <c r="Q108" s="41">
        <f>IFERROR(VLOOKUP($A108,Federal[],2,0),0)</f>
        <v>3960.06</v>
      </c>
      <c r="R108" s="41">
        <f>IFERROR(VLOOKUP($A108,Federal[],4,0),0)</f>
        <v>1414901.98</v>
      </c>
      <c r="S108" s="41"/>
      <c r="T108" s="47">
        <f>IFERROR(VLOOKUP($A108,Program[],3,0),0)</f>
        <v>0</v>
      </c>
      <c r="U108" s="47"/>
      <c r="V108" s="41">
        <f>IFERROR(VLOOKUP($A108,Program[],4,0),0)</f>
        <v>0</v>
      </c>
      <c r="W108" s="41">
        <f>IFERROR(VLOOKUP($A108,Program[],5,0),0)</f>
        <v>0</v>
      </c>
      <c r="X108" s="41"/>
      <c r="Y108" s="41"/>
      <c r="Z108" s="41"/>
      <c r="AA108" s="41">
        <f>IFERROR(VLOOKUP($A108,Program[],6,0),0)</f>
        <v>0</v>
      </c>
      <c r="AB108" s="41"/>
      <c r="AC108" s="41"/>
      <c r="AD108" s="41">
        <f>IFERROR(VLOOKUP($A108,Program[],7,0),0)</f>
        <v>0</v>
      </c>
      <c r="AE108" s="41">
        <f>IFERROR(VLOOKUP($A108,Program[],8,0),0)</f>
        <v>0</v>
      </c>
      <c r="AF108" s="41">
        <f>IFERROR(VLOOKUP($A108,Program[],9,0),0)</f>
        <v>0</v>
      </c>
      <c r="AG108" s="41">
        <f>IFERROR(VLOOKUP($A108,Program[],10,0),0)</f>
        <v>0</v>
      </c>
      <c r="AH108" s="41">
        <f>IFERROR(VLOOKUP($A108,Program[],11,0),0)</f>
        <v>0</v>
      </c>
      <c r="AI108" s="41">
        <f>IFERROR(VLOOKUP($A108,Program[],12,0),0)</f>
        <v>0</v>
      </c>
      <c r="AJ108" s="41"/>
      <c r="AK108" s="41">
        <f>IFERROR(VLOOKUP($A108,Program[],13,0),0)</f>
        <v>0</v>
      </c>
      <c r="AL108" s="41"/>
      <c r="AM108" s="41"/>
      <c r="AN108" s="41"/>
      <c r="AO108" s="41"/>
      <c r="AP108" s="41"/>
      <c r="AQ108" s="41"/>
      <c r="AR108" s="41"/>
      <c r="AS108" s="41">
        <f>IFERROR(VLOOKUP($A108,Program[],14,0),0)</f>
        <v>0</v>
      </c>
      <c r="AT108" s="41"/>
      <c r="AU108" s="41"/>
      <c r="AV108" s="41">
        <f>IFERROR(VLOOKUP($A108,Program[],15,0),0)</f>
        <v>0</v>
      </c>
      <c r="AW108" s="41"/>
      <c r="AX108" s="41">
        <f>IFERROR(VLOOKUP($A108,Program[],16,0),0)</f>
        <v>0</v>
      </c>
      <c r="AY108" s="41">
        <f>IFERROR(VLOOKUP($A108,Program[],17,0),0)</f>
        <v>0</v>
      </c>
      <c r="AZ108" s="41">
        <f>IFERROR(VLOOKUP($A108,Program[],18,0),0)</f>
        <v>0</v>
      </c>
      <c r="BA108" s="41">
        <f>IFERROR(VLOOKUP($A108,Program[],19,0),0)</f>
        <v>0</v>
      </c>
      <c r="BB108" s="77">
        <f t="shared" si="27"/>
        <v>220761.94000000021</v>
      </c>
      <c r="BC108" s="41">
        <f>IFERROR(VLOOKUP(A108,Food[],3,0),0)</f>
        <v>1580828.9800000002</v>
      </c>
      <c r="BD108" s="41">
        <f>IFERROR(VLOOKUP($A108,FoodRev[],2,0),0)</f>
        <v>860927.22</v>
      </c>
      <c r="BE108" s="41">
        <f>IFERROR(VLOOKUP($A108,FoodRev[],3,0),0)</f>
        <v>12777.43</v>
      </c>
      <c r="BF108" s="41">
        <f>IFERROR(VLOOKUP($A108,FoodRev[],4,0),0)</f>
        <v>0</v>
      </c>
      <c r="BG108" s="41">
        <f>IFERROR(VLOOKUP($A108,FoodRev[],5,0),0)</f>
        <v>377280.29</v>
      </c>
      <c r="BH108" s="41">
        <f>IFERROR(VLOOKUP($A108,FoodRev[],6,0),0)</f>
        <v>0</v>
      </c>
      <c r="BI108" s="41">
        <f>IFERROR(VLOOKUP($A108,FoodRev[],7,0),0)</f>
        <v>0</v>
      </c>
      <c r="BJ108" s="41">
        <f>IFERROR(VLOOKUP($A108,FoodRev[],8,0),0)</f>
        <v>109082.1</v>
      </c>
      <c r="BK108" s="41">
        <f>IFERROR(VLOOKUP($A108,FoodRev[],9,0),0)</f>
        <v>0</v>
      </c>
      <c r="BL108" s="41">
        <f>IFERROR(VLOOKUP($A108,FoodRev[],10,0),0)</f>
        <v>0</v>
      </c>
      <c r="BM108" s="41">
        <f t="shared" si="28"/>
        <v>1360067.04</v>
      </c>
      <c r="BN108" s="42">
        <f t="shared" si="29"/>
        <v>220761.94000000021</v>
      </c>
      <c r="BO108" s="78">
        <f t="shared" si="30"/>
        <v>220761.94000000021</v>
      </c>
      <c r="BP108" s="78">
        <f t="shared" si="31"/>
        <v>0</v>
      </c>
    </row>
    <row r="109" spans="1:68" x14ac:dyDescent="0.25">
      <c r="A109" s="40" t="s">
        <v>42</v>
      </c>
      <c r="B109" s="40" t="s">
        <v>804</v>
      </c>
      <c r="D109" s="203">
        <f t="shared" si="22"/>
        <v>5.9604644775390625E-8</v>
      </c>
      <c r="E109" s="41">
        <f>IFERROR(VLOOKUP(A109,Items[],5,0),0)</f>
        <v>320648402.97000003</v>
      </c>
      <c r="F109" s="42">
        <f t="shared" si="23"/>
        <v>320648402.96999997</v>
      </c>
      <c r="G109" s="41">
        <v>0</v>
      </c>
      <c r="H109" s="41">
        <f>IFERROR(VLOOKUP(A109,Items[],4,0),0)</f>
        <v>355430412.62</v>
      </c>
      <c r="I109" s="41">
        <f>IFERROR(VLOOKUP(A109,Community[],4,0),0)</f>
        <v>0</v>
      </c>
      <c r="J109" s="41">
        <f>IFERROR(VLOOKUP(A109,Community[],5,0),0)</f>
        <v>0</v>
      </c>
      <c r="K109" s="41">
        <f>IFERROR(VLOOKUP(A109,Community[],6,0),0)</f>
        <v>3094148.7399999998</v>
      </c>
      <c r="L109" s="41">
        <f>IFERROR(VLOOKUP(A109,Community[],7,0),0)</f>
        <v>1865994.4799999997</v>
      </c>
      <c r="M109" s="41">
        <f>IFERROR(VLOOKUP(A109,Debt[],3,0),0)</f>
        <v>5728.04</v>
      </c>
      <c r="N109" s="41">
        <f>IFERROR(VLOOKUP(A109,Debt[],4,0),0)</f>
        <v>166799.84</v>
      </c>
      <c r="O109" s="41">
        <f>IFERROR(VLOOKUP(A109,Debt[],5,0),0)</f>
        <v>0</v>
      </c>
      <c r="P109" s="41">
        <f>IFERROR(VLOOKUP(A109,Items[],3,0),0)</f>
        <v>1013557.5</v>
      </c>
      <c r="Q109" s="41">
        <f>IFERROR(VLOOKUP($A109,Federal[],2,0),0)</f>
        <v>22496.74</v>
      </c>
      <c r="R109" s="41">
        <f>IFERROR(VLOOKUP($A109,Federal[],4,0),0)</f>
        <v>25983220.890000001</v>
      </c>
      <c r="S109" s="41"/>
      <c r="T109" s="47">
        <f>IFERROR(VLOOKUP($A109,Program[],3,0),0)</f>
        <v>0</v>
      </c>
      <c r="U109" s="47"/>
      <c r="V109" s="41">
        <f>IFERROR(VLOOKUP($A109,Program[],4,0),0)</f>
        <v>0</v>
      </c>
      <c r="W109" s="41">
        <f>IFERROR(VLOOKUP($A109,Program[],5,0),0)</f>
        <v>0</v>
      </c>
      <c r="X109" s="41"/>
      <c r="Y109" s="41"/>
      <c r="Z109" s="41"/>
      <c r="AA109" s="41">
        <f>IFERROR(VLOOKUP($A109,Program[],6,0),0)</f>
        <v>0</v>
      </c>
      <c r="AB109" s="41"/>
      <c r="AC109" s="41"/>
      <c r="AD109" s="41">
        <f>IFERROR(VLOOKUP($A109,Program[],7,0),0)</f>
        <v>6437.96</v>
      </c>
      <c r="AE109" s="41">
        <f>IFERROR(VLOOKUP($A109,Program[],8,0),0)</f>
        <v>0</v>
      </c>
      <c r="AF109" s="41">
        <f>IFERROR(VLOOKUP($A109,Program[],9,0),0)</f>
        <v>0</v>
      </c>
      <c r="AG109" s="41">
        <f>IFERROR(VLOOKUP($A109,Program[],10,0),0)</f>
        <v>0</v>
      </c>
      <c r="AH109" s="41">
        <f>IFERROR(VLOOKUP($A109,Program[],11,0),0)</f>
        <v>0</v>
      </c>
      <c r="AI109" s="41">
        <f>IFERROR(VLOOKUP($A109,Program[],12,0),0)</f>
        <v>0</v>
      </c>
      <c r="AJ109" s="41"/>
      <c r="AK109" s="41">
        <f>IFERROR(VLOOKUP($A109,Program[],13,0),0)</f>
        <v>0</v>
      </c>
      <c r="AL109" s="41"/>
      <c r="AM109" s="41"/>
      <c r="AN109" s="41"/>
      <c r="AO109" s="41"/>
      <c r="AP109" s="41"/>
      <c r="AQ109" s="41"/>
      <c r="AR109" s="41"/>
      <c r="AS109" s="41">
        <f>IFERROR(VLOOKUP($A109,Program[],14,0),0)</f>
        <v>0</v>
      </c>
      <c r="AT109" s="41"/>
      <c r="AU109" s="41"/>
      <c r="AV109" s="41">
        <f>IFERROR(VLOOKUP($A109,Program[],15,0),0)</f>
        <v>0</v>
      </c>
      <c r="AW109" s="41"/>
      <c r="AX109" s="41">
        <f>IFERROR(VLOOKUP($A109,Program[],16,0),0)</f>
        <v>0</v>
      </c>
      <c r="AY109" s="41">
        <f>IFERROR(VLOOKUP($A109,Program[],17,0),0)</f>
        <v>0</v>
      </c>
      <c r="AZ109" s="41">
        <f>IFERROR(VLOOKUP($A109,Program[],18,0),0)</f>
        <v>0</v>
      </c>
      <c r="BA109" s="41">
        <f>IFERROR(VLOOKUP($A109,Program[],19,0),0)</f>
        <v>61796.82</v>
      </c>
      <c r="BB109" s="77">
        <f t="shared" si="27"/>
        <v>0</v>
      </c>
      <c r="BC109" s="41">
        <f>IFERROR(VLOOKUP(A109,Food[],3,0),0)</f>
        <v>13733750.170000002</v>
      </c>
      <c r="BD109" s="41">
        <f>IFERROR(VLOOKUP($A109,FoodRev[],2,0),0)</f>
        <v>121727.12</v>
      </c>
      <c r="BE109" s="41">
        <f>IFERROR(VLOOKUP($A109,FoodRev[],3,0),0)</f>
        <v>3078356.39</v>
      </c>
      <c r="BF109" s="41">
        <f>IFERROR(VLOOKUP($A109,FoodRev[],4,0),0)</f>
        <v>47380</v>
      </c>
      <c r="BG109" s="41">
        <f>IFERROR(VLOOKUP($A109,FoodRev[],5,0),0)</f>
        <v>9824799.6699999999</v>
      </c>
      <c r="BH109" s="41">
        <f>IFERROR(VLOOKUP($A109,FoodRev[],6,0),0)</f>
        <v>0</v>
      </c>
      <c r="BI109" s="41">
        <f>IFERROR(VLOOKUP($A109,FoodRev[],7,0),0)</f>
        <v>106250.85</v>
      </c>
      <c r="BJ109" s="41">
        <f>IFERROR(VLOOKUP($A109,FoodRev[],8,0),0)</f>
        <v>1104401.45</v>
      </c>
      <c r="BK109" s="41">
        <f>IFERROR(VLOOKUP($A109,FoodRev[],9,0),0)</f>
        <v>0</v>
      </c>
      <c r="BL109" s="41">
        <f>IFERROR(VLOOKUP($A109,FoodRev[],10,0),0)</f>
        <v>0</v>
      </c>
      <c r="BM109" s="41">
        <f t="shared" si="28"/>
        <v>14282915.479999999</v>
      </c>
      <c r="BN109" s="42">
        <f t="shared" si="29"/>
        <v>-549165.30999999784</v>
      </c>
      <c r="BO109" s="78">
        <f t="shared" si="30"/>
        <v>0</v>
      </c>
      <c r="BP109" s="78">
        <f t="shared" si="31"/>
        <v>-549165.30999999784</v>
      </c>
    </row>
    <row r="110" spans="1:68" x14ac:dyDescent="0.25">
      <c r="A110" s="40" t="s">
        <v>82</v>
      </c>
      <c r="B110" s="40" t="s">
        <v>805</v>
      </c>
      <c r="D110" s="203">
        <f t="shared" si="22"/>
        <v>0</v>
      </c>
      <c r="E110" s="41">
        <f>IFERROR(VLOOKUP(A110,Items[],5,0),0)</f>
        <v>165366611.71000001</v>
      </c>
      <c r="F110" s="42">
        <f t="shared" si="23"/>
        <v>165366611.71000001</v>
      </c>
      <c r="G110" s="41">
        <v>0</v>
      </c>
      <c r="H110" s="41">
        <f>IFERROR(VLOOKUP(A110,Items[],4,0),0)</f>
        <v>172558517.28999999</v>
      </c>
      <c r="I110" s="41">
        <f>IFERROR(VLOOKUP(A110,Community[],4,0),0)</f>
        <v>0</v>
      </c>
      <c r="J110" s="41">
        <f>IFERROR(VLOOKUP(A110,Community[],5,0),0)</f>
        <v>40436.65</v>
      </c>
      <c r="K110" s="41">
        <f>IFERROR(VLOOKUP(A110,Community[],6,0),0)</f>
        <v>1355661.5699999998</v>
      </c>
      <c r="L110" s="41">
        <f>IFERROR(VLOOKUP(A110,Community[],7,0),0)</f>
        <v>178437.89</v>
      </c>
      <c r="M110" s="41">
        <f>IFERROR(VLOOKUP(A110,Debt[],3,0),0)</f>
        <v>0</v>
      </c>
      <c r="N110" s="41">
        <f>IFERROR(VLOOKUP(A110,Debt[],4,0),0)</f>
        <v>0</v>
      </c>
      <c r="O110" s="41">
        <f>IFERROR(VLOOKUP(A110,Debt[],5,0),0)</f>
        <v>0</v>
      </c>
      <c r="P110" s="41">
        <f>IFERROR(VLOOKUP(A110,Items[],3,0),0)</f>
        <v>678328.79</v>
      </c>
      <c r="Q110" s="41">
        <f>IFERROR(VLOOKUP($A110,Federal[],2,0),0)</f>
        <v>11565.05</v>
      </c>
      <c r="R110" s="41">
        <f>IFERROR(VLOOKUP($A110,Federal[],4,0),0)</f>
        <v>3735339.3</v>
      </c>
      <c r="S110" s="41"/>
      <c r="T110" s="47">
        <f>IFERROR(VLOOKUP($A110,Program[],3,0),0)</f>
        <v>0</v>
      </c>
      <c r="U110" s="47"/>
      <c r="V110" s="41">
        <f>IFERROR(VLOOKUP($A110,Program[],4,0),0)</f>
        <v>0</v>
      </c>
      <c r="W110" s="41">
        <f>IFERROR(VLOOKUP($A110,Program[],5,0),0)</f>
        <v>0</v>
      </c>
      <c r="X110" s="41"/>
      <c r="Y110" s="41"/>
      <c r="Z110" s="41"/>
      <c r="AA110" s="41">
        <f>IFERROR(VLOOKUP($A110,Program[],6,0),0)</f>
        <v>0</v>
      </c>
      <c r="AB110" s="41"/>
      <c r="AC110" s="41"/>
      <c r="AD110" s="41">
        <f>IFERROR(VLOOKUP($A110,Program[],7,0),0)</f>
        <v>0</v>
      </c>
      <c r="AE110" s="41">
        <f>IFERROR(VLOOKUP($A110,Program[],8,0),0)</f>
        <v>0</v>
      </c>
      <c r="AF110" s="41">
        <f>IFERROR(VLOOKUP($A110,Program[],9,0),0)</f>
        <v>0</v>
      </c>
      <c r="AG110" s="41">
        <f>IFERROR(VLOOKUP($A110,Program[],10,0),0)</f>
        <v>0</v>
      </c>
      <c r="AH110" s="41">
        <f>IFERROR(VLOOKUP($A110,Program[],11,0),0)</f>
        <v>0</v>
      </c>
      <c r="AI110" s="41">
        <f>IFERROR(VLOOKUP($A110,Program[],12,0),0)</f>
        <v>0</v>
      </c>
      <c r="AJ110" s="41"/>
      <c r="AK110" s="41">
        <f>IFERROR(VLOOKUP($A110,Program[],13,0),0)</f>
        <v>0</v>
      </c>
      <c r="AL110" s="41"/>
      <c r="AM110" s="41"/>
      <c r="AN110" s="41"/>
      <c r="AO110" s="41"/>
      <c r="AP110" s="41"/>
      <c r="AQ110" s="41"/>
      <c r="AR110" s="41"/>
      <c r="AS110" s="41">
        <f>IFERROR(VLOOKUP($A110,Program[],14,0),0)</f>
        <v>0</v>
      </c>
      <c r="AT110" s="41"/>
      <c r="AU110" s="41"/>
      <c r="AV110" s="41">
        <f>IFERROR(VLOOKUP($A110,Program[],15,0),0)</f>
        <v>47147.5</v>
      </c>
      <c r="AW110" s="41"/>
      <c r="AX110" s="41">
        <f>IFERROR(VLOOKUP($A110,Program[],16,0),0)</f>
        <v>0</v>
      </c>
      <c r="AY110" s="41">
        <f>IFERROR(VLOOKUP($A110,Program[],17,0),0)</f>
        <v>0</v>
      </c>
      <c r="AZ110" s="41">
        <f>IFERROR(VLOOKUP($A110,Program[],18,0),0)</f>
        <v>0</v>
      </c>
      <c r="BA110" s="41">
        <f>IFERROR(VLOOKUP($A110,Program[],19,0),0)</f>
        <v>0</v>
      </c>
      <c r="BB110" s="77">
        <f t="shared" si="27"/>
        <v>307231.01999999955</v>
      </c>
      <c r="BC110" s="41">
        <f>IFERROR(VLOOKUP(A110,Food[],3,0),0)</f>
        <v>2475835.3499999996</v>
      </c>
      <c r="BD110" s="41">
        <f>IFERROR(VLOOKUP($A110,FoodRev[],2,0),0)</f>
        <v>1118576.3600000001</v>
      </c>
      <c r="BE110" s="41">
        <f>IFERROR(VLOOKUP($A110,FoodRev[],3,0),0)</f>
        <v>120707.47</v>
      </c>
      <c r="BF110" s="41">
        <f>IFERROR(VLOOKUP($A110,FoodRev[],4,0),0)</f>
        <v>0</v>
      </c>
      <c r="BG110" s="41">
        <f>IFERROR(VLOOKUP($A110,FoodRev[],5,0),0)</f>
        <v>793997.27</v>
      </c>
      <c r="BH110" s="41">
        <f>IFERROR(VLOOKUP($A110,FoodRev[],6,0),0)</f>
        <v>0</v>
      </c>
      <c r="BI110" s="41">
        <f>IFERROR(VLOOKUP($A110,FoodRev[],7,0),0)</f>
        <v>0</v>
      </c>
      <c r="BJ110" s="41">
        <f>IFERROR(VLOOKUP($A110,FoodRev[],8,0),0)</f>
        <v>135323.23000000001</v>
      </c>
      <c r="BK110" s="41">
        <f>IFERROR(VLOOKUP($A110,FoodRev[],9,0),0)</f>
        <v>0</v>
      </c>
      <c r="BL110" s="41">
        <f>IFERROR(VLOOKUP($A110,FoodRev[],10,0),0)</f>
        <v>0</v>
      </c>
      <c r="BM110" s="41">
        <f t="shared" si="28"/>
        <v>2168604.33</v>
      </c>
      <c r="BN110" s="42">
        <f t="shared" si="29"/>
        <v>307231.01999999955</v>
      </c>
      <c r="BO110" s="78">
        <f t="shared" si="30"/>
        <v>307231.01999999955</v>
      </c>
      <c r="BP110" s="78">
        <f t="shared" si="31"/>
        <v>0</v>
      </c>
    </row>
    <row r="111" spans="1:68" x14ac:dyDescent="0.25">
      <c r="A111" s="40" t="s">
        <v>90</v>
      </c>
      <c r="B111" s="40" t="s">
        <v>806</v>
      </c>
      <c r="D111" s="203">
        <f t="shared" si="22"/>
        <v>0</v>
      </c>
      <c r="E111" s="41">
        <f>IFERROR(VLOOKUP(A111,Items[],5,0),0)</f>
        <v>127521973.2</v>
      </c>
      <c r="F111" s="42">
        <f t="shared" si="23"/>
        <v>127521973.2</v>
      </c>
      <c r="G111" s="41">
        <v>0</v>
      </c>
      <c r="H111" s="41">
        <f>IFERROR(VLOOKUP(A111,Items[],4,0),0)</f>
        <v>132859774.69</v>
      </c>
      <c r="I111" s="41">
        <f>IFERROR(VLOOKUP(A111,Community[],4,0),0)</f>
        <v>0</v>
      </c>
      <c r="J111" s="41">
        <f>IFERROR(VLOOKUP(A111,Community[],5,0),0)</f>
        <v>0</v>
      </c>
      <c r="K111" s="41">
        <f>IFERROR(VLOOKUP(A111,Community[],6,0),0)</f>
        <v>260251.47</v>
      </c>
      <c r="L111" s="41">
        <f>IFERROR(VLOOKUP(A111,Community[],7,0),0)</f>
        <v>397871.74000000005</v>
      </c>
      <c r="M111" s="41">
        <f>IFERROR(VLOOKUP(A111,Debt[],3,0),0)</f>
        <v>0</v>
      </c>
      <c r="N111" s="41">
        <f>IFERROR(VLOOKUP(A111,Debt[],4,0),0)</f>
        <v>0</v>
      </c>
      <c r="O111" s="41">
        <f>IFERROR(VLOOKUP(A111,Debt[],5,0),0)</f>
        <v>4550</v>
      </c>
      <c r="P111" s="41">
        <f>IFERROR(VLOOKUP(A111,Items[],3,0),0)</f>
        <v>358890.22</v>
      </c>
      <c r="Q111" s="41">
        <f>IFERROR(VLOOKUP($A111,Federal[],2,0),0)</f>
        <v>9161.1200000000008</v>
      </c>
      <c r="R111" s="41">
        <f>IFERROR(VLOOKUP($A111,Federal[],4,0),0)</f>
        <v>2913785.59</v>
      </c>
      <c r="S111" s="41"/>
      <c r="T111" s="47">
        <f>IFERROR(VLOOKUP($A111,Program[],3,0),0)</f>
        <v>0</v>
      </c>
      <c r="U111" s="47"/>
      <c r="V111" s="41">
        <f>IFERROR(VLOOKUP($A111,Program[],4,0),0)</f>
        <v>0</v>
      </c>
      <c r="W111" s="41">
        <f>IFERROR(VLOOKUP($A111,Program[],5,0),0)</f>
        <v>0</v>
      </c>
      <c r="X111" s="41"/>
      <c r="Y111" s="41"/>
      <c r="Z111" s="41"/>
      <c r="AA111" s="41">
        <f>IFERROR(VLOOKUP($A111,Program[],6,0),0)</f>
        <v>0</v>
      </c>
      <c r="AB111" s="41"/>
      <c r="AC111" s="41"/>
      <c r="AD111" s="41">
        <f>IFERROR(VLOOKUP($A111,Program[],7,0),0)</f>
        <v>0</v>
      </c>
      <c r="AE111" s="41">
        <f>IFERROR(VLOOKUP($A111,Program[],8,0),0)</f>
        <v>0</v>
      </c>
      <c r="AF111" s="41">
        <f>IFERROR(VLOOKUP($A111,Program[],9,0),0)</f>
        <v>0</v>
      </c>
      <c r="AG111" s="41">
        <f>IFERROR(VLOOKUP($A111,Program[],10,0),0)</f>
        <v>0</v>
      </c>
      <c r="AH111" s="41">
        <f>IFERROR(VLOOKUP($A111,Program[],11,0),0)</f>
        <v>0</v>
      </c>
      <c r="AI111" s="41">
        <f>IFERROR(VLOOKUP($A111,Program[],12,0),0)</f>
        <v>0</v>
      </c>
      <c r="AJ111" s="41"/>
      <c r="AK111" s="41">
        <f>IFERROR(VLOOKUP($A111,Program[],13,0),0)</f>
        <v>0</v>
      </c>
      <c r="AL111" s="41"/>
      <c r="AM111" s="41"/>
      <c r="AN111" s="41"/>
      <c r="AO111" s="41"/>
      <c r="AP111" s="41"/>
      <c r="AQ111" s="41"/>
      <c r="AR111" s="41"/>
      <c r="AS111" s="41">
        <f>IFERROR(VLOOKUP($A111,Program[],14,0),0)</f>
        <v>0</v>
      </c>
      <c r="AT111" s="41"/>
      <c r="AU111" s="41"/>
      <c r="AV111" s="41">
        <f>IFERROR(VLOOKUP($A111,Program[],15,0),0)</f>
        <v>6552</v>
      </c>
      <c r="AW111" s="41"/>
      <c r="AX111" s="41">
        <f>IFERROR(VLOOKUP($A111,Program[],16,0),0)</f>
        <v>0</v>
      </c>
      <c r="AY111" s="41">
        <f>IFERROR(VLOOKUP($A111,Program[],17,0),0)</f>
        <v>0</v>
      </c>
      <c r="AZ111" s="41">
        <f>IFERROR(VLOOKUP($A111,Program[],18,0),0)</f>
        <v>0</v>
      </c>
      <c r="BA111" s="41">
        <f>IFERROR(VLOOKUP($A111,Program[],19,0),0)</f>
        <v>0</v>
      </c>
      <c r="BB111" s="77">
        <f t="shared" si="27"/>
        <v>696467.34000000008</v>
      </c>
      <c r="BC111" s="41">
        <f>IFERROR(VLOOKUP(A111,Food[],3,0),0)</f>
        <v>2721254.9</v>
      </c>
      <c r="BD111" s="41">
        <f>IFERROR(VLOOKUP($A111,FoodRev[],2,0),0)</f>
        <v>1388301.66</v>
      </c>
      <c r="BE111" s="41">
        <f>IFERROR(VLOOKUP($A111,FoodRev[],3,0),0)</f>
        <v>11541.69</v>
      </c>
      <c r="BF111" s="41">
        <f>IFERROR(VLOOKUP($A111,FoodRev[],4,0),0)</f>
        <v>0</v>
      </c>
      <c r="BG111" s="41">
        <f>IFERROR(VLOOKUP($A111,FoodRev[],5,0),0)</f>
        <v>469655.2</v>
      </c>
      <c r="BH111" s="41">
        <f>IFERROR(VLOOKUP($A111,FoodRev[],6,0),0)</f>
        <v>0</v>
      </c>
      <c r="BI111" s="41">
        <f>IFERROR(VLOOKUP($A111,FoodRev[],7,0),0)</f>
        <v>0</v>
      </c>
      <c r="BJ111" s="41">
        <f>IFERROR(VLOOKUP($A111,FoodRev[],8,0),0)</f>
        <v>155289.01</v>
      </c>
      <c r="BK111" s="41">
        <f>IFERROR(VLOOKUP($A111,FoodRev[],9,0),0)</f>
        <v>0</v>
      </c>
      <c r="BL111" s="41">
        <f>IFERROR(VLOOKUP($A111,FoodRev[],10,0),0)</f>
        <v>0</v>
      </c>
      <c r="BM111" s="41">
        <f t="shared" si="28"/>
        <v>2024787.5599999998</v>
      </c>
      <c r="BN111" s="42">
        <f t="shared" si="29"/>
        <v>696467.34000000008</v>
      </c>
      <c r="BO111" s="78">
        <f t="shared" si="30"/>
        <v>696467.34000000008</v>
      </c>
      <c r="BP111" s="78">
        <f t="shared" si="31"/>
        <v>0</v>
      </c>
    </row>
    <row r="112" spans="1:68" x14ac:dyDescent="0.25">
      <c r="A112" s="40" t="s">
        <v>26</v>
      </c>
      <c r="B112" s="40" t="s">
        <v>807</v>
      </c>
      <c r="D112" s="203">
        <f t="shared" si="22"/>
        <v>0</v>
      </c>
      <c r="E112" s="41">
        <f>IFERROR(VLOOKUP(A112,Items[],5,0),0)</f>
        <v>356943430.91000003</v>
      </c>
      <c r="F112" s="42">
        <f t="shared" si="23"/>
        <v>356943430.91000003</v>
      </c>
      <c r="G112" s="41">
        <v>0</v>
      </c>
      <c r="H112" s="41">
        <f>IFERROR(VLOOKUP(A112,Items[],4,0),0)</f>
        <v>383233960.19</v>
      </c>
      <c r="I112" s="41">
        <f>IFERROR(VLOOKUP(A112,Community[],4,0),0)</f>
        <v>0</v>
      </c>
      <c r="J112" s="41">
        <f>IFERROR(VLOOKUP(A112,Community[],5,0),0)</f>
        <v>0</v>
      </c>
      <c r="K112" s="41">
        <f>IFERROR(VLOOKUP(A112,Community[],6,0),0)</f>
        <v>10845683.68</v>
      </c>
      <c r="L112" s="41">
        <f>IFERROR(VLOOKUP(A112,Community[],7,0),0)</f>
        <v>0</v>
      </c>
      <c r="M112" s="41">
        <f>IFERROR(VLOOKUP(A112,Debt[],3,0),0)</f>
        <v>65108.12</v>
      </c>
      <c r="N112" s="41">
        <f>IFERROR(VLOOKUP(A112,Debt[],4,0),0)</f>
        <v>360444.8</v>
      </c>
      <c r="O112" s="41">
        <f>IFERROR(VLOOKUP(A112,Debt[],5,0),0)</f>
        <v>0</v>
      </c>
      <c r="P112" s="41">
        <f>IFERROR(VLOOKUP(A112,Items[],3,0),0)</f>
        <v>2239118.59</v>
      </c>
      <c r="Q112" s="41">
        <f>IFERROR(VLOOKUP($A112,Federal[],2,0),0)</f>
        <v>25184.14</v>
      </c>
      <c r="R112" s="41">
        <f>IFERROR(VLOOKUP($A112,Federal[],4,0),0)</f>
        <v>8000813.0099999998</v>
      </c>
      <c r="S112" s="41"/>
      <c r="T112" s="47">
        <f>IFERROR(VLOOKUP($A112,Program[],3,0),0)</f>
        <v>0</v>
      </c>
      <c r="U112" s="47"/>
      <c r="V112" s="41">
        <f>IFERROR(VLOOKUP($A112,Program[],4,0),0)</f>
        <v>0</v>
      </c>
      <c r="W112" s="41">
        <f>IFERROR(VLOOKUP($A112,Program[],5,0),0)</f>
        <v>0</v>
      </c>
      <c r="X112" s="41"/>
      <c r="Y112" s="41"/>
      <c r="Z112" s="41"/>
      <c r="AA112" s="41">
        <f>IFERROR(VLOOKUP($A112,Program[],6,0),0)</f>
        <v>0</v>
      </c>
      <c r="AB112" s="41"/>
      <c r="AC112" s="41"/>
      <c r="AD112" s="41">
        <f>IFERROR(VLOOKUP($A112,Program[],7,0),0)</f>
        <v>0</v>
      </c>
      <c r="AE112" s="41">
        <f>IFERROR(VLOOKUP($A112,Program[],8,0),0)</f>
        <v>0</v>
      </c>
      <c r="AF112" s="41">
        <f>IFERROR(VLOOKUP($A112,Program[],9,0),0)</f>
        <v>0</v>
      </c>
      <c r="AG112" s="41">
        <f>IFERROR(VLOOKUP($A112,Program[],10,0),0)</f>
        <v>0</v>
      </c>
      <c r="AH112" s="41">
        <f>IFERROR(VLOOKUP($A112,Program[],11,0),0)</f>
        <v>0</v>
      </c>
      <c r="AI112" s="41">
        <f>IFERROR(VLOOKUP($A112,Program[],12,0),0)</f>
        <v>0</v>
      </c>
      <c r="AJ112" s="41"/>
      <c r="AK112" s="41">
        <f>IFERROR(VLOOKUP($A112,Program[],13,0),0)</f>
        <v>19209.63</v>
      </c>
      <c r="AL112" s="41"/>
      <c r="AM112" s="41"/>
      <c r="AN112" s="41"/>
      <c r="AO112" s="41"/>
      <c r="AP112" s="41"/>
      <c r="AQ112" s="41"/>
      <c r="AR112" s="41"/>
      <c r="AS112" s="41">
        <f>IFERROR(VLOOKUP($A112,Program[],14,0),0)</f>
        <v>0</v>
      </c>
      <c r="AT112" s="41"/>
      <c r="AU112" s="41"/>
      <c r="AV112" s="41">
        <f>IFERROR(VLOOKUP($A112,Program[],15,0),0)</f>
        <v>12712.49</v>
      </c>
      <c r="AW112" s="41"/>
      <c r="AX112" s="41">
        <f>IFERROR(VLOOKUP($A112,Program[],16,0),0)</f>
        <v>0</v>
      </c>
      <c r="AY112" s="41">
        <f>IFERROR(VLOOKUP($A112,Program[],17,0),0)</f>
        <v>46712.39</v>
      </c>
      <c r="AZ112" s="41">
        <f>IFERROR(VLOOKUP($A112,Program[],18,0),0)</f>
        <v>0</v>
      </c>
      <c r="BA112" s="41">
        <f>IFERROR(VLOOKUP($A112,Program[],19,0),0)</f>
        <v>704.35</v>
      </c>
      <c r="BB112" s="77">
        <f t="shared" si="27"/>
        <v>1231211.9299999995</v>
      </c>
      <c r="BC112" s="41">
        <f>IFERROR(VLOOKUP(A112,Food[],3,0),0)</f>
        <v>7808614.669999999</v>
      </c>
      <c r="BD112" s="41">
        <f>IFERROR(VLOOKUP($A112,FoodRev[],2,0),0)</f>
        <v>4789067.5599999996</v>
      </c>
      <c r="BE112" s="41">
        <f>IFERROR(VLOOKUP($A112,FoodRev[],3,0),0)</f>
        <v>32946.54</v>
      </c>
      <c r="BF112" s="41">
        <f>IFERROR(VLOOKUP($A112,FoodRev[],4,0),0)</f>
        <v>0</v>
      </c>
      <c r="BG112" s="41">
        <f>IFERROR(VLOOKUP($A112,FoodRev[],5,0),0)</f>
        <v>1374790.54</v>
      </c>
      <c r="BH112" s="41">
        <f>IFERROR(VLOOKUP($A112,FoodRev[],6,0),0)</f>
        <v>0</v>
      </c>
      <c r="BI112" s="41">
        <f>IFERROR(VLOOKUP($A112,FoodRev[],7,0),0)</f>
        <v>0</v>
      </c>
      <c r="BJ112" s="41">
        <f>IFERROR(VLOOKUP($A112,FoodRev[],8,0),0)</f>
        <v>369096.4</v>
      </c>
      <c r="BK112" s="41">
        <f>IFERROR(VLOOKUP($A112,FoodRev[],9,0),0)</f>
        <v>0</v>
      </c>
      <c r="BL112" s="41">
        <f>IFERROR(VLOOKUP($A112,FoodRev[],10,0),0)</f>
        <v>11501.7</v>
      </c>
      <c r="BM112" s="41">
        <f t="shared" si="28"/>
        <v>6577402.7400000002</v>
      </c>
      <c r="BN112" s="42">
        <f t="shared" si="29"/>
        <v>1231211.9299999995</v>
      </c>
      <c r="BO112" s="78">
        <f t="shared" si="30"/>
        <v>1231211.9299999995</v>
      </c>
      <c r="BP112" s="78">
        <f t="shared" si="31"/>
        <v>0</v>
      </c>
    </row>
    <row r="113" spans="1:68" x14ac:dyDescent="0.25">
      <c r="A113" s="40" t="s">
        <v>72</v>
      </c>
      <c r="B113" s="40" t="s">
        <v>808</v>
      </c>
      <c r="D113" s="203">
        <f t="shared" si="22"/>
        <v>0</v>
      </c>
      <c r="E113" s="41">
        <f>IFERROR(VLOOKUP(A113,Items[],5,0),0)</f>
        <v>166193201.91</v>
      </c>
      <c r="F113" s="42">
        <f t="shared" si="23"/>
        <v>166193201.91</v>
      </c>
      <c r="G113" s="41">
        <v>0</v>
      </c>
      <c r="H113" s="41">
        <f>IFERROR(VLOOKUP(A113,Items[],4,0),0)</f>
        <v>178834369.18000001</v>
      </c>
      <c r="I113" s="41">
        <f>IFERROR(VLOOKUP(A113,Community[],4,0),0)</f>
        <v>0</v>
      </c>
      <c r="J113" s="41">
        <f>IFERROR(VLOOKUP(A113,Community[],5,0),0)</f>
        <v>0</v>
      </c>
      <c r="K113" s="41">
        <f>IFERROR(VLOOKUP(A113,Community[],6,0),0)</f>
        <v>1586855.4</v>
      </c>
      <c r="L113" s="41">
        <f>IFERROR(VLOOKUP(A113,Community[],7,0),0)</f>
        <v>561685.37</v>
      </c>
      <c r="M113" s="41">
        <f>IFERROR(VLOOKUP(A113,Debt[],3,0),0)</f>
        <v>0</v>
      </c>
      <c r="N113" s="41">
        <f>IFERROR(VLOOKUP(A113,Debt[],4,0),0)</f>
        <v>0</v>
      </c>
      <c r="O113" s="41">
        <f>IFERROR(VLOOKUP(A113,Debt[],5,0),0)</f>
        <v>0</v>
      </c>
      <c r="P113" s="41">
        <f>IFERROR(VLOOKUP(A113,Items[],3,0),0)</f>
        <v>0</v>
      </c>
      <c r="Q113" s="41">
        <f>IFERROR(VLOOKUP($A113,Federal[],2,0),0)</f>
        <v>12233.57</v>
      </c>
      <c r="R113" s="41">
        <f>IFERROR(VLOOKUP($A113,Federal[],4,0),0)</f>
        <v>8534455.2599999998</v>
      </c>
      <c r="S113" s="41"/>
      <c r="T113" s="47">
        <f>IFERROR(VLOOKUP($A113,Program[],3,0),0)</f>
        <v>0</v>
      </c>
      <c r="U113" s="47"/>
      <c r="V113" s="41">
        <f>IFERROR(VLOOKUP($A113,Program[],4,0),0)</f>
        <v>0</v>
      </c>
      <c r="W113" s="41">
        <f>IFERROR(VLOOKUP($A113,Program[],5,0),0)</f>
        <v>0</v>
      </c>
      <c r="X113" s="41"/>
      <c r="Y113" s="41"/>
      <c r="Z113" s="41"/>
      <c r="AA113" s="41">
        <f>IFERROR(VLOOKUP($A113,Program[],6,0),0)</f>
        <v>0</v>
      </c>
      <c r="AB113" s="41"/>
      <c r="AC113" s="41"/>
      <c r="AD113" s="41">
        <f>IFERROR(VLOOKUP($A113,Program[],7,0),0)</f>
        <v>0</v>
      </c>
      <c r="AE113" s="41">
        <f>IFERROR(VLOOKUP($A113,Program[],8,0),0)</f>
        <v>0</v>
      </c>
      <c r="AF113" s="41">
        <f>IFERROR(VLOOKUP($A113,Program[],9,0),0)</f>
        <v>0</v>
      </c>
      <c r="AG113" s="41">
        <f>IFERROR(VLOOKUP($A113,Program[],10,0),0)</f>
        <v>0</v>
      </c>
      <c r="AH113" s="41">
        <f>IFERROR(VLOOKUP($A113,Program[],11,0),0)</f>
        <v>0</v>
      </c>
      <c r="AI113" s="41">
        <f>IFERROR(VLOOKUP($A113,Program[],12,0),0)</f>
        <v>0</v>
      </c>
      <c r="AJ113" s="41"/>
      <c r="AK113" s="41">
        <f>IFERROR(VLOOKUP($A113,Program[],13,0),0)</f>
        <v>0</v>
      </c>
      <c r="AL113" s="41"/>
      <c r="AM113" s="41"/>
      <c r="AN113" s="41"/>
      <c r="AO113" s="41"/>
      <c r="AP113" s="41"/>
      <c r="AQ113" s="41"/>
      <c r="AR113" s="41"/>
      <c r="AS113" s="41">
        <f>IFERROR(VLOOKUP($A113,Program[],14,0),0)</f>
        <v>0</v>
      </c>
      <c r="AT113" s="41"/>
      <c r="AU113" s="41"/>
      <c r="AV113" s="41">
        <f>IFERROR(VLOOKUP($A113,Program[],15,0),0)</f>
        <v>0</v>
      </c>
      <c r="AW113" s="41"/>
      <c r="AX113" s="41">
        <f>IFERROR(VLOOKUP($A113,Program[],16,0),0)</f>
        <v>0</v>
      </c>
      <c r="AY113" s="41">
        <f>IFERROR(VLOOKUP($A113,Program[],17,0),0)</f>
        <v>0</v>
      </c>
      <c r="AZ113" s="41">
        <f>IFERROR(VLOOKUP($A113,Program[],18,0),0)</f>
        <v>0</v>
      </c>
      <c r="BA113" s="41">
        <f>IFERROR(VLOOKUP($A113,Program[],19,0),0)</f>
        <v>0</v>
      </c>
      <c r="BB113" s="77">
        <f t="shared" si="27"/>
        <v>0</v>
      </c>
      <c r="BC113" s="41">
        <f>IFERROR(VLOOKUP(A113,Food[],3,0),0)</f>
        <v>4168702.8099999996</v>
      </c>
      <c r="BD113" s="41">
        <f>IFERROR(VLOOKUP($A113,FoodRev[],2,0),0)</f>
        <v>1288917.7</v>
      </c>
      <c r="BE113" s="41">
        <f>IFERROR(VLOOKUP($A113,FoodRev[],3,0),0)</f>
        <v>734568.01</v>
      </c>
      <c r="BF113" s="41">
        <f>IFERROR(VLOOKUP($A113,FoodRev[],4,0),0)</f>
        <v>0</v>
      </c>
      <c r="BG113" s="41">
        <f>IFERROR(VLOOKUP($A113,FoodRev[],5,0),0)</f>
        <v>1942809.14</v>
      </c>
      <c r="BH113" s="41">
        <f>IFERROR(VLOOKUP($A113,FoodRev[],6,0),0)</f>
        <v>0</v>
      </c>
      <c r="BI113" s="41">
        <f>IFERROR(VLOOKUP($A113,FoodRev[],7,0),0)</f>
        <v>0</v>
      </c>
      <c r="BJ113" s="41">
        <f>IFERROR(VLOOKUP($A113,FoodRev[],8,0),0)</f>
        <v>279956</v>
      </c>
      <c r="BK113" s="41">
        <f>IFERROR(VLOOKUP($A113,FoodRev[],9,0),0)</f>
        <v>0</v>
      </c>
      <c r="BL113" s="41">
        <f>IFERROR(VLOOKUP($A113,FoodRev[],10,0),0)</f>
        <v>0</v>
      </c>
      <c r="BM113" s="41">
        <f t="shared" si="28"/>
        <v>4246250.8499999996</v>
      </c>
      <c r="BN113" s="42">
        <f t="shared" si="29"/>
        <v>-77548.04000000027</v>
      </c>
      <c r="BO113" s="78">
        <f t="shared" si="30"/>
        <v>0</v>
      </c>
      <c r="BP113" s="78">
        <f t="shared" si="31"/>
        <v>-77548.04000000027</v>
      </c>
    </row>
    <row r="114" spans="1:68" x14ac:dyDescent="0.25">
      <c r="A114" s="40" t="s">
        <v>8</v>
      </c>
      <c r="B114" s="40" t="s">
        <v>809</v>
      </c>
      <c r="D114" s="203">
        <f t="shared" si="22"/>
        <v>1.1920928955078125E-7</v>
      </c>
      <c r="E114" s="41">
        <f>IFERROR(VLOOKUP(A114,Items[],5,0),0)</f>
        <v>551593329.72000003</v>
      </c>
      <c r="F114" s="42">
        <f t="shared" si="23"/>
        <v>551593329.71999991</v>
      </c>
      <c r="G114" s="41">
        <v>0</v>
      </c>
      <c r="H114" s="41">
        <f>IFERROR(VLOOKUP(A114,Items[],4,0),0)</f>
        <v>580969463.60000002</v>
      </c>
      <c r="I114" s="41">
        <f>IFERROR(VLOOKUP(A114,Community[],4,0),0)</f>
        <v>0</v>
      </c>
      <c r="J114" s="41">
        <f>IFERROR(VLOOKUP(A114,Community[],5,0),0)</f>
        <v>0</v>
      </c>
      <c r="K114" s="41">
        <f>IFERROR(VLOOKUP(A114,Community[],6,0),0)</f>
        <v>2171327.41</v>
      </c>
      <c r="L114" s="41">
        <f>IFERROR(VLOOKUP(A114,Community[],7,0),0)</f>
        <v>1356872.2300000002</v>
      </c>
      <c r="M114" s="41">
        <f>IFERROR(VLOOKUP(A114,Debt[],3,0),0)</f>
        <v>49614.6</v>
      </c>
      <c r="N114" s="41">
        <f>IFERROR(VLOOKUP(A114,Debt[],4,0),0)</f>
        <v>3326315.97</v>
      </c>
      <c r="O114" s="41">
        <f>IFERROR(VLOOKUP(A114,Debt[],5,0),0)</f>
        <v>0</v>
      </c>
      <c r="P114" s="41">
        <f>IFERROR(VLOOKUP(A114,Items[],3,0),0)</f>
        <v>2952229.76</v>
      </c>
      <c r="Q114" s="41">
        <f>IFERROR(VLOOKUP($A114,Federal[],2,0),0)</f>
        <v>40592.86</v>
      </c>
      <c r="R114" s="41">
        <f>IFERROR(VLOOKUP($A114,Federal[],4,0),0)</f>
        <v>12925558.460000001</v>
      </c>
      <c r="S114" s="41"/>
      <c r="T114" s="47">
        <f>IFERROR(VLOOKUP($A114,Program[],3,0),0)</f>
        <v>0</v>
      </c>
      <c r="U114" s="47"/>
      <c r="V114" s="41">
        <f>IFERROR(VLOOKUP($A114,Program[],4,0),0)</f>
        <v>0</v>
      </c>
      <c r="W114" s="41">
        <f>IFERROR(VLOOKUP($A114,Program[],5,0),0)</f>
        <v>0</v>
      </c>
      <c r="X114" s="41"/>
      <c r="Y114" s="41"/>
      <c r="Z114" s="41"/>
      <c r="AA114" s="41">
        <f>IFERROR(VLOOKUP($A114,Program[],6,0),0)</f>
        <v>0</v>
      </c>
      <c r="AB114" s="41"/>
      <c r="AC114" s="41"/>
      <c r="AD114" s="41">
        <f>IFERROR(VLOOKUP($A114,Program[],7,0),0)</f>
        <v>0</v>
      </c>
      <c r="AE114" s="41">
        <f>IFERROR(VLOOKUP($A114,Program[],8,0),0)</f>
        <v>0</v>
      </c>
      <c r="AF114" s="41">
        <f>IFERROR(VLOOKUP($A114,Program[],9,0),0)</f>
        <v>0</v>
      </c>
      <c r="AG114" s="41">
        <f>IFERROR(VLOOKUP($A114,Program[],10,0),0)</f>
        <v>0</v>
      </c>
      <c r="AH114" s="41">
        <f>IFERROR(VLOOKUP($A114,Program[],11,0),0)</f>
        <v>0</v>
      </c>
      <c r="AI114" s="41">
        <f>IFERROR(VLOOKUP($A114,Program[],12,0),0)</f>
        <v>0</v>
      </c>
      <c r="AJ114" s="41"/>
      <c r="AK114" s="41">
        <f>IFERROR(VLOOKUP($A114,Program[],13,0),0)</f>
        <v>0</v>
      </c>
      <c r="AL114" s="41"/>
      <c r="AM114" s="41"/>
      <c r="AN114" s="41"/>
      <c r="AO114" s="41"/>
      <c r="AP114" s="41"/>
      <c r="AQ114" s="41"/>
      <c r="AR114" s="41"/>
      <c r="AS114" s="41">
        <f>IFERROR(VLOOKUP($A114,Program[],14,0),0)</f>
        <v>0</v>
      </c>
      <c r="AT114" s="41"/>
      <c r="AU114" s="41"/>
      <c r="AV114" s="41">
        <f>IFERROR(VLOOKUP($A114,Program[],15,0),0)</f>
        <v>33027.15</v>
      </c>
      <c r="AW114" s="41"/>
      <c r="AX114" s="41">
        <f>IFERROR(VLOOKUP($A114,Program[],16,0),0)</f>
        <v>0</v>
      </c>
      <c r="AY114" s="41">
        <f>IFERROR(VLOOKUP($A114,Program[],17,0),0)</f>
        <v>0</v>
      </c>
      <c r="AZ114" s="41">
        <f>IFERROR(VLOOKUP($A114,Program[],18,0),0)</f>
        <v>0</v>
      </c>
      <c r="BA114" s="41">
        <f>IFERROR(VLOOKUP($A114,Program[],19,0),0)</f>
        <v>77264.95</v>
      </c>
      <c r="BB114" s="77">
        <f t="shared" si="27"/>
        <v>452213.58000000095</v>
      </c>
      <c r="BC114" s="41">
        <f>IFERROR(VLOOKUP(A114,Food[],3,0),0)</f>
        <v>9786055.3600000013</v>
      </c>
      <c r="BD114" s="41">
        <f>IFERROR(VLOOKUP($A114,FoodRev[],2,0),0)</f>
        <v>6513844.9800000004</v>
      </c>
      <c r="BE114" s="41">
        <f>IFERROR(VLOOKUP($A114,FoodRev[],3,0),0)</f>
        <v>150069.71</v>
      </c>
      <c r="BF114" s="41">
        <f>IFERROR(VLOOKUP($A114,FoodRev[],4,0),0)</f>
        <v>0</v>
      </c>
      <c r="BG114" s="41">
        <f>IFERROR(VLOOKUP($A114,FoodRev[],5,0),0)</f>
        <v>2150715.67</v>
      </c>
      <c r="BH114" s="41">
        <f>IFERROR(VLOOKUP($A114,FoodRev[],6,0),0)</f>
        <v>0</v>
      </c>
      <c r="BI114" s="41">
        <f>IFERROR(VLOOKUP($A114,FoodRev[],7,0),0)</f>
        <v>0</v>
      </c>
      <c r="BJ114" s="41">
        <f>IFERROR(VLOOKUP($A114,FoodRev[],8,0),0)</f>
        <v>519211.42</v>
      </c>
      <c r="BK114" s="41">
        <f>IFERROR(VLOOKUP($A114,FoodRev[],9,0),0)</f>
        <v>0</v>
      </c>
      <c r="BL114" s="41">
        <f>IFERROR(VLOOKUP($A114,FoodRev[],10,0),0)</f>
        <v>0</v>
      </c>
      <c r="BM114" s="41">
        <f t="shared" si="28"/>
        <v>9333841.7799999993</v>
      </c>
      <c r="BN114" s="42">
        <f t="shared" si="29"/>
        <v>452213.58000000095</v>
      </c>
      <c r="BO114" s="78">
        <f t="shared" si="30"/>
        <v>452213.58000000095</v>
      </c>
      <c r="BP114" s="78">
        <f t="shared" si="31"/>
        <v>0</v>
      </c>
    </row>
    <row r="115" spans="1:68" x14ac:dyDescent="0.25">
      <c r="A115" s="40" t="s">
        <v>12</v>
      </c>
      <c r="B115" s="40" t="s">
        <v>810</v>
      </c>
      <c r="D115" s="203">
        <f t="shared" si="22"/>
        <v>1.7881393432617188E-7</v>
      </c>
      <c r="E115" s="41">
        <f>IFERROR(VLOOKUP(A115,Items[],5,0),0)</f>
        <v>493936857.04000002</v>
      </c>
      <c r="F115" s="42">
        <f t="shared" si="23"/>
        <v>493936857.03999984</v>
      </c>
      <c r="G115" s="41">
        <v>0</v>
      </c>
      <c r="H115" s="41">
        <f>IFERROR(VLOOKUP(A115,Items[],4,0),0)</f>
        <v>536981128.00999999</v>
      </c>
      <c r="I115" s="41">
        <f>IFERROR(VLOOKUP(A115,Community[],4,0),0)</f>
        <v>0</v>
      </c>
      <c r="J115" s="41">
        <f>IFERROR(VLOOKUP(A115,Community[],5,0),0)</f>
        <v>0</v>
      </c>
      <c r="K115" s="41">
        <f>IFERROR(VLOOKUP(A115,Community[],6,0),0)</f>
        <v>0</v>
      </c>
      <c r="L115" s="41">
        <f>IFERROR(VLOOKUP(A115,Community[],7,0),0)</f>
        <v>588150.49</v>
      </c>
      <c r="M115" s="41">
        <f>IFERROR(VLOOKUP(A115,Debt[],3,0),0)</f>
        <v>68858.41</v>
      </c>
      <c r="N115" s="41">
        <f>IFERROR(VLOOKUP(A115,Debt[],4,0),0)</f>
        <v>1085991.99</v>
      </c>
      <c r="O115" s="41">
        <f>IFERROR(VLOOKUP(A115,Debt[],5,0),0)</f>
        <v>0</v>
      </c>
      <c r="P115" s="41">
        <f>IFERROR(VLOOKUP(A115,Items[],3,0),0)</f>
        <v>3256428.76</v>
      </c>
      <c r="Q115" s="41">
        <f>IFERROR(VLOOKUP($A115,Federal[],2,0),0)</f>
        <v>32750.73</v>
      </c>
      <c r="R115" s="41">
        <f>IFERROR(VLOOKUP($A115,Federal[],4,0),0)</f>
        <v>34109209.159999996</v>
      </c>
      <c r="S115" s="41"/>
      <c r="T115" s="47">
        <f>IFERROR(VLOOKUP($A115,Program[],3,0),0)</f>
        <v>0</v>
      </c>
      <c r="U115" s="47"/>
      <c r="V115" s="41">
        <f>IFERROR(VLOOKUP($A115,Program[],4,0),0)</f>
        <v>0</v>
      </c>
      <c r="W115" s="41">
        <f>IFERROR(VLOOKUP($A115,Program[],5,0),0)</f>
        <v>0</v>
      </c>
      <c r="X115" s="41"/>
      <c r="Y115" s="41"/>
      <c r="Z115" s="41"/>
      <c r="AA115" s="41">
        <f>IFERROR(VLOOKUP($A115,Program[],6,0),0)</f>
        <v>0</v>
      </c>
      <c r="AB115" s="41"/>
      <c r="AC115" s="41"/>
      <c r="AD115" s="41">
        <f>IFERROR(VLOOKUP($A115,Program[],7,0),0)</f>
        <v>0</v>
      </c>
      <c r="AE115" s="41">
        <f>IFERROR(VLOOKUP($A115,Program[],8,0),0)</f>
        <v>0</v>
      </c>
      <c r="AF115" s="41">
        <f>IFERROR(VLOOKUP($A115,Program[],9,0),0)</f>
        <v>0</v>
      </c>
      <c r="AG115" s="41">
        <f>IFERROR(VLOOKUP($A115,Program[],10,0),0)</f>
        <v>0</v>
      </c>
      <c r="AH115" s="41">
        <f>IFERROR(VLOOKUP($A115,Program[],11,0),0)</f>
        <v>0</v>
      </c>
      <c r="AI115" s="41">
        <f>IFERROR(VLOOKUP($A115,Program[],12,0),0)</f>
        <v>0</v>
      </c>
      <c r="AJ115" s="41"/>
      <c r="AK115" s="41">
        <f>IFERROR(VLOOKUP($A115,Program[],13,0),0)</f>
        <v>0</v>
      </c>
      <c r="AL115" s="41"/>
      <c r="AM115" s="41"/>
      <c r="AN115" s="41"/>
      <c r="AO115" s="41"/>
      <c r="AP115" s="41"/>
      <c r="AQ115" s="41"/>
      <c r="AR115" s="41"/>
      <c r="AS115" s="41">
        <f>IFERROR(VLOOKUP($A115,Program[],14,0),0)</f>
        <v>0</v>
      </c>
      <c r="AT115" s="41"/>
      <c r="AU115" s="41"/>
      <c r="AV115" s="41">
        <f>IFERROR(VLOOKUP($A115,Program[],15,0),0)</f>
        <v>0</v>
      </c>
      <c r="AW115" s="41"/>
      <c r="AX115" s="41">
        <f>IFERROR(VLOOKUP($A115,Program[],16,0),0)</f>
        <v>0</v>
      </c>
      <c r="AY115" s="41">
        <f>IFERROR(VLOOKUP($A115,Program[],17,0),0)</f>
        <v>0</v>
      </c>
      <c r="AZ115" s="41">
        <f>IFERROR(VLOOKUP($A115,Program[],18,0),0)</f>
        <v>8926.2000000000007</v>
      </c>
      <c r="BA115" s="41">
        <f>IFERROR(VLOOKUP($A115,Program[],19,0),0)</f>
        <v>491600.9</v>
      </c>
      <c r="BB115" s="77">
        <f t="shared" si="27"/>
        <v>0</v>
      </c>
      <c r="BC115" s="41">
        <f>IFERROR(VLOOKUP(A115,Food[],3,0),0)</f>
        <v>15143272.919999998</v>
      </c>
      <c r="BD115" s="41">
        <f>IFERROR(VLOOKUP($A115,FoodRev[],2,0),0)</f>
        <v>170989.45</v>
      </c>
      <c r="BE115" s="41">
        <f>IFERROR(VLOOKUP($A115,FoodRev[],3,0),0)</f>
        <v>4344535.22</v>
      </c>
      <c r="BF115" s="41">
        <f>IFERROR(VLOOKUP($A115,FoodRev[],4,0),0)</f>
        <v>0</v>
      </c>
      <c r="BG115" s="41">
        <f>IFERROR(VLOOKUP($A115,FoodRev[],5,0),0)</f>
        <v>9541775.5500000007</v>
      </c>
      <c r="BH115" s="41">
        <f>IFERROR(VLOOKUP($A115,FoodRev[],6,0),0)</f>
        <v>0</v>
      </c>
      <c r="BI115" s="41">
        <f>IFERROR(VLOOKUP($A115,FoodRev[],7,0),0)</f>
        <v>0</v>
      </c>
      <c r="BJ115" s="41">
        <f>IFERROR(VLOOKUP($A115,FoodRev[],8,0),0)</f>
        <v>1198088.8400000001</v>
      </c>
      <c r="BK115" s="41">
        <f>IFERROR(VLOOKUP($A115,FoodRev[],9,0),0)</f>
        <v>0</v>
      </c>
      <c r="BL115" s="41">
        <f>IFERROR(VLOOKUP($A115,FoodRev[],10,0),0)</f>
        <v>0</v>
      </c>
      <c r="BM115" s="41">
        <f t="shared" si="28"/>
        <v>15255389.060000001</v>
      </c>
      <c r="BN115" s="42">
        <f t="shared" si="29"/>
        <v>-112116.14000000083</v>
      </c>
      <c r="BO115" s="78">
        <f t="shared" si="30"/>
        <v>0</v>
      </c>
      <c r="BP115" s="78">
        <f t="shared" si="31"/>
        <v>-112116.14000000083</v>
      </c>
    </row>
    <row r="116" spans="1:68" x14ac:dyDescent="0.25">
      <c r="A116" s="40" t="s">
        <v>22</v>
      </c>
      <c r="B116" s="40" t="s">
        <v>811</v>
      </c>
      <c r="D116" s="203">
        <f t="shared" si="22"/>
        <v>5.9604644775390625E-8</v>
      </c>
      <c r="E116" s="41">
        <f>IFERROR(VLOOKUP(A116,Items[],5,0),0)</f>
        <v>409001429.85000002</v>
      </c>
      <c r="F116" s="42">
        <f t="shared" si="23"/>
        <v>409001429.84999996</v>
      </c>
      <c r="G116" s="41">
        <v>0</v>
      </c>
      <c r="H116" s="41">
        <f>IFERROR(VLOOKUP(A116,Items[],4,0),0)</f>
        <v>431535452.39999998</v>
      </c>
      <c r="I116" s="41">
        <f>IFERROR(VLOOKUP(A116,Community[],4,0),0)</f>
        <v>0</v>
      </c>
      <c r="J116" s="41">
        <f>IFERROR(VLOOKUP(A116,Community[],5,0),0)</f>
        <v>0</v>
      </c>
      <c r="K116" s="41">
        <f>IFERROR(VLOOKUP(A116,Community[],6,0),0)</f>
        <v>0</v>
      </c>
      <c r="L116" s="41">
        <f>IFERROR(VLOOKUP(A116,Community[],7,0),0)</f>
        <v>695394.1</v>
      </c>
      <c r="M116" s="41">
        <f>IFERROR(VLOOKUP(A116,Debt[],3,0),0)</f>
        <v>40364.25</v>
      </c>
      <c r="N116" s="41">
        <f>IFERROR(VLOOKUP(A116,Debt[],4,0),0)</f>
        <v>209782.32</v>
      </c>
      <c r="O116" s="41">
        <f>IFERROR(VLOOKUP(A116,Debt[],5,0),0)</f>
        <v>0</v>
      </c>
      <c r="P116" s="41">
        <f>IFERROR(VLOOKUP(A116,Items[],3,0),0)</f>
        <v>1315287.54</v>
      </c>
      <c r="Q116" s="41">
        <f>IFERROR(VLOOKUP($A116,Federal[],2,0),0)</f>
        <v>1027145.33</v>
      </c>
      <c r="R116" s="41">
        <f>IFERROR(VLOOKUP($A116,Federal[],4,0),0)</f>
        <v>12834907.710000001</v>
      </c>
      <c r="S116" s="41"/>
      <c r="T116" s="47">
        <f>IFERROR(VLOOKUP($A116,Program[],3,0),0)</f>
        <v>0</v>
      </c>
      <c r="U116" s="47"/>
      <c r="V116" s="41">
        <f>IFERROR(VLOOKUP($A116,Program[],4,0),0)</f>
        <v>0</v>
      </c>
      <c r="W116" s="41">
        <f>IFERROR(VLOOKUP($A116,Program[],5,0),0)</f>
        <v>0</v>
      </c>
      <c r="X116" s="41"/>
      <c r="Y116" s="41"/>
      <c r="Z116" s="41"/>
      <c r="AA116" s="41">
        <f>IFERROR(VLOOKUP($A116,Program[],6,0),0)</f>
        <v>0</v>
      </c>
      <c r="AB116" s="41"/>
      <c r="AC116" s="41"/>
      <c r="AD116" s="41">
        <f>IFERROR(VLOOKUP($A116,Program[],7,0),0)</f>
        <v>0</v>
      </c>
      <c r="AE116" s="41">
        <f>IFERROR(VLOOKUP($A116,Program[],8,0),0)</f>
        <v>0</v>
      </c>
      <c r="AF116" s="41">
        <f>IFERROR(VLOOKUP($A116,Program[],9,0),0)</f>
        <v>0</v>
      </c>
      <c r="AG116" s="41">
        <f>IFERROR(VLOOKUP($A116,Program[],10,0),0)</f>
        <v>0</v>
      </c>
      <c r="AH116" s="41">
        <f>IFERROR(VLOOKUP($A116,Program[],11,0),0)</f>
        <v>0</v>
      </c>
      <c r="AI116" s="41">
        <f>IFERROR(VLOOKUP($A116,Program[],12,0),0)</f>
        <v>0</v>
      </c>
      <c r="AJ116" s="41"/>
      <c r="AK116" s="41">
        <f>IFERROR(VLOOKUP($A116,Program[],13,0),0)</f>
        <v>0</v>
      </c>
      <c r="AL116" s="41"/>
      <c r="AM116" s="41"/>
      <c r="AN116" s="41"/>
      <c r="AO116" s="41"/>
      <c r="AP116" s="41"/>
      <c r="AQ116" s="41"/>
      <c r="AR116" s="41"/>
      <c r="AS116" s="41">
        <f>IFERROR(VLOOKUP($A116,Program[],14,0),0)</f>
        <v>0</v>
      </c>
      <c r="AT116" s="41"/>
      <c r="AU116" s="41"/>
      <c r="AV116" s="41">
        <f>IFERROR(VLOOKUP($A116,Program[],15,0),0)</f>
        <v>74487.03</v>
      </c>
      <c r="AW116" s="41"/>
      <c r="AX116" s="41">
        <f>IFERROR(VLOOKUP($A116,Program[],16,0),0)</f>
        <v>0</v>
      </c>
      <c r="AY116" s="41">
        <f>IFERROR(VLOOKUP($A116,Program[],17,0),0)</f>
        <v>0</v>
      </c>
      <c r="AZ116" s="41">
        <f>IFERROR(VLOOKUP($A116,Program[],18,0),0)</f>
        <v>0</v>
      </c>
      <c r="BA116" s="41">
        <f>IFERROR(VLOOKUP($A116,Program[],19,0),0)</f>
        <v>171261.4</v>
      </c>
      <c r="BB116" s="77">
        <f t="shared" si="27"/>
        <v>54133.850000001141</v>
      </c>
      <c r="BC116" s="41">
        <f>IFERROR(VLOOKUP(A116,Food[],3,0),0)</f>
        <v>9946603.3000000007</v>
      </c>
      <c r="BD116" s="41">
        <f>IFERROR(VLOOKUP($A116,FoodRev[],2,0),0)</f>
        <v>6135216.7699999996</v>
      </c>
      <c r="BE116" s="41">
        <f>IFERROR(VLOOKUP($A116,FoodRev[],3,0),0)</f>
        <v>521672.96000000002</v>
      </c>
      <c r="BF116" s="41">
        <f>IFERROR(VLOOKUP($A116,FoodRev[],4,0),0)</f>
        <v>0</v>
      </c>
      <c r="BG116" s="41">
        <f>IFERROR(VLOOKUP($A116,FoodRev[],5,0),0)</f>
        <v>2517428.35</v>
      </c>
      <c r="BH116" s="41">
        <f>IFERROR(VLOOKUP($A116,FoodRev[],6,0),0)</f>
        <v>0</v>
      </c>
      <c r="BI116" s="41">
        <f>IFERROR(VLOOKUP($A116,FoodRev[],7,0),0)</f>
        <v>0</v>
      </c>
      <c r="BJ116" s="41">
        <f>IFERROR(VLOOKUP($A116,FoodRev[],8,0),0)</f>
        <v>718151.37</v>
      </c>
      <c r="BK116" s="41">
        <f>IFERROR(VLOOKUP($A116,FoodRev[],9,0),0)</f>
        <v>0</v>
      </c>
      <c r="BL116" s="41">
        <f>IFERROR(VLOOKUP($A116,FoodRev[],10,0),0)</f>
        <v>0</v>
      </c>
      <c r="BM116" s="41">
        <f t="shared" si="28"/>
        <v>9892469.4499999993</v>
      </c>
      <c r="BN116" s="42">
        <f t="shared" si="29"/>
        <v>54133.850000001141</v>
      </c>
      <c r="BO116" s="78">
        <f t="shared" si="30"/>
        <v>54133.850000001141</v>
      </c>
      <c r="BP116" s="78">
        <f t="shared" si="31"/>
        <v>0</v>
      </c>
    </row>
    <row r="117" spans="1:68" x14ac:dyDescent="0.25">
      <c r="A117" s="43" t="s">
        <v>480</v>
      </c>
      <c r="B117" s="43" t="s">
        <v>1010</v>
      </c>
      <c r="D117" s="203">
        <f t="shared" si="22"/>
        <v>9.3132257461547852E-10</v>
      </c>
      <c r="E117" s="41">
        <f>IFERROR(VLOOKUP(A117,Items[],5,0),0)</f>
        <v>4678743.99</v>
      </c>
      <c r="F117" s="42">
        <f t="shared" si="23"/>
        <v>4678743.9899999993</v>
      </c>
      <c r="G117" s="41">
        <v>0</v>
      </c>
      <c r="H117" s="41">
        <f>IFERROR(VLOOKUP(A117,Items[],4,0),0)</f>
        <v>4858900.5999999996</v>
      </c>
      <c r="I117" s="41">
        <f>IFERROR(VLOOKUP(A117,Community[],4,0),0)</f>
        <v>0</v>
      </c>
      <c r="J117" s="41">
        <f>IFERROR(VLOOKUP(A117,Community[],5,0),0)</f>
        <v>0</v>
      </c>
      <c r="K117" s="41">
        <f>IFERROR(VLOOKUP(A117,Community[],6,0),0)</f>
        <v>0</v>
      </c>
      <c r="L117" s="41">
        <f>IFERROR(VLOOKUP(A117,Community[],7,0),0)</f>
        <v>0</v>
      </c>
      <c r="M117" s="41">
        <f>IFERROR(VLOOKUP(A117,Debt[],3,0),0)</f>
        <v>0</v>
      </c>
      <c r="N117" s="41">
        <f>IFERROR(VLOOKUP(A117,Debt[],4,0),0)</f>
        <v>0</v>
      </c>
      <c r="O117" s="41">
        <f>IFERROR(VLOOKUP(A117,Debt[],5,0),0)</f>
        <v>0</v>
      </c>
      <c r="P117" s="41">
        <f>IFERROR(VLOOKUP(A117,Items[],3,0),0)</f>
        <v>0</v>
      </c>
      <c r="Q117" s="41">
        <f>IFERROR(VLOOKUP($A117,Federal[],2,0),0)</f>
        <v>0</v>
      </c>
      <c r="R117" s="41">
        <f>IFERROR(VLOOKUP($A117,Federal[],4,0),0)</f>
        <v>179118.61</v>
      </c>
      <c r="S117" s="41"/>
      <c r="T117" s="47">
        <f>IFERROR(VLOOKUP($A117,Program[],3,0),0)</f>
        <v>0</v>
      </c>
      <c r="U117" s="47"/>
      <c r="V117" s="41">
        <f>IFERROR(VLOOKUP($A117,Program[],4,0),0)</f>
        <v>0</v>
      </c>
      <c r="W117" s="41">
        <f>IFERROR(VLOOKUP($A117,Program[],5,0),0)</f>
        <v>0</v>
      </c>
      <c r="X117" s="41"/>
      <c r="Y117" s="41"/>
      <c r="Z117" s="41"/>
      <c r="AA117" s="41">
        <f>IFERROR(VLOOKUP($A117,Program[],6,0),0)</f>
        <v>0</v>
      </c>
      <c r="AB117" s="41"/>
      <c r="AC117" s="41"/>
      <c r="AD117" s="41">
        <f>IFERROR(VLOOKUP($A117,Program[],7,0),0)</f>
        <v>0</v>
      </c>
      <c r="AE117" s="41">
        <f>IFERROR(VLOOKUP($A117,Program[],8,0),0)</f>
        <v>0</v>
      </c>
      <c r="AF117" s="41">
        <f>IFERROR(VLOOKUP($A117,Program[],9,0),0)</f>
        <v>0</v>
      </c>
      <c r="AG117" s="41">
        <f>IFERROR(VLOOKUP($A117,Program[],10,0),0)</f>
        <v>0</v>
      </c>
      <c r="AH117" s="41">
        <f>IFERROR(VLOOKUP($A117,Program[],11,0),0)</f>
        <v>0</v>
      </c>
      <c r="AI117" s="41">
        <f>IFERROR(VLOOKUP($A117,Program[],12,0),0)</f>
        <v>0</v>
      </c>
      <c r="AJ117" s="41"/>
      <c r="AK117" s="41">
        <f>IFERROR(VLOOKUP($A117,Program[],13,0),0)</f>
        <v>0</v>
      </c>
      <c r="AL117" s="41"/>
      <c r="AM117" s="41"/>
      <c r="AN117" s="41"/>
      <c r="AO117" s="41"/>
      <c r="AP117" s="41"/>
      <c r="AQ117" s="41"/>
      <c r="AR117" s="41"/>
      <c r="AS117" s="41">
        <f>IFERROR(VLOOKUP($A117,Program[],14,0),0)</f>
        <v>0</v>
      </c>
      <c r="AT117" s="41"/>
      <c r="AU117" s="41"/>
      <c r="AV117" s="41">
        <f>IFERROR(VLOOKUP($A117,Program[],15,0),0)</f>
        <v>0</v>
      </c>
      <c r="AW117" s="41"/>
      <c r="AX117" s="41">
        <f>IFERROR(VLOOKUP($A117,Program[],16,0),0)</f>
        <v>0</v>
      </c>
      <c r="AY117" s="41">
        <f>IFERROR(VLOOKUP($A117,Program[],17,0),0)</f>
        <v>0</v>
      </c>
      <c r="AZ117" s="41">
        <f>IFERROR(VLOOKUP($A117,Program[],18,0),0)</f>
        <v>0</v>
      </c>
      <c r="BA117" s="41">
        <f>IFERROR(VLOOKUP($A117,Program[],19,0),0)</f>
        <v>0</v>
      </c>
      <c r="BB117" s="77">
        <f t="shared" si="27"/>
        <v>18150.179999999993</v>
      </c>
      <c r="BC117" s="41">
        <f>IFERROR(VLOOKUP(A117,Food[],3,0),0)</f>
        <v>42692.789999999994</v>
      </c>
      <c r="BD117" s="41">
        <f>IFERROR(VLOOKUP($A117,FoodRev[],2,0),0)</f>
        <v>0</v>
      </c>
      <c r="BE117" s="41">
        <f>IFERROR(VLOOKUP($A117,FoodRev[],3,0),0)</f>
        <v>1038</v>
      </c>
      <c r="BF117" s="41">
        <f>IFERROR(VLOOKUP($A117,FoodRev[],4,0),0)</f>
        <v>0</v>
      </c>
      <c r="BG117" s="41">
        <f>IFERROR(VLOOKUP($A117,FoodRev[],5,0),0)</f>
        <v>23504.61</v>
      </c>
      <c r="BH117" s="41">
        <f>IFERROR(VLOOKUP($A117,FoodRev[],6,0),0)</f>
        <v>0</v>
      </c>
      <c r="BI117" s="41">
        <f>IFERROR(VLOOKUP($A117,FoodRev[],7,0),0)</f>
        <v>0</v>
      </c>
      <c r="BJ117" s="41">
        <f>IFERROR(VLOOKUP($A117,FoodRev[],8,0),0)</f>
        <v>0</v>
      </c>
      <c r="BK117" s="41">
        <f>IFERROR(VLOOKUP($A117,FoodRev[],9,0),0)</f>
        <v>0</v>
      </c>
      <c r="BL117" s="41">
        <f>IFERROR(VLOOKUP($A117,FoodRev[],10,0),0)</f>
        <v>0</v>
      </c>
      <c r="BM117" s="41">
        <f t="shared" si="28"/>
        <v>24542.61</v>
      </c>
      <c r="BN117" s="42">
        <f t="shared" si="29"/>
        <v>18150.179999999993</v>
      </c>
      <c r="BO117" s="78">
        <f t="shared" si="30"/>
        <v>18150.179999999993</v>
      </c>
      <c r="BP117" s="78">
        <f t="shared" si="31"/>
        <v>0</v>
      </c>
    </row>
    <row r="118" spans="1:68" x14ac:dyDescent="0.25">
      <c r="A118" s="40" t="s">
        <v>392</v>
      </c>
      <c r="B118" s="40" t="s">
        <v>812</v>
      </c>
      <c r="D118" s="203">
        <f t="shared" si="22"/>
        <v>0</v>
      </c>
      <c r="E118" s="41">
        <f>IFERROR(VLOOKUP(A118,Items[],5,0),0)</f>
        <v>8671401.2400000002</v>
      </c>
      <c r="F118" s="42">
        <f t="shared" si="23"/>
        <v>8671401.2400000002</v>
      </c>
      <c r="G118" s="41">
        <v>0</v>
      </c>
      <c r="H118" s="41">
        <f>IFERROR(VLOOKUP(A118,Items[],4,0),0)</f>
        <v>8771322.8300000001</v>
      </c>
      <c r="I118" s="41">
        <f>IFERROR(VLOOKUP(A118,Community[],4,0),0)</f>
        <v>0</v>
      </c>
      <c r="J118" s="41">
        <f>IFERROR(VLOOKUP(A118,Community[],5,0),0)</f>
        <v>0</v>
      </c>
      <c r="K118" s="41">
        <f>IFERROR(VLOOKUP(A118,Community[],6,0),0)</f>
        <v>0</v>
      </c>
      <c r="L118" s="41">
        <f>IFERROR(VLOOKUP(A118,Community[],7,0),0)</f>
        <v>0</v>
      </c>
      <c r="M118" s="41">
        <f>IFERROR(VLOOKUP(A118,Debt[],3,0),0)</f>
        <v>0</v>
      </c>
      <c r="N118" s="41">
        <f>IFERROR(VLOOKUP(A118,Debt[],4,0),0)</f>
        <v>0</v>
      </c>
      <c r="O118" s="41">
        <f>IFERROR(VLOOKUP(A118,Debt[],5,0),0)</f>
        <v>0</v>
      </c>
      <c r="P118" s="41">
        <f>IFERROR(VLOOKUP(A118,Items[],3,0),0)</f>
        <v>0</v>
      </c>
      <c r="Q118" s="41">
        <f>IFERROR(VLOOKUP($A118,Federal[],2,0),0)</f>
        <v>0</v>
      </c>
      <c r="R118" s="41">
        <f>IFERROR(VLOOKUP($A118,Federal[],4,0),0)</f>
        <v>99921.59</v>
      </c>
      <c r="S118" s="41"/>
      <c r="T118" s="47">
        <f>IFERROR(VLOOKUP($A118,Program[],3,0),0)</f>
        <v>0</v>
      </c>
      <c r="U118" s="47"/>
      <c r="V118" s="41">
        <f>IFERROR(VLOOKUP($A118,Program[],4,0),0)</f>
        <v>0</v>
      </c>
      <c r="W118" s="41">
        <f>IFERROR(VLOOKUP($A118,Program[],5,0),0)</f>
        <v>0</v>
      </c>
      <c r="X118" s="41"/>
      <c r="Y118" s="41"/>
      <c r="Z118" s="41"/>
      <c r="AA118" s="41">
        <f>IFERROR(VLOOKUP($A118,Program[],6,0),0)</f>
        <v>0</v>
      </c>
      <c r="AB118" s="41"/>
      <c r="AC118" s="41"/>
      <c r="AD118" s="41">
        <f>IFERROR(VLOOKUP($A118,Program[],7,0),0)</f>
        <v>0</v>
      </c>
      <c r="AE118" s="41">
        <f>IFERROR(VLOOKUP($A118,Program[],8,0),0)</f>
        <v>0</v>
      </c>
      <c r="AF118" s="41">
        <f>IFERROR(VLOOKUP($A118,Program[],9,0),0)</f>
        <v>0</v>
      </c>
      <c r="AG118" s="41">
        <f>IFERROR(VLOOKUP($A118,Program[],10,0),0)</f>
        <v>0</v>
      </c>
      <c r="AH118" s="41">
        <f>IFERROR(VLOOKUP($A118,Program[],11,0),0)</f>
        <v>0</v>
      </c>
      <c r="AI118" s="41">
        <f>IFERROR(VLOOKUP($A118,Program[],12,0),0)</f>
        <v>0</v>
      </c>
      <c r="AJ118" s="41"/>
      <c r="AK118" s="41">
        <f>IFERROR(VLOOKUP($A118,Program[],13,0),0)</f>
        <v>0</v>
      </c>
      <c r="AL118" s="41"/>
      <c r="AM118" s="41"/>
      <c r="AN118" s="41"/>
      <c r="AO118" s="41"/>
      <c r="AP118" s="41"/>
      <c r="AQ118" s="41"/>
      <c r="AR118" s="41"/>
      <c r="AS118" s="41">
        <f>IFERROR(VLOOKUP($A118,Program[],14,0),0)</f>
        <v>0</v>
      </c>
      <c r="AT118" s="41"/>
      <c r="AU118" s="41"/>
      <c r="AV118" s="41">
        <f>IFERROR(VLOOKUP($A118,Program[],15,0),0)</f>
        <v>0</v>
      </c>
      <c r="AW118" s="41"/>
      <c r="AX118" s="41">
        <f>IFERROR(VLOOKUP($A118,Program[],16,0),0)</f>
        <v>0</v>
      </c>
      <c r="AY118" s="41">
        <f>IFERROR(VLOOKUP($A118,Program[],17,0),0)</f>
        <v>0</v>
      </c>
      <c r="AZ118" s="41">
        <f>IFERROR(VLOOKUP($A118,Program[],18,0),0)</f>
        <v>0</v>
      </c>
      <c r="BA118" s="41">
        <f>IFERROR(VLOOKUP($A118,Program[],19,0),0)</f>
        <v>0</v>
      </c>
      <c r="BB118" s="77">
        <f t="shared" si="27"/>
        <v>0</v>
      </c>
      <c r="BC118" s="41">
        <f>IFERROR(VLOOKUP(A118,Food[],3,0),0)</f>
        <v>99921.59</v>
      </c>
      <c r="BD118" s="41">
        <f>IFERROR(VLOOKUP($A118,FoodRev[],2,0),0)</f>
        <v>0</v>
      </c>
      <c r="BE118" s="41">
        <f>IFERROR(VLOOKUP($A118,FoodRev[],3,0),0)</f>
        <v>0</v>
      </c>
      <c r="BF118" s="41">
        <f>IFERROR(VLOOKUP($A118,FoodRev[],4,0),0)</f>
        <v>0</v>
      </c>
      <c r="BG118" s="41">
        <f>IFERROR(VLOOKUP($A118,FoodRev[],5,0),0)</f>
        <v>99921.59</v>
      </c>
      <c r="BH118" s="41">
        <f>IFERROR(VLOOKUP($A118,FoodRev[],6,0),0)</f>
        <v>0</v>
      </c>
      <c r="BI118" s="41">
        <f>IFERROR(VLOOKUP($A118,FoodRev[],7,0),0)</f>
        <v>0</v>
      </c>
      <c r="BJ118" s="41">
        <f>IFERROR(VLOOKUP($A118,FoodRev[],8,0),0)</f>
        <v>0</v>
      </c>
      <c r="BK118" s="41">
        <f>IFERROR(VLOOKUP($A118,FoodRev[],9,0),0)</f>
        <v>0</v>
      </c>
      <c r="BL118" s="41">
        <f>IFERROR(VLOOKUP($A118,FoodRev[],10,0),0)</f>
        <v>0</v>
      </c>
      <c r="BM118" s="41">
        <f t="shared" si="28"/>
        <v>99921.59</v>
      </c>
      <c r="BN118" s="42">
        <f t="shared" si="29"/>
        <v>0</v>
      </c>
      <c r="BO118" s="78">
        <f t="shared" si="30"/>
        <v>0</v>
      </c>
      <c r="BP118" s="78">
        <f t="shared" si="31"/>
        <v>0</v>
      </c>
    </row>
    <row r="119" spans="1:68" x14ac:dyDescent="0.25">
      <c r="A119" s="44" t="s">
        <v>998</v>
      </c>
      <c r="B119" s="43" t="s">
        <v>1011</v>
      </c>
      <c r="D119" s="203">
        <f t="shared" si="22"/>
        <v>0</v>
      </c>
      <c r="E119" s="41">
        <f>IFERROR(VLOOKUP(A119,Items[],5,0),0)</f>
        <v>11791969.23</v>
      </c>
      <c r="F119" s="42">
        <f t="shared" si="23"/>
        <v>11791969.23</v>
      </c>
      <c r="G119" s="41">
        <v>0</v>
      </c>
      <c r="H119" s="41">
        <f>IFERROR(VLOOKUP(A119,Items[],4,0),0)</f>
        <v>12332367.67</v>
      </c>
      <c r="I119" s="41">
        <f>IFERROR(VLOOKUP(A119,Community[],4,0),0)</f>
        <v>0</v>
      </c>
      <c r="J119" s="41">
        <f>IFERROR(VLOOKUP(A119,Community[],5,0),0)</f>
        <v>0</v>
      </c>
      <c r="K119" s="41">
        <f>IFERROR(VLOOKUP(A119,Community[],6,0),0)</f>
        <v>0</v>
      </c>
      <c r="L119" s="41">
        <f>IFERROR(VLOOKUP(A119,Community[],7,0),0)</f>
        <v>0</v>
      </c>
      <c r="M119" s="41">
        <f>IFERROR(VLOOKUP(A119,Debt[],3,0),0)</f>
        <v>0</v>
      </c>
      <c r="N119" s="41">
        <f>IFERROR(VLOOKUP(A119,Debt[],4,0),0)</f>
        <v>0</v>
      </c>
      <c r="O119" s="41">
        <f>IFERROR(VLOOKUP(A119,Debt[],5,0),0)</f>
        <v>0</v>
      </c>
      <c r="P119" s="41">
        <f>IFERROR(VLOOKUP(A119,Items[],3,0),0)</f>
        <v>0</v>
      </c>
      <c r="Q119" s="41">
        <f>IFERROR(VLOOKUP($A119,Federal[],2,0),0)</f>
        <v>0</v>
      </c>
      <c r="R119" s="41">
        <f>IFERROR(VLOOKUP($A119,Federal[],4,0),0)</f>
        <v>538461.23</v>
      </c>
      <c r="S119" s="41"/>
      <c r="T119" s="47">
        <f>IFERROR(VLOOKUP($A119,Program[],3,0),0)</f>
        <v>0</v>
      </c>
      <c r="U119" s="47"/>
      <c r="V119" s="41">
        <f>IFERROR(VLOOKUP($A119,Program[],4,0),0)</f>
        <v>0</v>
      </c>
      <c r="W119" s="41">
        <f>IFERROR(VLOOKUP($A119,Program[],5,0),0)</f>
        <v>0</v>
      </c>
      <c r="X119" s="41"/>
      <c r="Y119" s="41"/>
      <c r="Z119" s="41"/>
      <c r="AA119" s="41">
        <f>IFERROR(VLOOKUP($A119,Program[],6,0),0)</f>
        <v>0</v>
      </c>
      <c r="AB119" s="41"/>
      <c r="AC119" s="41"/>
      <c r="AD119" s="41">
        <f>IFERROR(VLOOKUP($A119,Program[],7,0),0)</f>
        <v>0</v>
      </c>
      <c r="AE119" s="41">
        <f>IFERROR(VLOOKUP($A119,Program[],8,0),0)</f>
        <v>0</v>
      </c>
      <c r="AF119" s="41">
        <f>IFERROR(VLOOKUP($A119,Program[],9,0),0)</f>
        <v>0</v>
      </c>
      <c r="AG119" s="41">
        <f>IFERROR(VLOOKUP($A119,Program[],10,0),0)</f>
        <v>0</v>
      </c>
      <c r="AH119" s="41">
        <f>IFERROR(VLOOKUP($A119,Program[],11,0),0)</f>
        <v>0</v>
      </c>
      <c r="AI119" s="41">
        <f>IFERROR(VLOOKUP($A119,Program[],12,0),0)</f>
        <v>0</v>
      </c>
      <c r="AJ119" s="41"/>
      <c r="AK119" s="41">
        <f>IFERROR(VLOOKUP($A119,Program[],13,0),0)</f>
        <v>0</v>
      </c>
      <c r="AL119" s="41"/>
      <c r="AM119" s="41"/>
      <c r="AN119" s="41"/>
      <c r="AO119" s="41"/>
      <c r="AP119" s="41"/>
      <c r="AQ119" s="41"/>
      <c r="AR119" s="41"/>
      <c r="AS119" s="41">
        <f>IFERROR(VLOOKUP($A119,Program[],14,0),0)</f>
        <v>0</v>
      </c>
      <c r="AT119" s="41"/>
      <c r="AU119" s="41"/>
      <c r="AV119" s="41">
        <f>IFERROR(VLOOKUP($A119,Program[],15,0),0)</f>
        <v>0</v>
      </c>
      <c r="AW119" s="41"/>
      <c r="AX119" s="41">
        <f>IFERROR(VLOOKUP($A119,Program[],16,0),0)</f>
        <v>0</v>
      </c>
      <c r="AY119" s="41">
        <f>IFERROR(VLOOKUP($A119,Program[],17,0),0)</f>
        <v>0</v>
      </c>
      <c r="AZ119" s="41">
        <f>IFERROR(VLOOKUP($A119,Program[],18,0),0)</f>
        <v>0</v>
      </c>
      <c r="BA119" s="41">
        <f>IFERROR(VLOOKUP($A119,Program[],19,0),0)</f>
        <v>0</v>
      </c>
      <c r="BB119" s="77">
        <f t="shared" si="27"/>
        <v>96060.510000000009</v>
      </c>
      <c r="BC119" s="41">
        <f>IFERROR(VLOOKUP(A119,Food[],3,0),0)</f>
        <v>163237.35</v>
      </c>
      <c r="BD119" s="41">
        <f>IFERROR(VLOOKUP($A119,FoodRev[],2,0),0)</f>
        <v>0</v>
      </c>
      <c r="BE119" s="41">
        <f>IFERROR(VLOOKUP($A119,FoodRev[],3,0),0)</f>
        <v>1937.21</v>
      </c>
      <c r="BF119" s="41">
        <f>IFERROR(VLOOKUP($A119,FoodRev[],4,0),0)</f>
        <v>0</v>
      </c>
      <c r="BG119" s="41">
        <f>IFERROR(VLOOKUP($A119,FoodRev[],5,0),0)</f>
        <v>65239.63</v>
      </c>
      <c r="BH119" s="41">
        <f>IFERROR(VLOOKUP($A119,FoodRev[],6,0),0)</f>
        <v>0</v>
      </c>
      <c r="BI119" s="41">
        <f>IFERROR(VLOOKUP($A119,FoodRev[],7,0),0)</f>
        <v>0</v>
      </c>
      <c r="BJ119" s="41">
        <f>IFERROR(VLOOKUP($A119,FoodRev[],8,0),0)</f>
        <v>0</v>
      </c>
      <c r="BK119" s="41">
        <f>IFERROR(VLOOKUP($A119,FoodRev[],9,0),0)</f>
        <v>0</v>
      </c>
      <c r="BL119" s="41">
        <f>IFERROR(VLOOKUP($A119,FoodRev[],10,0),0)</f>
        <v>0</v>
      </c>
      <c r="BM119" s="41">
        <f t="shared" si="28"/>
        <v>67176.84</v>
      </c>
      <c r="BN119" s="42">
        <f t="shared" si="29"/>
        <v>96060.510000000009</v>
      </c>
      <c r="BO119" s="78">
        <f t="shared" si="30"/>
        <v>96060.510000000009</v>
      </c>
      <c r="BP119" s="78">
        <f t="shared" si="31"/>
        <v>0</v>
      </c>
    </row>
    <row r="120" spans="1:68" x14ac:dyDescent="0.25">
      <c r="A120" s="43" t="s">
        <v>444</v>
      </c>
      <c r="B120" s="43" t="s">
        <v>813</v>
      </c>
      <c r="D120" s="203">
        <f t="shared" si="22"/>
        <v>9.3132257461547852E-10</v>
      </c>
      <c r="E120" s="41">
        <f>IFERROR(VLOOKUP(A120,Items[],5,0),0)</f>
        <v>6542635.7300000004</v>
      </c>
      <c r="F120" s="42">
        <f t="shared" si="23"/>
        <v>6542635.7299999995</v>
      </c>
      <c r="G120" s="41">
        <v>0</v>
      </c>
      <c r="H120" s="41">
        <f>IFERROR(VLOOKUP(A120,Items[],4,0),0)</f>
        <v>6981727</v>
      </c>
      <c r="I120" s="41">
        <f>IFERROR(VLOOKUP(A120,Community[],4,0),0)</f>
        <v>0</v>
      </c>
      <c r="J120" s="41">
        <f>IFERROR(VLOOKUP(A120,Community[],5,0),0)</f>
        <v>0</v>
      </c>
      <c r="K120" s="41">
        <f>IFERROR(VLOOKUP(A120,Community[],6,0),0)</f>
        <v>0</v>
      </c>
      <c r="L120" s="41">
        <f>IFERROR(VLOOKUP(A120,Community[],7,0),0)</f>
        <v>0</v>
      </c>
      <c r="M120" s="41">
        <f>IFERROR(VLOOKUP(A120,Debt[],3,0),0)</f>
        <v>0</v>
      </c>
      <c r="N120" s="41">
        <f>IFERROR(VLOOKUP(A120,Debt[],4,0),0)</f>
        <v>0</v>
      </c>
      <c r="O120" s="41">
        <f>IFERROR(VLOOKUP(A120,Debt[],5,0),0)</f>
        <v>0</v>
      </c>
      <c r="P120" s="41">
        <f>IFERROR(VLOOKUP(A120,Items[],3,0),0)</f>
        <v>0</v>
      </c>
      <c r="Q120" s="41">
        <f>IFERROR(VLOOKUP($A120,Federal[],2,0),0)</f>
        <v>0</v>
      </c>
      <c r="R120" s="41">
        <f>IFERROR(VLOOKUP($A120,Federal[],4,0),0)</f>
        <v>390903.84</v>
      </c>
      <c r="S120" s="41"/>
      <c r="T120" s="47">
        <f>IFERROR(VLOOKUP($A120,Program[],3,0),0)</f>
        <v>0</v>
      </c>
      <c r="U120" s="47"/>
      <c r="V120" s="41">
        <f>IFERROR(VLOOKUP($A120,Program[],4,0),0)</f>
        <v>0</v>
      </c>
      <c r="W120" s="41">
        <f>IFERROR(VLOOKUP($A120,Program[],5,0),0)</f>
        <v>0</v>
      </c>
      <c r="X120" s="41"/>
      <c r="Y120" s="41"/>
      <c r="Z120" s="41"/>
      <c r="AA120" s="41">
        <f>IFERROR(VLOOKUP($A120,Program[],6,0),0)</f>
        <v>0</v>
      </c>
      <c r="AB120" s="41"/>
      <c r="AC120" s="41"/>
      <c r="AD120" s="41">
        <f>IFERROR(VLOOKUP($A120,Program[],7,0),0)</f>
        <v>0</v>
      </c>
      <c r="AE120" s="41">
        <f>IFERROR(VLOOKUP($A120,Program[],8,0),0)</f>
        <v>0</v>
      </c>
      <c r="AF120" s="41">
        <f>IFERROR(VLOOKUP($A120,Program[],9,0),0)</f>
        <v>0</v>
      </c>
      <c r="AG120" s="41">
        <f>IFERROR(VLOOKUP($A120,Program[],10,0),0)</f>
        <v>0</v>
      </c>
      <c r="AH120" s="41">
        <f>IFERROR(VLOOKUP($A120,Program[],11,0),0)</f>
        <v>0</v>
      </c>
      <c r="AI120" s="41">
        <f>IFERROR(VLOOKUP($A120,Program[],12,0),0)</f>
        <v>0</v>
      </c>
      <c r="AJ120" s="41"/>
      <c r="AK120" s="41">
        <f>IFERROR(VLOOKUP($A120,Program[],13,0),0)</f>
        <v>0</v>
      </c>
      <c r="AL120" s="41"/>
      <c r="AM120" s="41"/>
      <c r="AN120" s="41"/>
      <c r="AO120" s="41"/>
      <c r="AP120" s="41"/>
      <c r="AQ120" s="41"/>
      <c r="AR120" s="41"/>
      <c r="AS120" s="41">
        <f>IFERROR(VLOOKUP($A120,Program[],14,0),0)</f>
        <v>0</v>
      </c>
      <c r="AT120" s="41"/>
      <c r="AU120" s="41"/>
      <c r="AV120" s="41">
        <f>IFERROR(VLOOKUP($A120,Program[],15,0),0)</f>
        <v>0</v>
      </c>
      <c r="AW120" s="41"/>
      <c r="AX120" s="41">
        <f>IFERROR(VLOOKUP($A120,Program[],16,0),0)</f>
        <v>0</v>
      </c>
      <c r="AY120" s="41">
        <f>IFERROR(VLOOKUP($A120,Program[],17,0),0)</f>
        <v>0</v>
      </c>
      <c r="AZ120" s="41">
        <f>IFERROR(VLOOKUP($A120,Program[],18,0),0)</f>
        <v>0</v>
      </c>
      <c r="BA120" s="41">
        <f>IFERROR(VLOOKUP($A120,Program[],19,0),0)</f>
        <v>0</v>
      </c>
      <c r="BB120" s="77">
        <f t="shared" si="27"/>
        <v>132902.68</v>
      </c>
      <c r="BC120" s="41">
        <f>IFERROR(VLOOKUP(A120,Food[],3,0),0)</f>
        <v>324553</v>
      </c>
      <c r="BD120" s="41">
        <f>IFERROR(VLOOKUP($A120,FoodRev[],2,0),0)</f>
        <v>0</v>
      </c>
      <c r="BE120" s="41">
        <f>IFERROR(VLOOKUP($A120,FoodRev[],3,0),0)</f>
        <v>48187.43</v>
      </c>
      <c r="BF120" s="41">
        <f>IFERROR(VLOOKUP($A120,FoodRev[],4,0),0)</f>
        <v>0</v>
      </c>
      <c r="BG120" s="41">
        <f>IFERROR(VLOOKUP($A120,FoodRev[],5,0),0)</f>
        <v>143462.89000000001</v>
      </c>
      <c r="BH120" s="41">
        <f>IFERROR(VLOOKUP($A120,FoodRev[],6,0),0)</f>
        <v>0</v>
      </c>
      <c r="BI120" s="41">
        <f>IFERROR(VLOOKUP($A120,FoodRev[],7,0),0)</f>
        <v>0</v>
      </c>
      <c r="BJ120" s="41">
        <f>IFERROR(VLOOKUP($A120,FoodRev[],8,0),0)</f>
        <v>0</v>
      </c>
      <c r="BK120" s="41">
        <f>IFERROR(VLOOKUP($A120,FoodRev[],9,0),0)</f>
        <v>0</v>
      </c>
      <c r="BL120" s="41">
        <f>IFERROR(VLOOKUP($A120,FoodRev[],10,0),0)</f>
        <v>0</v>
      </c>
      <c r="BM120" s="41">
        <f t="shared" si="28"/>
        <v>191650.32</v>
      </c>
      <c r="BN120" s="42">
        <f t="shared" si="29"/>
        <v>132902.68</v>
      </c>
      <c r="BO120" s="78">
        <f t="shared" si="30"/>
        <v>132902.68</v>
      </c>
      <c r="BP120" s="78">
        <f t="shared" si="31"/>
        <v>0</v>
      </c>
    </row>
    <row r="121" spans="1:68" x14ac:dyDescent="0.25">
      <c r="A121" s="44" t="s">
        <v>999</v>
      </c>
      <c r="B121" s="43" t="s">
        <v>1012</v>
      </c>
      <c r="D121" s="203">
        <f t="shared" si="22"/>
        <v>0</v>
      </c>
      <c r="E121" s="41">
        <f>IFERROR(VLOOKUP(A121,Items[],5,0),0)</f>
        <v>3959210.9</v>
      </c>
      <c r="F121" s="42">
        <f t="shared" si="23"/>
        <v>3959210.9</v>
      </c>
      <c r="G121" s="41">
        <v>0</v>
      </c>
      <c r="H121" s="41">
        <f>IFERROR(VLOOKUP(A121,Items[],4,0),0)</f>
        <v>5492677.4699999997</v>
      </c>
      <c r="I121" s="41">
        <f>IFERROR(VLOOKUP(A121,Community[],4,0),0)</f>
        <v>0</v>
      </c>
      <c r="J121" s="41">
        <f>IFERROR(VLOOKUP(A121,Community[],5,0),0)</f>
        <v>0</v>
      </c>
      <c r="K121" s="41">
        <f>IFERROR(VLOOKUP(A121,Community[],6,0),0)</f>
        <v>0</v>
      </c>
      <c r="L121" s="41">
        <f>IFERROR(VLOOKUP(A121,Community[],7,0),0)</f>
        <v>0</v>
      </c>
      <c r="M121" s="41">
        <f>IFERROR(VLOOKUP(A121,Debt[],3,0),0)</f>
        <v>414050.16</v>
      </c>
      <c r="N121" s="41">
        <f>IFERROR(VLOOKUP(A121,Debt[],4,0),0)</f>
        <v>103984.51</v>
      </c>
      <c r="O121" s="41">
        <f>IFERROR(VLOOKUP(A121,Debt[],5,0),0)</f>
        <v>0</v>
      </c>
      <c r="P121" s="41">
        <f>IFERROR(VLOOKUP(A121,Items[],3,0),0)</f>
        <v>0</v>
      </c>
      <c r="Q121" s="41">
        <f>IFERROR(VLOOKUP($A121,Federal[],2,0),0)</f>
        <v>0</v>
      </c>
      <c r="R121" s="41">
        <f>IFERROR(VLOOKUP($A121,Federal[],4,0),0)</f>
        <v>1009837.17</v>
      </c>
      <c r="S121" s="41"/>
      <c r="T121" s="47">
        <f>IFERROR(VLOOKUP($A121,Program[],3,0),0)</f>
        <v>0</v>
      </c>
      <c r="U121" s="47"/>
      <c r="V121" s="41">
        <f>IFERROR(VLOOKUP($A121,Program[],4,0),0)</f>
        <v>0</v>
      </c>
      <c r="W121" s="41">
        <f>IFERROR(VLOOKUP($A121,Program[],5,0),0)</f>
        <v>0</v>
      </c>
      <c r="X121" s="41"/>
      <c r="Y121" s="41"/>
      <c r="Z121" s="41"/>
      <c r="AA121" s="41">
        <f>IFERROR(VLOOKUP($A121,Program[],6,0),0)</f>
        <v>0</v>
      </c>
      <c r="AB121" s="41"/>
      <c r="AC121" s="41"/>
      <c r="AD121" s="41">
        <f>IFERROR(VLOOKUP($A121,Program[],7,0),0)</f>
        <v>0</v>
      </c>
      <c r="AE121" s="41">
        <f>IFERROR(VLOOKUP($A121,Program[],8,0),0)</f>
        <v>0</v>
      </c>
      <c r="AF121" s="41">
        <f>IFERROR(VLOOKUP($A121,Program[],9,0),0)</f>
        <v>0</v>
      </c>
      <c r="AG121" s="41">
        <f>IFERROR(VLOOKUP($A121,Program[],10,0),0)</f>
        <v>0</v>
      </c>
      <c r="AH121" s="41">
        <f>IFERROR(VLOOKUP($A121,Program[],11,0),0)</f>
        <v>0</v>
      </c>
      <c r="AI121" s="41">
        <f>IFERROR(VLOOKUP($A121,Program[],12,0),0)</f>
        <v>0</v>
      </c>
      <c r="AJ121" s="41"/>
      <c r="AK121" s="41">
        <f>IFERROR(VLOOKUP($A121,Program[],13,0),0)</f>
        <v>0</v>
      </c>
      <c r="AL121" s="41"/>
      <c r="AM121" s="41"/>
      <c r="AN121" s="41"/>
      <c r="AO121" s="41"/>
      <c r="AP121" s="41"/>
      <c r="AQ121" s="41"/>
      <c r="AR121" s="41"/>
      <c r="AS121" s="41">
        <f>IFERROR(VLOOKUP($A121,Program[],14,0),0)</f>
        <v>0</v>
      </c>
      <c r="AT121" s="41"/>
      <c r="AU121" s="41"/>
      <c r="AV121" s="41">
        <f>IFERROR(VLOOKUP($A121,Program[],15,0),0)</f>
        <v>0</v>
      </c>
      <c r="AW121" s="41"/>
      <c r="AX121" s="41">
        <f>IFERROR(VLOOKUP($A121,Program[],16,0),0)</f>
        <v>0</v>
      </c>
      <c r="AY121" s="41">
        <f>IFERROR(VLOOKUP($A121,Program[],17,0),0)</f>
        <v>0</v>
      </c>
      <c r="AZ121" s="41">
        <f>IFERROR(VLOOKUP($A121,Program[],18,0),0)</f>
        <v>0</v>
      </c>
      <c r="BA121" s="41">
        <f>IFERROR(VLOOKUP($A121,Program[],19,0),0)</f>
        <v>0</v>
      </c>
      <c r="BB121" s="77">
        <f t="shared" si="27"/>
        <v>67289.169999999984</v>
      </c>
      <c r="BC121" s="41">
        <f>IFERROR(VLOOKUP(A121,Food[],3,0),0)</f>
        <v>127561.36999999998</v>
      </c>
      <c r="BD121" s="41">
        <f>IFERROR(VLOOKUP($A121,FoodRev[],2,0),0)</f>
        <v>0</v>
      </c>
      <c r="BE121" s="41">
        <f>IFERROR(VLOOKUP($A121,FoodRev[],3,0),0)</f>
        <v>5594.73</v>
      </c>
      <c r="BF121" s="41">
        <f>IFERROR(VLOOKUP($A121,FoodRev[],4,0),0)</f>
        <v>0</v>
      </c>
      <c r="BG121" s="41">
        <f>IFERROR(VLOOKUP($A121,FoodRev[],5,0),0)</f>
        <v>54677.47</v>
      </c>
      <c r="BH121" s="41">
        <f>IFERROR(VLOOKUP($A121,FoodRev[],6,0),0)</f>
        <v>0</v>
      </c>
      <c r="BI121" s="41">
        <f>IFERROR(VLOOKUP($A121,FoodRev[],7,0),0)</f>
        <v>0</v>
      </c>
      <c r="BJ121" s="41">
        <f>IFERROR(VLOOKUP($A121,FoodRev[],8,0),0)</f>
        <v>0</v>
      </c>
      <c r="BK121" s="41">
        <f>IFERROR(VLOOKUP($A121,FoodRev[],9,0),0)</f>
        <v>0</v>
      </c>
      <c r="BL121" s="41">
        <f>IFERROR(VLOOKUP($A121,FoodRev[],10,0),0)</f>
        <v>0</v>
      </c>
      <c r="BM121" s="41">
        <f t="shared" si="28"/>
        <v>60272.2</v>
      </c>
      <c r="BN121" s="42">
        <f t="shared" si="29"/>
        <v>67289.169999999984</v>
      </c>
      <c r="BO121" s="78">
        <f t="shared" si="30"/>
        <v>67289.169999999984</v>
      </c>
      <c r="BP121" s="78">
        <f t="shared" si="31"/>
        <v>0</v>
      </c>
    </row>
    <row r="122" spans="1:68" x14ac:dyDescent="0.25">
      <c r="A122" s="45" t="s">
        <v>1156</v>
      </c>
      <c r="B122" s="40" t="s">
        <v>1230</v>
      </c>
      <c r="D122" s="203">
        <f t="shared" si="22"/>
        <v>1.862645149230957E-9</v>
      </c>
      <c r="E122" s="41">
        <f>IFERROR(VLOOKUP(A122,Items[],5,0),0)</f>
        <v>8586686.2100000009</v>
      </c>
      <c r="F122" s="42">
        <f t="shared" si="23"/>
        <v>8586686.209999999</v>
      </c>
      <c r="G122" s="41">
        <v>0</v>
      </c>
      <c r="H122" s="41">
        <f>IFERROR(VLOOKUP(A122,Items[],4,0),0)</f>
        <v>9259429.5099999998</v>
      </c>
      <c r="I122" s="41">
        <f>IFERROR(VLOOKUP(A122,Community[],4,0),0)</f>
        <v>0</v>
      </c>
      <c r="J122" s="41">
        <f>IFERROR(VLOOKUP(A122,Community[],5,0),0)</f>
        <v>0</v>
      </c>
      <c r="K122" s="41">
        <f>IFERROR(VLOOKUP(A122,Community[],6,0),0)</f>
        <v>0</v>
      </c>
      <c r="L122" s="41">
        <f>IFERROR(VLOOKUP(A122,Community[],7,0),0)</f>
        <v>0</v>
      </c>
      <c r="M122" s="41">
        <f>IFERROR(VLOOKUP(A122,Debt[],3,0),0)</f>
        <v>0</v>
      </c>
      <c r="N122" s="41">
        <f>IFERROR(VLOOKUP(A122,Debt[],4,0),0)</f>
        <v>0</v>
      </c>
      <c r="O122" s="41">
        <f>IFERROR(VLOOKUP(A122,Debt[],5,0),0)</f>
        <v>0</v>
      </c>
      <c r="P122" s="41">
        <f>IFERROR(VLOOKUP(A122,Items[],3,0),0)</f>
        <v>0</v>
      </c>
      <c r="Q122" s="41">
        <f>IFERROR(VLOOKUP($A122,Federal[],2,0),0)</f>
        <v>0</v>
      </c>
      <c r="R122" s="41">
        <f>IFERROR(VLOOKUP($A122,Federal[],4,0),0)</f>
        <v>584769.35</v>
      </c>
      <c r="S122" s="41"/>
      <c r="T122" s="47">
        <f>IFERROR(VLOOKUP($A122,Program[],3,0),0)</f>
        <v>0</v>
      </c>
      <c r="U122" s="47"/>
      <c r="V122" s="41">
        <f>IFERROR(VLOOKUP($A122,Program[],4,0),0)</f>
        <v>0</v>
      </c>
      <c r="W122" s="41">
        <f>IFERROR(VLOOKUP($A122,Program[],5,0),0)</f>
        <v>0</v>
      </c>
      <c r="X122" s="41"/>
      <c r="Y122" s="41"/>
      <c r="Z122" s="41"/>
      <c r="AA122" s="41">
        <f>IFERROR(VLOOKUP($A122,Program[],6,0),0)</f>
        <v>0</v>
      </c>
      <c r="AB122" s="41"/>
      <c r="AC122" s="41"/>
      <c r="AD122" s="41">
        <f>IFERROR(VLOOKUP($A122,Program[],7,0),0)</f>
        <v>0</v>
      </c>
      <c r="AE122" s="41">
        <f>IFERROR(VLOOKUP($A122,Program[],8,0),0)</f>
        <v>0</v>
      </c>
      <c r="AF122" s="41">
        <f>IFERROR(VLOOKUP($A122,Program[],9,0),0)</f>
        <v>0</v>
      </c>
      <c r="AG122" s="41">
        <f>IFERROR(VLOOKUP($A122,Program[],10,0),0)</f>
        <v>0</v>
      </c>
      <c r="AH122" s="41">
        <f>IFERROR(VLOOKUP($A122,Program[],11,0),0)</f>
        <v>0</v>
      </c>
      <c r="AI122" s="41">
        <f>IFERROR(VLOOKUP($A122,Program[],12,0),0)</f>
        <v>0</v>
      </c>
      <c r="AJ122" s="41"/>
      <c r="AK122" s="41">
        <f>IFERROR(VLOOKUP($A122,Program[],13,0),0)</f>
        <v>0</v>
      </c>
      <c r="AL122" s="41"/>
      <c r="AM122" s="41"/>
      <c r="AN122" s="41"/>
      <c r="AO122" s="41"/>
      <c r="AP122" s="41"/>
      <c r="AQ122" s="41"/>
      <c r="AR122" s="41"/>
      <c r="AS122" s="41">
        <f>IFERROR(VLOOKUP($A122,Program[],14,0),0)</f>
        <v>0</v>
      </c>
      <c r="AT122" s="41"/>
      <c r="AU122" s="41"/>
      <c r="AV122" s="41">
        <f>IFERROR(VLOOKUP($A122,Program[],15,0),0)</f>
        <v>0</v>
      </c>
      <c r="AW122" s="41"/>
      <c r="AX122" s="41">
        <f>IFERROR(VLOOKUP($A122,Program[],16,0),0)</f>
        <v>0</v>
      </c>
      <c r="AY122" s="41">
        <f>IFERROR(VLOOKUP($A122,Program[],17,0),0)</f>
        <v>0</v>
      </c>
      <c r="AZ122" s="41">
        <f>IFERROR(VLOOKUP($A122,Program[],18,0),0)</f>
        <v>0</v>
      </c>
      <c r="BA122" s="41">
        <f>IFERROR(VLOOKUP($A122,Program[],19,0),0)</f>
        <v>0</v>
      </c>
      <c r="BB122" s="77">
        <f t="shared" si="27"/>
        <v>45000.450000000012</v>
      </c>
      <c r="BC122" s="41">
        <f>IFERROR(VLOOKUP(A122,Food[],3,0),0)</f>
        <v>356612.59</v>
      </c>
      <c r="BD122" s="41">
        <f>IFERROR(VLOOKUP($A122,FoodRev[],2,0),0)</f>
        <v>0</v>
      </c>
      <c r="BE122" s="41">
        <f>IFERROR(VLOOKUP($A122,FoodRev[],3,0),0)</f>
        <v>87973.95</v>
      </c>
      <c r="BF122" s="41">
        <f>IFERROR(VLOOKUP($A122,FoodRev[],4,0),0)</f>
        <v>0</v>
      </c>
      <c r="BG122" s="41">
        <f>IFERROR(VLOOKUP($A122,FoodRev[],5,0),0)</f>
        <v>223638.19</v>
      </c>
      <c r="BH122" s="41">
        <f>IFERROR(VLOOKUP($A122,FoodRev[],6,0),0)</f>
        <v>0</v>
      </c>
      <c r="BI122" s="41">
        <f>IFERROR(VLOOKUP($A122,FoodRev[],7,0),0)</f>
        <v>0</v>
      </c>
      <c r="BJ122" s="41">
        <f>IFERROR(VLOOKUP($A122,FoodRev[],8,0),0)</f>
        <v>0</v>
      </c>
      <c r="BK122" s="41">
        <f>IFERROR(VLOOKUP($A122,FoodRev[],9,0),0)</f>
        <v>0</v>
      </c>
      <c r="BL122" s="41">
        <f>IFERROR(VLOOKUP($A122,FoodRev[],10,0),0)</f>
        <v>0</v>
      </c>
      <c r="BM122" s="41">
        <f t="shared" si="28"/>
        <v>311612.14</v>
      </c>
      <c r="BN122" s="42">
        <f t="shared" si="29"/>
        <v>45000.450000000012</v>
      </c>
      <c r="BO122" s="78">
        <f t="shared" si="30"/>
        <v>45000.450000000012</v>
      </c>
      <c r="BP122" s="78">
        <f t="shared" si="31"/>
        <v>0</v>
      </c>
    </row>
    <row r="123" spans="1:68" x14ac:dyDescent="0.25">
      <c r="A123" s="45" t="s">
        <v>1196</v>
      </c>
      <c r="B123" s="40" t="s">
        <v>1229</v>
      </c>
      <c r="D123" s="203">
        <f t="shared" si="22"/>
        <v>0</v>
      </c>
      <c r="E123" s="41">
        <f>IFERROR(VLOOKUP(A123,Items[],5,0),0)</f>
        <v>3412180.4</v>
      </c>
      <c r="F123" s="42">
        <f t="shared" si="23"/>
        <v>3412180.4</v>
      </c>
      <c r="G123" s="41">
        <v>0</v>
      </c>
      <c r="H123" s="41">
        <f>IFERROR(VLOOKUP(A123,Items[],4,0),0)</f>
        <v>3832094.65</v>
      </c>
      <c r="I123" s="41">
        <f>IFERROR(VLOOKUP(A123,Community[],4,0),0)</f>
        <v>0</v>
      </c>
      <c r="J123" s="41">
        <f>IFERROR(VLOOKUP(A123,Community[],5,0),0)</f>
        <v>0</v>
      </c>
      <c r="K123" s="41">
        <f>IFERROR(VLOOKUP(A123,Community[],6,0),0)</f>
        <v>0</v>
      </c>
      <c r="L123" s="41">
        <f>IFERROR(VLOOKUP(A123,Community[],7,0),0)</f>
        <v>0</v>
      </c>
      <c r="M123" s="41">
        <f>IFERROR(VLOOKUP(A123,Debt[],3,0),0)</f>
        <v>180591.55</v>
      </c>
      <c r="N123" s="41">
        <f>IFERROR(VLOOKUP(A123,Debt[],4,0),0)</f>
        <v>74434.97</v>
      </c>
      <c r="O123" s="41">
        <f>IFERROR(VLOOKUP(A123,Debt[],5,0),0)</f>
        <v>0</v>
      </c>
      <c r="P123" s="41">
        <f>IFERROR(VLOOKUP(A123,Items[],3,0),0)</f>
        <v>0</v>
      </c>
      <c r="Q123" s="41">
        <f>IFERROR(VLOOKUP($A123,Federal[],2,0),0)</f>
        <v>0</v>
      </c>
      <c r="R123" s="41">
        <f>IFERROR(VLOOKUP($A123,Federal[],4,0),0)</f>
        <v>164530.91</v>
      </c>
      <c r="S123" s="41"/>
      <c r="T123" s="47">
        <f>IFERROR(VLOOKUP($A123,Program[],3,0),0)</f>
        <v>0</v>
      </c>
      <c r="U123" s="47"/>
      <c r="V123" s="41">
        <f>IFERROR(VLOOKUP($A123,Program[],4,0),0)</f>
        <v>0</v>
      </c>
      <c r="W123" s="41">
        <f>IFERROR(VLOOKUP($A123,Program[],5,0),0)</f>
        <v>0</v>
      </c>
      <c r="X123" s="41"/>
      <c r="Y123" s="41"/>
      <c r="Z123" s="41"/>
      <c r="AA123" s="41">
        <f>IFERROR(VLOOKUP($A123,Program[],6,0),0)</f>
        <v>0</v>
      </c>
      <c r="AB123" s="41"/>
      <c r="AC123" s="41"/>
      <c r="AD123" s="41">
        <f>IFERROR(VLOOKUP($A123,Program[],7,0),0)</f>
        <v>0</v>
      </c>
      <c r="AE123" s="41">
        <f>IFERROR(VLOOKUP($A123,Program[],8,0),0)</f>
        <v>0</v>
      </c>
      <c r="AF123" s="41">
        <f>IFERROR(VLOOKUP($A123,Program[],9,0),0)</f>
        <v>0</v>
      </c>
      <c r="AG123" s="41">
        <f>IFERROR(VLOOKUP($A123,Program[],10,0),0)</f>
        <v>0</v>
      </c>
      <c r="AH123" s="41">
        <f>IFERROR(VLOOKUP($A123,Program[],11,0),0)</f>
        <v>0</v>
      </c>
      <c r="AI123" s="41">
        <f>IFERROR(VLOOKUP($A123,Program[],12,0),0)</f>
        <v>0</v>
      </c>
      <c r="AJ123" s="41"/>
      <c r="AK123" s="41">
        <f>IFERROR(VLOOKUP($A123,Program[],13,0),0)</f>
        <v>0</v>
      </c>
      <c r="AL123" s="41"/>
      <c r="AM123" s="41"/>
      <c r="AN123" s="41"/>
      <c r="AO123" s="41"/>
      <c r="AP123" s="41"/>
      <c r="AQ123" s="41"/>
      <c r="AR123" s="41"/>
      <c r="AS123" s="41">
        <f>IFERROR(VLOOKUP($A123,Program[],14,0),0)</f>
        <v>0</v>
      </c>
      <c r="AT123" s="41"/>
      <c r="AU123" s="41"/>
      <c r="AV123" s="41">
        <f>IFERROR(VLOOKUP($A123,Program[],15,0),0)</f>
        <v>0</v>
      </c>
      <c r="AW123" s="41"/>
      <c r="AX123" s="41">
        <f>IFERROR(VLOOKUP($A123,Program[],16,0),0)</f>
        <v>0</v>
      </c>
      <c r="AY123" s="41">
        <f>IFERROR(VLOOKUP($A123,Program[],17,0),0)</f>
        <v>0</v>
      </c>
      <c r="AZ123" s="41">
        <f>IFERROR(VLOOKUP($A123,Program[],18,0),0)</f>
        <v>0</v>
      </c>
      <c r="BA123" s="41">
        <f>IFERROR(VLOOKUP($A123,Program[],19,0),0)</f>
        <v>0</v>
      </c>
      <c r="BB123" s="77">
        <f t="shared" si="27"/>
        <v>108759.95999999999</v>
      </c>
      <c r="BC123" s="41">
        <f>IFERROR(VLOOKUP(A123,Food[],3,0),0)</f>
        <v>110485.19</v>
      </c>
      <c r="BD123" s="41">
        <f>IFERROR(VLOOKUP($A123,FoodRev[],2,0),0)</f>
        <v>0</v>
      </c>
      <c r="BE123" s="41">
        <f>IFERROR(VLOOKUP($A123,FoodRev[],3,0),0)</f>
        <v>356.82</v>
      </c>
      <c r="BF123" s="41">
        <f>IFERROR(VLOOKUP($A123,FoodRev[],4,0),0)</f>
        <v>0</v>
      </c>
      <c r="BG123" s="41">
        <f>IFERROR(VLOOKUP($A123,FoodRev[],5,0),0)</f>
        <v>1368.41</v>
      </c>
      <c r="BH123" s="41">
        <f>IFERROR(VLOOKUP($A123,FoodRev[],6,0),0)</f>
        <v>0</v>
      </c>
      <c r="BI123" s="41">
        <f>IFERROR(VLOOKUP($A123,FoodRev[],7,0),0)</f>
        <v>0</v>
      </c>
      <c r="BJ123" s="41">
        <f>IFERROR(VLOOKUP($A123,FoodRev[],8,0),0)</f>
        <v>0</v>
      </c>
      <c r="BK123" s="41">
        <f>IFERROR(VLOOKUP($A123,FoodRev[],9,0),0)</f>
        <v>0</v>
      </c>
      <c r="BL123" s="41">
        <f>IFERROR(VLOOKUP($A123,FoodRev[],10,0),0)</f>
        <v>0</v>
      </c>
      <c r="BM123" s="41">
        <f t="shared" ref="BM123" si="32">SUM(BD123:BL123)</f>
        <v>1725.23</v>
      </c>
      <c r="BN123" s="42">
        <f t="shared" ref="BN123:BN188" si="33">BC123-BD123-BE123-BF123-BG123-BH123-BI123-BJ123-BK123-BL123</f>
        <v>108759.95999999999</v>
      </c>
      <c r="BO123" s="78">
        <f t="shared" ref="BO123" si="34">IF(BN123&lt;0,0,BN123)</f>
        <v>108759.95999999999</v>
      </c>
      <c r="BP123" s="78">
        <f t="shared" ref="BP123" si="35">IF(BN123&lt;0,BN123,0)</f>
        <v>0</v>
      </c>
    </row>
    <row r="124" spans="1:68" x14ac:dyDescent="0.25">
      <c r="A124" s="45" t="s">
        <v>1158</v>
      </c>
      <c r="B124" s="40" t="s">
        <v>1231</v>
      </c>
      <c r="D124" s="203">
        <f t="shared" si="22"/>
        <v>0</v>
      </c>
      <c r="E124" s="41">
        <f>IFERROR(VLOOKUP(A124,Items[],5,0),0)</f>
        <v>6397389.6399999997</v>
      </c>
      <c r="F124" s="42">
        <f t="shared" si="23"/>
        <v>6397389.6399999997</v>
      </c>
      <c r="G124" s="41">
        <v>0</v>
      </c>
      <c r="H124" s="41">
        <f>IFERROR(VLOOKUP(A124,Items[],4,0),0)</f>
        <v>6834820.8499999996</v>
      </c>
      <c r="I124" s="41">
        <f>IFERROR(VLOOKUP(A124,Community[],4,0),0)</f>
        <v>0</v>
      </c>
      <c r="J124" s="41">
        <f>IFERROR(VLOOKUP(A124,Community[],5,0),0)</f>
        <v>0</v>
      </c>
      <c r="K124" s="41">
        <f>IFERROR(VLOOKUP(A124,Community[],6,0),0)</f>
        <v>0</v>
      </c>
      <c r="L124" s="41">
        <f>IFERROR(VLOOKUP(A124,Community[],7,0),0)</f>
        <v>0</v>
      </c>
      <c r="M124" s="41">
        <f>IFERROR(VLOOKUP(A124,Debt[],3,0),0)</f>
        <v>0</v>
      </c>
      <c r="N124" s="41">
        <f>IFERROR(VLOOKUP(A124,Debt[],4,0),0)</f>
        <v>0</v>
      </c>
      <c r="O124" s="41">
        <f>IFERROR(VLOOKUP(A124,Debt[],5,0),0)</f>
        <v>0</v>
      </c>
      <c r="P124" s="41">
        <f>IFERROR(VLOOKUP(A124,Items[],3,0),0)</f>
        <v>0</v>
      </c>
      <c r="Q124" s="41">
        <f>IFERROR(VLOOKUP($A124,Federal[],2,0),0)</f>
        <v>0</v>
      </c>
      <c r="R124" s="41">
        <f>IFERROR(VLOOKUP($A124,Federal[],4,0),0)</f>
        <v>365922.65</v>
      </c>
      <c r="S124" s="41"/>
      <c r="T124" s="47">
        <f>IFERROR(VLOOKUP($A124,Program[],3,0),0)</f>
        <v>0</v>
      </c>
      <c r="U124" s="47"/>
      <c r="V124" s="41">
        <f>IFERROR(VLOOKUP($A124,Program[],4,0),0)</f>
        <v>0</v>
      </c>
      <c r="W124" s="41">
        <f>IFERROR(VLOOKUP($A124,Program[],5,0),0)</f>
        <v>0</v>
      </c>
      <c r="X124" s="41"/>
      <c r="Y124" s="41"/>
      <c r="Z124" s="41"/>
      <c r="AA124" s="41">
        <f>IFERROR(VLOOKUP($A124,Program[],6,0),0)</f>
        <v>0</v>
      </c>
      <c r="AB124" s="41"/>
      <c r="AC124" s="41"/>
      <c r="AD124" s="41">
        <f>IFERROR(VLOOKUP($A124,Program[],7,0),0)</f>
        <v>0</v>
      </c>
      <c r="AE124" s="41">
        <f>IFERROR(VLOOKUP($A124,Program[],8,0),0)</f>
        <v>0</v>
      </c>
      <c r="AF124" s="41">
        <f>IFERROR(VLOOKUP($A124,Program[],9,0),0)</f>
        <v>0</v>
      </c>
      <c r="AG124" s="41">
        <f>IFERROR(VLOOKUP($A124,Program[],10,0),0)</f>
        <v>0</v>
      </c>
      <c r="AH124" s="41">
        <f>IFERROR(VLOOKUP($A124,Program[],11,0),0)</f>
        <v>0</v>
      </c>
      <c r="AI124" s="41">
        <f>IFERROR(VLOOKUP($A124,Program[],12,0),0)</f>
        <v>0</v>
      </c>
      <c r="AJ124" s="41"/>
      <c r="AK124" s="41">
        <f>IFERROR(VLOOKUP($A124,Program[],13,0),0)</f>
        <v>0</v>
      </c>
      <c r="AL124" s="41"/>
      <c r="AM124" s="41"/>
      <c r="AN124" s="41"/>
      <c r="AO124" s="41"/>
      <c r="AP124" s="41"/>
      <c r="AQ124" s="41"/>
      <c r="AR124" s="41"/>
      <c r="AS124" s="41">
        <f>IFERROR(VLOOKUP($A124,Program[],14,0),0)</f>
        <v>0</v>
      </c>
      <c r="AT124" s="41"/>
      <c r="AU124" s="41"/>
      <c r="AV124" s="41">
        <f>IFERROR(VLOOKUP($A124,Program[],15,0),0)</f>
        <v>0</v>
      </c>
      <c r="AW124" s="41"/>
      <c r="AX124" s="41">
        <f>IFERROR(VLOOKUP($A124,Program[],16,0),0)</f>
        <v>0</v>
      </c>
      <c r="AY124" s="41">
        <f>IFERROR(VLOOKUP($A124,Program[],17,0),0)</f>
        <v>0</v>
      </c>
      <c r="AZ124" s="41">
        <f>IFERROR(VLOOKUP($A124,Program[],18,0),0)</f>
        <v>0</v>
      </c>
      <c r="BA124" s="41">
        <f>IFERROR(VLOOKUP($A124,Program[],19,0),0)</f>
        <v>0</v>
      </c>
      <c r="BB124" s="77">
        <f t="shared" si="27"/>
        <v>22846.890000000014</v>
      </c>
      <c r="BC124" s="41">
        <f>IFERROR(VLOOKUP(A124,Food[],3,0),0)</f>
        <v>261578.1</v>
      </c>
      <c r="BD124" s="41">
        <f>IFERROR(VLOOKUP($A124,FoodRev[],2,0),0)</f>
        <v>0</v>
      </c>
      <c r="BE124" s="41">
        <f>IFERROR(VLOOKUP($A124,FoodRev[],3,0),0)</f>
        <v>71508.56</v>
      </c>
      <c r="BF124" s="41">
        <f>IFERROR(VLOOKUP($A124,FoodRev[],4,0),0)</f>
        <v>0</v>
      </c>
      <c r="BG124" s="41">
        <f>IFERROR(VLOOKUP($A124,FoodRev[],5,0),0)</f>
        <v>167222.65</v>
      </c>
      <c r="BH124" s="41">
        <f>IFERROR(VLOOKUP($A124,FoodRev[],6,0),0)</f>
        <v>0</v>
      </c>
      <c r="BI124" s="41">
        <f>IFERROR(VLOOKUP($A124,FoodRev[],7,0),0)</f>
        <v>0</v>
      </c>
      <c r="BJ124" s="41">
        <f>IFERROR(VLOOKUP($A124,FoodRev[],8,0),0)</f>
        <v>0</v>
      </c>
      <c r="BK124" s="41">
        <f>IFERROR(VLOOKUP($A124,FoodRev[],9,0),0)</f>
        <v>0</v>
      </c>
      <c r="BL124" s="41">
        <f>IFERROR(VLOOKUP($A124,FoodRev[],10,0),0)</f>
        <v>0</v>
      </c>
      <c r="BM124" s="41">
        <f t="shared" si="28"/>
        <v>238731.21</v>
      </c>
      <c r="BN124" s="42">
        <f t="shared" si="33"/>
        <v>22846.890000000014</v>
      </c>
      <c r="BO124" s="78"/>
      <c r="BP124" s="78"/>
    </row>
    <row r="125" spans="1:68" x14ac:dyDescent="0.25">
      <c r="A125" s="45" t="s">
        <v>1255</v>
      </c>
      <c r="B125" s="40" t="s">
        <v>1261</v>
      </c>
      <c r="D125" s="203">
        <f t="shared" si="22"/>
        <v>9.3132257461547852E-10</v>
      </c>
      <c r="E125" s="41">
        <f>IFERROR(VLOOKUP(A125,Items[],5,0),0)</f>
        <v>4350950.87</v>
      </c>
      <c r="F125" s="42">
        <f t="shared" ref="F125" si="36">H125-I125-J125-K125-L125-M125-N125-O125-P125-Q125-R125-S125+T125+U125+V125+W125+X125+Y125+Z125+AA125+AB125+AC125+AD125+AE125+AF125+AG125+AH125+AI125+AJ125+AK125+AL125+AM125+AN125+AO125+AP125+AQ125+AR125+AS125+AT125+AU125+AV125+AW125+AX125+AY125+AZ125+BA125+BB125-BC125+BG125+BH125+BI125+BJ125+G125</f>
        <v>4350950.8699999992</v>
      </c>
      <c r="G125" s="41">
        <v>0</v>
      </c>
      <c r="H125" s="41">
        <f>IFERROR(VLOOKUP(A125,Items[],4,0),0)</f>
        <v>5027987.92</v>
      </c>
      <c r="I125" s="41">
        <f>IFERROR(VLOOKUP(A125,Community[],4,0),0)</f>
        <v>0</v>
      </c>
      <c r="J125" s="41">
        <f>IFERROR(VLOOKUP(A125,Community[],5,0),0)</f>
        <v>0</v>
      </c>
      <c r="K125" s="41">
        <f>IFERROR(VLOOKUP(A125,Community[],6,0),0)</f>
        <v>0</v>
      </c>
      <c r="L125" s="41">
        <f>IFERROR(VLOOKUP(A125,Community[],7,0),0)</f>
        <v>0</v>
      </c>
      <c r="M125" s="41">
        <f>IFERROR(VLOOKUP(A125,Debt[],3,0),0)</f>
        <v>0</v>
      </c>
      <c r="N125" s="41">
        <f>IFERROR(VLOOKUP(A125,Debt[],4,0),0)</f>
        <v>0</v>
      </c>
      <c r="O125" s="41">
        <f>IFERROR(VLOOKUP(A125,Debt[],5,0),0)</f>
        <v>0</v>
      </c>
      <c r="P125" s="41">
        <f>IFERROR(VLOOKUP(A125,Items[],3,0),0)</f>
        <v>0</v>
      </c>
      <c r="Q125" s="41">
        <f>IFERROR(VLOOKUP($A125,Federal[],2,0),0)</f>
        <v>0</v>
      </c>
      <c r="R125" s="41">
        <f>IFERROR(VLOOKUP($A125,Federal[],4,0),0)</f>
        <v>644259.06000000006</v>
      </c>
      <c r="S125" s="41"/>
      <c r="T125" s="47">
        <f>IFERROR(VLOOKUP($A125,Program[],3,0),0)</f>
        <v>0</v>
      </c>
      <c r="U125" s="47"/>
      <c r="V125" s="41">
        <f>IFERROR(VLOOKUP($A125,Program[],4,0),0)</f>
        <v>0</v>
      </c>
      <c r="W125" s="41">
        <f>IFERROR(VLOOKUP($A125,Program[],5,0),0)</f>
        <v>0</v>
      </c>
      <c r="X125" s="41"/>
      <c r="Y125" s="41"/>
      <c r="Z125" s="41"/>
      <c r="AA125" s="41">
        <f>IFERROR(VLOOKUP($A125,Program[],6,0),0)</f>
        <v>0</v>
      </c>
      <c r="AB125" s="41"/>
      <c r="AC125" s="41"/>
      <c r="AD125" s="41">
        <f>IFERROR(VLOOKUP($A125,Program[],7,0),0)</f>
        <v>0</v>
      </c>
      <c r="AE125" s="41">
        <f>IFERROR(VLOOKUP($A125,Program[],8,0),0)</f>
        <v>0</v>
      </c>
      <c r="AF125" s="41">
        <f>IFERROR(VLOOKUP($A125,Program[],9,0),0)</f>
        <v>0</v>
      </c>
      <c r="AG125" s="41">
        <f>IFERROR(VLOOKUP($A125,Program[],10,0),0)</f>
        <v>0</v>
      </c>
      <c r="AH125" s="41">
        <f>IFERROR(VLOOKUP($A125,Program[],11,0),0)</f>
        <v>0</v>
      </c>
      <c r="AI125" s="41">
        <f>IFERROR(VLOOKUP($A125,Program[],12,0),0)</f>
        <v>0</v>
      </c>
      <c r="AJ125" s="41"/>
      <c r="AK125" s="41">
        <f>IFERROR(VLOOKUP($A125,Program[],13,0),0)</f>
        <v>0</v>
      </c>
      <c r="AL125" s="41"/>
      <c r="AM125" s="41"/>
      <c r="AN125" s="41"/>
      <c r="AO125" s="41"/>
      <c r="AP125" s="41"/>
      <c r="AQ125" s="41"/>
      <c r="AR125" s="41"/>
      <c r="AS125" s="41">
        <f>IFERROR(VLOOKUP($A125,Program[],14,0),0)</f>
        <v>0</v>
      </c>
      <c r="AT125" s="41"/>
      <c r="AU125" s="41"/>
      <c r="AV125" s="41">
        <f>IFERROR(VLOOKUP($A125,Program[],15,0),0)</f>
        <v>0</v>
      </c>
      <c r="AW125" s="41"/>
      <c r="AX125" s="41">
        <f>IFERROR(VLOOKUP($A125,Program[],16,0),0)</f>
        <v>0</v>
      </c>
      <c r="AY125" s="41">
        <f>IFERROR(VLOOKUP($A125,Program[],17,0),0)</f>
        <v>0</v>
      </c>
      <c r="AZ125" s="41">
        <f>IFERROR(VLOOKUP($A125,Program[],18,0),0)</f>
        <v>0</v>
      </c>
      <c r="BA125" s="41">
        <f>IFERROR(VLOOKUP($A125,Program[],19,0),0)</f>
        <v>0</v>
      </c>
      <c r="BB125" s="77">
        <f t="shared" ref="BB125" si="37">IF(BN125&gt;0,BN125,0)</f>
        <v>32201.640000000029</v>
      </c>
      <c r="BC125" s="41">
        <f>IFERROR(VLOOKUP(A125,Food[],3,0),0)</f>
        <v>185684.74000000002</v>
      </c>
      <c r="BD125" s="41">
        <f>IFERROR(VLOOKUP($A125,FoodRev[],2,0),0)</f>
        <v>0</v>
      </c>
      <c r="BE125" s="41">
        <f>IFERROR(VLOOKUP($A125,FoodRev[],3,0),0)</f>
        <v>32777.99</v>
      </c>
      <c r="BF125" s="41">
        <f>IFERROR(VLOOKUP($A125,FoodRev[],4,0),0)</f>
        <v>0</v>
      </c>
      <c r="BG125" s="41">
        <f>IFERROR(VLOOKUP($A125,FoodRev[],5,0),0)</f>
        <v>120705.11</v>
      </c>
      <c r="BH125" s="41">
        <f>IFERROR(VLOOKUP($A125,FoodRev[],6,0),0)</f>
        <v>0</v>
      </c>
      <c r="BI125" s="41">
        <f>IFERROR(VLOOKUP($A125,FoodRev[],7,0),0)</f>
        <v>0</v>
      </c>
      <c r="BJ125" s="41">
        <f>IFERROR(VLOOKUP($A125,FoodRev[],8,0),0)</f>
        <v>0</v>
      </c>
      <c r="BK125" s="41">
        <f>IFERROR(VLOOKUP($A125,FoodRev[],9,0),0)</f>
        <v>0</v>
      </c>
      <c r="BL125" s="41">
        <f>IFERROR(VLOOKUP($A125,FoodRev[],10,0),0)</f>
        <v>0</v>
      </c>
      <c r="BM125" s="41">
        <f t="shared" ref="BM125" si="38">SUM(BD125:BL125)</f>
        <v>153483.1</v>
      </c>
      <c r="BN125" s="42">
        <f t="shared" ref="BN125" si="39">BC125-BD125-BE125-BF125-BG125-BH125-BI125-BJ125-BK125-BL125</f>
        <v>32201.640000000029</v>
      </c>
      <c r="BO125" s="78"/>
      <c r="BP125" s="78"/>
    </row>
    <row r="126" spans="1:68" x14ac:dyDescent="0.25">
      <c r="A126" s="40" t="s">
        <v>118</v>
      </c>
      <c r="B126" s="40" t="s">
        <v>814</v>
      </c>
      <c r="D126" s="203">
        <f t="shared" si="22"/>
        <v>1.4901161193847656E-8</v>
      </c>
      <c r="E126" s="41">
        <f>IFERROR(VLOOKUP(A126,Items[],5,0),0)</f>
        <v>91415435.159999996</v>
      </c>
      <c r="F126" s="42">
        <f t="shared" si="23"/>
        <v>91415435.159999982</v>
      </c>
      <c r="G126" s="41">
        <v>0</v>
      </c>
      <c r="H126" s="41">
        <f>IFERROR(VLOOKUP(A126,Items[],4,0),0)</f>
        <v>101132460.47</v>
      </c>
      <c r="I126" s="41">
        <f>IFERROR(VLOOKUP(A126,Community[],4,0),0)</f>
        <v>0</v>
      </c>
      <c r="J126" s="41">
        <f>IFERROR(VLOOKUP(A126,Community[],5,0),0)</f>
        <v>0</v>
      </c>
      <c r="K126" s="41">
        <f>IFERROR(VLOOKUP(A126,Community[],6,0),0)</f>
        <v>0</v>
      </c>
      <c r="L126" s="41">
        <f>IFERROR(VLOOKUP(A126,Community[],7,0),0)</f>
        <v>418945.95999999996</v>
      </c>
      <c r="M126" s="41">
        <f>IFERROR(VLOOKUP(A126,Debt[],3,0),0)</f>
        <v>2028.75</v>
      </c>
      <c r="N126" s="41">
        <f>IFERROR(VLOOKUP(A126,Debt[],4,0),0)</f>
        <v>84095.42</v>
      </c>
      <c r="O126" s="41">
        <f>IFERROR(VLOOKUP(A126,Debt[],5,0),0)</f>
        <v>0</v>
      </c>
      <c r="P126" s="41">
        <f>IFERROR(VLOOKUP(A126,Items[],3,0),0)</f>
        <v>287251.18</v>
      </c>
      <c r="Q126" s="41">
        <f>IFERROR(VLOOKUP($A126,Federal[],2,0),0)</f>
        <v>243318</v>
      </c>
      <c r="R126" s="41">
        <f>IFERROR(VLOOKUP($A126,Federal[],4,0),0)</f>
        <v>8665174.9299999997</v>
      </c>
      <c r="S126" s="41"/>
      <c r="T126" s="47">
        <f>IFERROR(VLOOKUP($A126,Program[],3,0),0)</f>
        <v>0</v>
      </c>
      <c r="U126" s="47"/>
      <c r="V126" s="41">
        <f>IFERROR(VLOOKUP($A126,Program[],4,0),0)</f>
        <v>0</v>
      </c>
      <c r="W126" s="41">
        <f>IFERROR(VLOOKUP($A126,Program[],5,0),0)</f>
        <v>0</v>
      </c>
      <c r="X126" s="41"/>
      <c r="Y126" s="41"/>
      <c r="Z126" s="41"/>
      <c r="AA126" s="41">
        <f>IFERROR(VLOOKUP($A126,Program[],6,0),0)</f>
        <v>0</v>
      </c>
      <c r="AB126" s="41"/>
      <c r="AC126" s="41"/>
      <c r="AD126" s="41">
        <f>IFERROR(VLOOKUP($A126,Program[],7,0),0)</f>
        <v>0</v>
      </c>
      <c r="AE126" s="41">
        <f>IFERROR(VLOOKUP($A126,Program[],8,0),0)</f>
        <v>0</v>
      </c>
      <c r="AF126" s="41">
        <f>IFERROR(VLOOKUP($A126,Program[],9,0),0)</f>
        <v>0</v>
      </c>
      <c r="AG126" s="41">
        <f>IFERROR(VLOOKUP($A126,Program[],10,0),0)</f>
        <v>0</v>
      </c>
      <c r="AH126" s="41">
        <f>IFERROR(VLOOKUP($A126,Program[],11,0),0)</f>
        <v>0</v>
      </c>
      <c r="AI126" s="41">
        <f>IFERROR(VLOOKUP($A126,Program[],12,0),0)</f>
        <v>0</v>
      </c>
      <c r="AJ126" s="41"/>
      <c r="AK126" s="41">
        <f>IFERROR(VLOOKUP($A126,Program[],13,0),0)</f>
        <v>0</v>
      </c>
      <c r="AL126" s="41"/>
      <c r="AM126" s="41"/>
      <c r="AN126" s="41"/>
      <c r="AO126" s="41"/>
      <c r="AP126" s="41"/>
      <c r="AQ126" s="41"/>
      <c r="AR126" s="41"/>
      <c r="AS126" s="41">
        <f>IFERROR(VLOOKUP($A126,Program[],14,0),0)</f>
        <v>0</v>
      </c>
      <c r="AT126" s="41"/>
      <c r="AU126" s="41"/>
      <c r="AV126" s="41">
        <f>IFERROR(VLOOKUP($A126,Program[],15,0),0)</f>
        <v>0</v>
      </c>
      <c r="AW126" s="41"/>
      <c r="AX126" s="41">
        <f>IFERROR(VLOOKUP($A126,Program[],16,0),0)</f>
        <v>0</v>
      </c>
      <c r="AY126" s="41">
        <f>IFERROR(VLOOKUP($A126,Program[],17,0),0)</f>
        <v>0</v>
      </c>
      <c r="AZ126" s="41">
        <f>IFERROR(VLOOKUP($A126,Program[],18,0),0)</f>
        <v>0</v>
      </c>
      <c r="BA126" s="41">
        <f>IFERROR(VLOOKUP($A126,Program[],19,0),0)</f>
        <v>51829.05</v>
      </c>
      <c r="BB126" s="77">
        <f t="shared" si="27"/>
        <v>0</v>
      </c>
      <c r="BC126" s="41">
        <f>IFERROR(VLOOKUP(A126,Food[],3,0),0)</f>
        <v>3389937.14</v>
      </c>
      <c r="BD126" s="41">
        <f>IFERROR(VLOOKUP($A126,FoodRev[],2,0),0)</f>
        <v>354110.08</v>
      </c>
      <c r="BE126" s="41">
        <f>IFERROR(VLOOKUP($A126,FoodRev[],3,0),0)</f>
        <v>167877.17</v>
      </c>
      <c r="BF126" s="41">
        <f>IFERROR(VLOOKUP($A126,FoodRev[],4,0),0)</f>
        <v>0</v>
      </c>
      <c r="BG126" s="41">
        <f>IFERROR(VLOOKUP($A126,FoodRev[],5,0),0)</f>
        <v>3100519.02</v>
      </c>
      <c r="BH126" s="41">
        <f>IFERROR(VLOOKUP($A126,FoodRev[],6,0),0)</f>
        <v>0</v>
      </c>
      <c r="BI126" s="41">
        <f>IFERROR(VLOOKUP($A126,FoodRev[],7,0),0)</f>
        <v>0</v>
      </c>
      <c r="BJ126" s="41">
        <f>IFERROR(VLOOKUP($A126,FoodRev[],8,0),0)</f>
        <v>221378</v>
      </c>
      <c r="BK126" s="41">
        <f>IFERROR(VLOOKUP($A126,FoodRev[],9,0),0)</f>
        <v>0</v>
      </c>
      <c r="BL126" s="41">
        <f>IFERROR(VLOOKUP($A126,FoodRev[],10,0),0)</f>
        <v>0</v>
      </c>
      <c r="BM126" s="41">
        <f t="shared" si="28"/>
        <v>3843884.27</v>
      </c>
      <c r="BN126" s="42">
        <f t="shared" si="33"/>
        <v>-453947.12999999989</v>
      </c>
      <c r="BO126" s="78">
        <f>IF(BN126&lt;0,0,BN126)</f>
        <v>0</v>
      </c>
      <c r="BP126" s="78">
        <f>IF(BN126&lt;0,BN126,0)</f>
        <v>-453947.12999999989</v>
      </c>
    </row>
    <row r="127" spans="1:68" x14ac:dyDescent="0.25">
      <c r="A127" s="40" t="s">
        <v>144</v>
      </c>
      <c r="B127" s="40" t="s">
        <v>1013</v>
      </c>
      <c r="D127" s="203">
        <f t="shared" si="22"/>
        <v>0</v>
      </c>
      <c r="E127" s="41">
        <f>IFERROR(VLOOKUP(A127,Items[],5,0),0)</f>
        <v>65766075.780000001</v>
      </c>
      <c r="F127" s="42">
        <f t="shared" si="23"/>
        <v>65766075.780000001</v>
      </c>
      <c r="G127" s="41">
        <v>0</v>
      </c>
      <c r="H127" s="41">
        <f>IFERROR(VLOOKUP(A127,Items[],4,0),0)</f>
        <v>69193785.75</v>
      </c>
      <c r="I127" s="41">
        <f>IFERROR(VLOOKUP(A127,Community[],4,0),0)</f>
        <v>0</v>
      </c>
      <c r="J127" s="41">
        <f>IFERROR(VLOOKUP(A127,Community[],5,0),0)</f>
        <v>0</v>
      </c>
      <c r="K127" s="41">
        <f>IFERROR(VLOOKUP(A127,Community[],6,0),0)</f>
        <v>352345.5</v>
      </c>
      <c r="L127" s="41">
        <f>IFERROR(VLOOKUP(A127,Community[],7,0),0)</f>
        <v>99636.2</v>
      </c>
      <c r="M127" s="41">
        <f>IFERROR(VLOOKUP(A127,Debt[],3,0),0)</f>
        <v>109984.1</v>
      </c>
      <c r="N127" s="41">
        <f>IFERROR(VLOOKUP(A127,Debt[],4,0),0)</f>
        <v>40938.46</v>
      </c>
      <c r="O127" s="41">
        <f>IFERROR(VLOOKUP(A127,Debt[],5,0),0)</f>
        <v>0</v>
      </c>
      <c r="P127" s="41">
        <f>IFERROR(VLOOKUP(A127,Items[],3,0),0)</f>
        <v>203168.06</v>
      </c>
      <c r="Q127" s="41">
        <f>IFERROR(VLOOKUP($A127,Federal[],2,0),0)</f>
        <v>0</v>
      </c>
      <c r="R127" s="41">
        <f>IFERROR(VLOOKUP($A127,Federal[],4,0),0)</f>
        <v>1486827.49</v>
      </c>
      <c r="S127" s="41"/>
      <c r="T127" s="47">
        <f>IFERROR(VLOOKUP($A127,Program[],3,0),0)</f>
        <v>0</v>
      </c>
      <c r="U127" s="47"/>
      <c r="V127" s="41">
        <f>IFERROR(VLOOKUP($A127,Program[],4,0),0)</f>
        <v>0</v>
      </c>
      <c r="W127" s="41">
        <f>IFERROR(VLOOKUP($A127,Program[],5,0),0)</f>
        <v>0</v>
      </c>
      <c r="X127" s="41"/>
      <c r="Y127" s="41"/>
      <c r="Z127" s="41"/>
      <c r="AA127" s="41">
        <f>IFERROR(VLOOKUP($A127,Program[],6,0),0)</f>
        <v>0</v>
      </c>
      <c r="AB127" s="41"/>
      <c r="AC127" s="41"/>
      <c r="AD127" s="41">
        <f>IFERROR(VLOOKUP($A127,Program[],7,0),0)</f>
        <v>6439.99</v>
      </c>
      <c r="AE127" s="41">
        <f>IFERROR(VLOOKUP($A127,Program[],8,0),0)</f>
        <v>0</v>
      </c>
      <c r="AF127" s="41">
        <f>IFERROR(VLOOKUP($A127,Program[],9,0),0)</f>
        <v>0</v>
      </c>
      <c r="AG127" s="41">
        <f>IFERROR(VLOOKUP($A127,Program[],10,0),0)</f>
        <v>0</v>
      </c>
      <c r="AH127" s="41">
        <f>IFERROR(VLOOKUP($A127,Program[],11,0),0)</f>
        <v>0</v>
      </c>
      <c r="AI127" s="41">
        <f>IFERROR(VLOOKUP($A127,Program[],12,0),0)</f>
        <v>0</v>
      </c>
      <c r="AJ127" s="41"/>
      <c r="AK127" s="41">
        <f>IFERROR(VLOOKUP($A127,Program[],13,0),0)</f>
        <v>0</v>
      </c>
      <c r="AL127" s="41"/>
      <c r="AM127" s="41"/>
      <c r="AN127" s="41"/>
      <c r="AO127" s="41"/>
      <c r="AP127" s="41"/>
      <c r="AQ127" s="41"/>
      <c r="AR127" s="41"/>
      <c r="AS127" s="41">
        <f>IFERROR(VLOOKUP($A127,Program[],14,0),0)</f>
        <v>0</v>
      </c>
      <c r="AT127" s="41"/>
      <c r="AU127" s="41"/>
      <c r="AV127" s="41">
        <f>IFERROR(VLOOKUP($A127,Program[],15,0),0)</f>
        <v>0</v>
      </c>
      <c r="AW127" s="41"/>
      <c r="AX127" s="41">
        <f>IFERROR(VLOOKUP($A127,Program[],16,0),0)</f>
        <v>0</v>
      </c>
      <c r="AY127" s="41">
        <f>IFERROR(VLOOKUP($A127,Program[],17,0),0)</f>
        <v>0</v>
      </c>
      <c r="AZ127" s="41">
        <f>IFERROR(VLOOKUP($A127,Program[],18,0),0)</f>
        <v>0</v>
      </c>
      <c r="BA127" s="41">
        <f>IFERROR(VLOOKUP($A127,Program[],19,0),0)</f>
        <v>0</v>
      </c>
      <c r="BB127" s="77">
        <f t="shared" si="27"/>
        <v>675920.24</v>
      </c>
      <c r="BC127" s="41">
        <f>IFERROR(VLOOKUP(A127,Food[],3,0),0)</f>
        <v>2174877.12</v>
      </c>
      <c r="BD127" s="41">
        <f>IFERROR(VLOOKUP($A127,FoodRev[],2,0),0)</f>
        <v>1120030.33</v>
      </c>
      <c r="BE127" s="41">
        <f>IFERROR(VLOOKUP($A127,FoodRev[],3,0),0)</f>
        <v>11750.18</v>
      </c>
      <c r="BF127" s="41">
        <f>IFERROR(VLOOKUP($A127,FoodRev[],4,0),0)</f>
        <v>0</v>
      </c>
      <c r="BG127" s="41">
        <f>IFERROR(VLOOKUP($A127,FoodRev[],5,0),0)</f>
        <v>252012.25</v>
      </c>
      <c r="BH127" s="41">
        <f>IFERROR(VLOOKUP($A127,FoodRev[],6,0),0)</f>
        <v>0</v>
      </c>
      <c r="BI127" s="41">
        <f>IFERROR(VLOOKUP($A127,FoodRev[],7,0),0)</f>
        <v>0</v>
      </c>
      <c r="BJ127" s="41">
        <f>IFERROR(VLOOKUP($A127,FoodRev[],8,0),0)</f>
        <v>105694.48</v>
      </c>
      <c r="BK127" s="41">
        <f>IFERROR(VLOOKUP($A127,FoodRev[],9,0),0)</f>
        <v>0</v>
      </c>
      <c r="BL127" s="41">
        <f>IFERROR(VLOOKUP($A127,FoodRev[],10,0),0)</f>
        <v>9469.64</v>
      </c>
      <c r="BM127" s="41">
        <f t="shared" si="28"/>
        <v>1498956.88</v>
      </c>
      <c r="BN127" s="42">
        <f t="shared" si="33"/>
        <v>675920.24</v>
      </c>
      <c r="BO127" s="78">
        <f>IF(BN127&lt;0,0,BN127)</f>
        <v>675920.24</v>
      </c>
      <c r="BP127" s="78">
        <f>IF(BN127&lt;0,BN127,0)</f>
        <v>0</v>
      </c>
    </row>
    <row r="128" spans="1:68" x14ac:dyDescent="0.25">
      <c r="A128" s="40" t="s">
        <v>104</v>
      </c>
      <c r="B128" s="40" t="s">
        <v>815</v>
      </c>
      <c r="D128" s="203">
        <f t="shared" si="22"/>
        <v>-1.4901161193847656E-8</v>
      </c>
      <c r="E128" s="41">
        <f>IFERROR(VLOOKUP(A128,Items[],5,0),0)</f>
        <v>99820323.349999994</v>
      </c>
      <c r="F128" s="42">
        <f t="shared" si="23"/>
        <v>99820323.350000009</v>
      </c>
      <c r="G128" s="41">
        <v>0</v>
      </c>
      <c r="H128" s="41">
        <f>IFERROR(VLOOKUP(A128,Items[],4,0),0)</f>
        <v>108516277.56</v>
      </c>
      <c r="I128" s="41">
        <f>IFERROR(VLOOKUP(A128,Community[],4,0),0)</f>
        <v>0</v>
      </c>
      <c r="J128" s="41">
        <f>IFERROR(VLOOKUP(A128,Community[],5,0),0)</f>
        <v>49325.279999999999</v>
      </c>
      <c r="K128" s="41">
        <f>IFERROR(VLOOKUP(A128,Community[],6,0),0)</f>
        <v>0</v>
      </c>
      <c r="L128" s="41">
        <f>IFERROR(VLOOKUP(A128,Community[],7,0),0)</f>
        <v>825001.44000000018</v>
      </c>
      <c r="M128" s="41">
        <f>IFERROR(VLOOKUP(A128,Debt[],3,0),0)</f>
        <v>4110.4399999999996</v>
      </c>
      <c r="N128" s="41">
        <f>IFERROR(VLOOKUP(A128,Debt[],4,0),0)</f>
        <v>103345.24</v>
      </c>
      <c r="O128" s="41">
        <f>IFERROR(VLOOKUP(A128,Debt[],5,0),0)</f>
        <v>0</v>
      </c>
      <c r="P128" s="41">
        <f>IFERROR(VLOOKUP(A128,Items[],3,0),0)</f>
        <v>232452.65</v>
      </c>
      <c r="Q128" s="41">
        <f>IFERROR(VLOOKUP($A128,Federal[],2,0),0)</f>
        <v>1530062.79</v>
      </c>
      <c r="R128" s="41">
        <f>IFERROR(VLOOKUP($A128,Federal[],4,0),0)</f>
        <v>4799286.72</v>
      </c>
      <c r="S128" s="41"/>
      <c r="T128" s="47">
        <f>IFERROR(VLOOKUP($A128,Program[],3,0),0)</f>
        <v>0</v>
      </c>
      <c r="U128" s="47"/>
      <c r="V128" s="41">
        <f>IFERROR(VLOOKUP($A128,Program[],4,0),0)</f>
        <v>0</v>
      </c>
      <c r="W128" s="41">
        <f>IFERROR(VLOOKUP($A128,Program[],5,0),0)</f>
        <v>0</v>
      </c>
      <c r="X128" s="41"/>
      <c r="Y128" s="41"/>
      <c r="Z128" s="41"/>
      <c r="AA128" s="41">
        <f>IFERROR(VLOOKUP($A128,Program[],6,0),0)</f>
        <v>0</v>
      </c>
      <c r="AB128" s="41"/>
      <c r="AC128" s="41"/>
      <c r="AD128" s="41">
        <f>IFERROR(VLOOKUP($A128,Program[],7,0),0)</f>
        <v>0</v>
      </c>
      <c r="AE128" s="41">
        <f>IFERROR(VLOOKUP($A128,Program[],8,0),0)</f>
        <v>0</v>
      </c>
      <c r="AF128" s="41">
        <f>IFERROR(VLOOKUP($A128,Program[],9,0),0)</f>
        <v>0</v>
      </c>
      <c r="AG128" s="41">
        <f>IFERROR(VLOOKUP($A128,Program[],10,0),0)</f>
        <v>0</v>
      </c>
      <c r="AH128" s="41">
        <f>IFERROR(VLOOKUP($A128,Program[],11,0),0)</f>
        <v>0</v>
      </c>
      <c r="AI128" s="41">
        <f>IFERROR(VLOOKUP($A128,Program[],12,0),0)</f>
        <v>0</v>
      </c>
      <c r="AJ128" s="41"/>
      <c r="AK128" s="41">
        <f>IFERROR(VLOOKUP($A128,Program[],13,0),0)</f>
        <v>0</v>
      </c>
      <c r="AL128" s="41"/>
      <c r="AM128" s="41"/>
      <c r="AN128" s="41"/>
      <c r="AO128" s="41"/>
      <c r="AP128" s="41"/>
      <c r="AQ128" s="41"/>
      <c r="AR128" s="41"/>
      <c r="AS128" s="41">
        <f>IFERROR(VLOOKUP($A128,Program[],14,0),0)</f>
        <v>0</v>
      </c>
      <c r="AT128" s="41"/>
      <c r="AU128" s="41"/>
      <c r="AV128" s="41">
        <f>IFERROR(VLOOKUP($A128,Program[],15,0),0)</f>
        <v>0</v>
      </c>
      <c r="AW128" s="41"/>
      <c r="AX128" s="41">
        <f>IFERROR(VLOOKUP($A128,Program[],16,0),0)</f>
        <v>0</v>
      </c>
      <c r="AY128" s="41">
        <f>IFERROR(VLOOKUP($A128,Program[],17,0),0)</f>
        <v>0</v>
      </c>
      <c r="AZ128" s="41">
        <f>IFERROR(VLOOKUP($A128,Program[],18,0),0)</f>
        <v>0</v>
      </c>
      <c r="BA128" s="41">
        <f>IFERROR(VLOOKUP($A128,Program[],19,0),0)</f>
        <v>0</v>
      </c>
      <c r="BB128" s="77">
        <f t="shared" si="27"/>
        <v>490054.14999999967</v>
      </c>
      <c r="BC128" s="41">
        <f>IFERROR(VLOOKUP(A128,Food[],3,0),0)</f>
        <v>2898977.1699999995</v>
      </c>
      <c r="BD128" s="41">
        <f>IFERROR(VLOOKUP($A128,FoodRev[],2,0),0)</f>
        <v>563144.73</v>
      </c>
      <c r="BE128" s="41">
        <f>IFERROR(VLOOKUP($A128,FoodRev[],3,0),0)</f>
        <v>589224.92000000004</v>
      </c>
      <c r="BF128" s="41">
        <f>IFERROR(VLOOKUP($A128,FoodRev[],4,0),0)</f>
        <v>0</v>
      </c>
      <c r="BG128" s="41">
        <f>IFERROR(VLOOKUP($A128,FoodRev[],5,0),0)</f>
        <v>1092590.8999999999</v>
      </c>
      <c r="BH128" s="41">
        <f>IFERROR(VLOOKUP($A128,FoodRev[],6,0),0)</f>
        <v>0</v>
      </c>
      <c r="BI128" s="41">
        <f>IFERROR(VLOOKUP($A128,FoodRev[],7,0),0)</f>
        <v>0</v>
      </c>
      <c r="BJ128" s="41">
        <f>IFERROR(VLOOKUP($A128,FoodRev[],8,0),0)</f>
        <v>163962.47</v>
      </c>
      <c r="BK128" s="41">
        <f>IFERROR(VLOOKUP($A128,FoodRev[],9,0),0)</f>
        <v>0</v>
      </c>
      <c r="BL128" s="41">
        <f>IFERROR(VLOOKUP($A128,FoodRev[],10,0),0)</f>
        <v>0</v>
      </c>
      <c r="BM128" s="41">
        <f t="shared" si="28"/>
        <v>2408923.02</v>
      </c>
      <c r="BN128" s="42">
        <f t="shared" si="33"/>
        <v>490054.14999999967</v>
      </c>
      <c r="BO128" s="78">
        <f>IF(BN128&lt;0,0,BN128)</f>
        <v>490054.14999999967</v>
      </c>
      <c r="BP128" s="78">
        <f>IF(BN128&lt;0,BN128,0)</f>
        <v>0</v>
      </c>
    </row>
    <row r="129" spans="1:68" x14ac:dyDescent="0.25">
      <c r="A129" s="40" t="s">
        <v>60</v>
      </c>
      <c r="B129" s="40" t="s">
        <v>816</v>
      </c>
      <c r="D129" s="203">
        <f t="shared" si="22"/>
        <v>8.9406967163085938E-8</v>
      </c>
      <c r="E129" s="41">
        <f>IFERROR(VLOOKUP(A129,Items[],5,0),0)</f>
        <v>186616812.30000001</v>
      </c>
      <c r="F129" s="42">
        <f t="shared" si="23"/>
        <v>186616812.29999992</v>
      </c>
      <c r="G129" s="41">
        <v>0</v>
      </c>
      <c r="H129" s="41">
        <f>IFERROR(VLOOKUP(A129,Items[],4,0),0)</f>
        <v>206923892.69</v>
      </c>
      <c r="I129" s="41">
        <f>IFERROR(VLOOKUP(A129,Community[],4,0),0)</f>
        <v>0</v>
      </c>
      <c r="J129" s="41">
        <f>IFERROR(VLOOKUP(A129,Community[],5,0),0)</f>
        <v>95652.33</v>
      </c>
      <c r="K129" s="41">
        <f>IFERROR(VLOOKUP(A129,Community[],6,0),0)</f>
        <v>0</v>
      </c>
      <c r="L129" s="41">
        <f>IFERROR(VLOOKUP(A129,Community[],7,0),0)</f>
        <v>1528981.56</v>
      </c>
      <c r="M129" s="41">
        <f>IFERROR(VLOOKUP(A129,Debt[],3,0),0)</f>
        <v>8171.41</v>
      </c>
      <c r="N129" s="41">
        <f>IFERROR(VLOOKUP(A129,Debt[],4,0),0)</f>
        <v>334104.15000000002</v>
      </c>
      <c r="O129" s="41">
        <f>IFERROR(VLOOKUP(A129,Debt[],5,0),0)</f>
        <v>0</v>
      </c>
      <c r="P129" s="41">
        <f>IFERROR(VLOOKUP(A129,Items[],3,0),0)</f>
        <v>819308.99</v>
      </c>
      <c r="Q129" s="41">
        <f>IFERROR(VLOOKUP($A129,Federal[],2,0),0)</f>
        <v>6426648.0199999996</v>
      </c>
      <c r="R129" s="41">
        <f>IFERROR(VLOOKUP($A129,Federal[],4,0),0)</f>
        <v>9247201.8000000007</v>
      </c>
      <c r="S129" s="41"/>
      <c r="T129" s="47">
        <f>IFERROR(VLOOKUP($A129,Program[],3,0),0)</f>
        <v>0</v>
      </c>
      <c r="U129" s="47"/>
      <c r="V129" s="41">
        <f>IFERROR(VLOOKUP($A129,Program[],4,0),0)</f>
        <v>0</v>
      </c>
      <c r="W129" s="41">
        <f>IFERROR(VLOOKUP($A129,Program[],5,0),0)</f>
        <v>0</v>
      </c>
      <c r="X129" s="41"/>
      <c r="Y129" s="41"/>
      <c r="Z129" s="41"/>
      <c r="AA129" s="41">
        <f>IFERROR(VLOOKUP($A129,Program[],6,0),0)</f>
        <v>0</v>
      </c>
      <c r="AB129" s="41"/>
      <c r="AC129" s="41"/>
      <c r="AD129" s="41">
        <f>IFERROR(VLOOKUP($A129,Program[],7,0),0)</f>
        <v>0</v>
      </c>
      <c r="AE129" s="41">
        <f>IFERROR(VLOOKUP($A129,Program[],8,0),0)</f>
        <v>0</v>
      </c>
      <c r="AF129" s="41">
        <f>IFERROR(VLOOKUP($A129,Program[],9,0),0)</f>
        <v>0</v>
      </c>
      <c r="AG129" s="41">
        <f>IFERROR(VLOOKUP($A129,Program[],10,0),0)</f>
        <v>0</v>
      </c>
      <c r="AH129" s="41">
        <f>IFERROR(VLOOKUP($A129,Program[],11,0),0)</f>
        <v>0</v>
      </c>
      <c r="AI129" s="41">
        <f>IFERROR(VLOOKUP($A129,Program[],12,0),0)</f>
        <v>0</v>
      </c>
      <c r="AJ129" s="41"/>
      <c r="AK129" s="41">
        <f>IFERROR(VLOOKUP($A129,Program[],13,0),0)</f>
        <v>0</v>
      </c>
      <c r="AL129" s="41"/>
      <c r="AM129" s="41"/>
      <c r="AN129" s="41"/>
      <c r="AO129" s="41"/>
      <c r="AP129" s="41"/>
      <c r="AQ129" s="41"/>
      <c r="AR129" s="41"/>
      <c r="AS129" s="41">
        <f>IFERROR(VLOOKUP($A129,Program[],14,0),0)</f>
        <v>0</v>
      </c>
      <c r="AT129" s="41"/>
      <c r="AU129" s="41"/>
      <c r="AV129" s="41">
        <f>IFERROR(VLOOKUP($A129,Program[],15,0),0)</f>
        <v>0</v>
      </c>
      <c r="AW129" s="41"/>
      <c r="AX129" s="41">
        <f>IFERROR(VLOOKUP($A129,Program[],16,0),0)</f>
        <v>0</v>
      </c>
      <c r="AY129" s="41">
        <f>IFERROR(VLOOKUP($A129,Program[],17,0),0)</f>
        <v>0</v>
      </c>
      <c r="AZ129" s="41">
        <f>IFERROR(VLOOKUP($A129,Program[],18,0),0)</f>
        <v>0</v>
      </c>
      <c r="BA129" s="41">
        <f>IFERROR(VLOOKUP($A129,Program[],19,0),0)</f>
        <v>22554.48</v>
      </c>
      <c r="BB129" s="77">
        <f t="shared" si="27"/>
        <v>108184.09999999974</v>
      </c>
      <c r="BC129" s="41">
        <f>IFERROR(VLOOKUP(A129,Food[],3,0),0)</f>
        <v>4851161.29</v>
      </c>
      <c r="BD129" s="41">
        <f>IFERROR(VLOOKUP($A129,FoodRev[],2,0),0)</f>
        <v>787117.78</v>
      </c>
      <c r="BE129" s="41">
        <f>IFERROR(VLOOKUP($A129,FoodRev[],3,0),0)</f>
        <v>1082448.83</v>
      </c>
      <c r="BF129" s="41">
        <f>IFERROR(VLOOKUP($A129,FoodRev[],4,0),0)</f>
        <v>0</v>
      </c>
      <c r="BG129" s="41">
        <f>IFERROR(VLOOKUP($A129,FoodRev[],5,0),0)</f>
        <v>2530035.19</v>
      </c>
      <c r="BH129" s="41">
        <f>IFERROR(VLOOKUP($A129,FoodRev[],6,0),0)</f>
        <v>0</v>
      </c>
      <c r="BI129" s="41">
        <f>IFERROR(VLOOKUP($A129,FoodRev[],7,0),0)</f>
        <v>0</v>
      </c>
      <c r="BJ129" s="41">
        <f>IFERROR(VLOOKUP($A129,FoodRev[],8,0),0)</f>
        <v>343375.39</v>
      </c>
      <c r="BK129" s="41">
        <f>IFERROR(VLOOKUP($A129,FoodRev[],9,0),0)</f>
        <v>0</v>
      </c>
      <c r="BL129" s="41">
        <f>IFERROR(VLOOKUP($A129,FoodRev[],10,0),0)</f>
        <v>0</v>
      </c>
      <c r="BM129" s="41">
        <f t="shared" si="28"/>
        <v>4742977.1899999995</v>
      </c>
      <c r="BN129" s="42">
        <f t="shared" si="33"/>
        <v>108184.09999999974</v>
      </c>
      <c r="BO129" s="78">
        <f>IF(BN129&lt;0,0,BN129)</f>
        <v>108184.09999999974</v>
      </c>
      <c r="BP129" s="78">
        <f>IF(BN129&lt;0,BN129,0)</f>
        <v>0</v>
      </c>
    </row>
    <row r="130" spans="1:68" x14ac:dyDescent="0.25">
      <c r="A130" s="40" t="s">
        <v>68</v>
      </c>
      <c r="B130" s="40" t="s">
        <v>817</v>
      </c>
      <c r="D130" s="203">
        <f t="shared" si="22"/>
        <v>-2.9802322387695313E-8</v>
      </c>
      <c r="E130" s="41">
        <f>IFERROR(VLOOKUP(A130,Items[],5,0),0)</f>
        <v>173726413.94999999</v>
      </c>
      <c r="F130" s="42">
        <f t="shared" si="23"/>
        <v>173726413.95000002</v>
      </c>
      <c r="G130" s="41">
        <v>0</v>
      </c>
      <c r="H130" s="41">
        <f>IFERROR(VLOOKUP(A130,Items[],4,0),0)</f>
        <v>190091280.06</v>
      </c>
      <c r="I130" s="41">
        <f>IFERROR(VLOOKUP(A130,Community[],4,0),0)</f>
        <v>0</v>
      </c>
      <c r="J130" s="41">
        <f>IFERROR(VLOOKUP(A130,Community[],5,0),0)</f>
        <v>0</v>
      </c>
      <c r="K130" s="41">
        <f>IFERROR(VLOOKUP(A130,Community[],6,0),0)</f>
        <v>24999.97</v>
      </c>
      <c r="L130" s="41">
        <f>IFERROR(VLOOKUP(A130,Community[],7,0),0)</f>
        <v>2676145.7000000002</v>
      </c>
      <c r="M130" s="41">
        <f>IFERROR(VLOOKUP(A130,Debt[],3,0),0)</f>
        <v>24101.07</v>
      </c>
      <c r="N130" s="41">
        <f>IFERROR(VLOOKUP(A130,Debt[],4,0),0)</f>
        <v>263271.23</v>
      </c>
      <c r="O130" s="41">
        <f>IFERROR(VLOOKUP(A130,Debt[],5,0),0)</f>
        <v>0</v>
      </c>
      <c r="P130" s="41">
        <f>IFERROR(VLOOKUP(A130,Items[],3,0),0)</f>
        <v>677734.84</v>
      </c>
      <c r="Q130" s="41">
        <f>IFERROR(VLOOKUP($A130,Federal[],2,0),0)</f>
        <v>1531138.67</v>
      </c>
      <c r="R130" s="41">
        <f>IFERROR(VLOOKUP($A130,Federal[],4,0),0)</f>
        <v>9611068.4299999997</v>
      </c>
      <c r="S130" s="41"/>
      <c r="T130" s="47">
        <f>IFERROR(VLOOKUP($A130,Program[],3,0),0)</f>
        <v>0</v>
      </c>
      <c r="U130" s="47"/>
      <c r="V130" s="41">
        <f>IFERROR(VLOOKUP($A130,Program[],4,0),0)</f>
        <v>0</v>
      </c>
      <c r="W130" s="41">
        <f>IFERROR(VLOOKUP($A130,Program[],5,0),0)</f>
        <v>0</v>
      </c>
      <c r="X130" s="41"/>
      <c r="Y130" s="41"/>
      <c r="Z130" s="41"/>
      <c r="AA130" s="41">
        <f>IFERROR(VLOOKUP($A130,Program[],6,0),0)</f>
        <v>0</v>
      </c>
      <c r="AB130" s="41"/>
      <c r="AC130" s="41"/>
      <c r="AD130" s="41">
        <f>IFERROR(VLOOKUP($A130,Program[],7,0),0)</f>
        <v>0</v>
      </c>
      <c r="AE130" s="41">
        <f>IFERROR(VLOOKUP($A130,Program[],8,0),0)</f>
        <v>0</v>
      </c>
      <c r="AF130" s="41">
        <f>IFERROR(VLOOKUP($A130,Program[],9,0),0)</f>
        <v>0</v>
      </c>
      <c r="AG130" s="41">
        <f>IFERROR(VLOOKUP($A130,Program[],10,0),0)</f>
        <v>0</v>
      </c>
      <c r="AH130" s="41">
        <f>IFERROR(VLOOKUP($A130,Program[],11,0),0)</f>
        <v>0</v>
      </c>
      <c r="AI130" s="41">
        <f>IFERROR(VLOOKUP($A130,Program[],12,0),0)</f>
        <v>0</v>
      </c>
      <c r="AJ130" s="41"/>
      <c r="AK130" s="41">
        <f>IFERROR(VLOOKUP($A130,Program[],13,0),0)</f>
        <v>0</v>
      </c>
      <c r="AL130" s="41"/>
      <c r="AM130" s="41"/>
      <c r="AN130" s="41"/>
      <c r="AO130" s="41"/>
      <c r="AP130" s="41"/>
      <c r="AQ130" s="41"/>
      <c r="AR130" s="41"/>
      <c r="AS130" s="41">
        <f>IFERROR(VLOOKUP($A130,Program[],14,0),0)</f>
        <v>0</v>
      </c>
      <c r="AT130" s="41"/>
      <c r="AU130" s="41"/>
      <c r="AV130" s="41">
        <f>IFERROR(VLOOKUP($A130,Program[],15,0),0)</f>
        <v>0</v>
      </c>
      <c r="AW130" s="41"/>
      <c r="AX130" s="41">
        <f>IFERROR(VLOOKUP($A130,Program[],16,0),0)</f>
        <v>0</v>
      </c>
      <c r="AY130" s="41">
        <f>IFERROR(VLOOKUP($A130,Program[],17,0),0)</f>
        <v>0</v>
      </c>
      <c r="AZ130" s="41">
        <f>IFERROR(VLOOKUP($A130,Program[],18,0),0)</f>
        <v>0</v>
      </c>
      <c r="BA130" s="41">
        <f>IFERROR(VLOOKUP($A130,Program[],19,0),0)</f>
        <v>87965.73</v>
      </c>
      <c r="BB130" s="77">
        <f t="shared" si="27"/>
        <v>0</v>
      </c>
      <c r="BC130" s="41">
        <f>IFERROR(VLOOKUP(A130,Food[],3,0),0)</f>
        <v>5100087.7700000005</v>
      </c>
      <c r="BD130" s="41">
        <f>IFERROR(VLOOKUP($A130,FoodRev[],2,0),0)</f>
        <v>487374.41</v>
      </c>
      <c r="BE130" s="41">
        <f>IFERROR(VLOOKUP($A130,FoodRev[],3,0),0)</f>
        <v>1636434.11</v>
      </c>
      <c r="BF130" s="41">
        <f>IFERROR(VLOOKUP($A130,FoodRev[],4,0),0)</f>
        <v>0</v>
      </c>
      <c r="BG130" s="41">
        <f>IFERROR(VLOOKUP($A130,FoodRev[],5,0),0)</f>
        <v>3052794.08</v>
      </c>
      <c r="BH130" s="41">
        <f>IFERROR(VLOOKUP($A130,FoodRev[],6,0),0)</f>
        <v>0</v>
      </c>
      <c r="BI130" s="41">
        <f>IFERROR(VLOOKUP($A130,FoodRev[],7,0),0)</f>
        <v>0</v>
      </c>
      <c r="BJ130" s="41">
        <f>IFERROR(VLOOKUP($A130,FoodRev[],8,0),0)</f>
        <v>402921.76</v>
      </c>
      <c r="BK130" s="41">
        <f>IFERROR(VLOOKUP($A130,FoodRev[],9,0),0)</f>
        <v>0</v>
      </c>
      <c r="BL130" s="41">
        <f>IFERROR(VLOOKUP($A130,FoodRev[],10,0),0)</f>
        <v>0</v>
      </c>
      <c r="BM130" s="41">
        <f t="shared" si="28"/>
        <v>5579524.3599999994</v>
      </c>
      <c r="BN130" s="42">
        <f t="shared" si="33"/>
        <v>-479436.59000000008</v>
      </c>
      <c r="BO130" s="78">
        <f>IF(BN130&lt;0,0,BN130)</f>
        <v>0</v>
      </c>
      <c r="BP130" s="78">
        <f>IF(BN130&lt;0,BN130,0)</f>
        <v>-479436.59000000008</v>
      </c>
    </row>
    <row r="131" spans="1:68" x14ac:dyDescent="0.25">
      <c r="A131" s="45" t="s">
        <v>1159</v>
      </c>
      <c r="B131" s="40" t="s">
        <v>1170</v>
      </c>
      <c r="D131" s="203">
        <f t="shared" si="22"/>
        <v>1.862645149230957E-9</v>
      </c>
      <c r="E131" s="41">
        <f>IFERROR(VLOOKUP(A131,Items[],5,0),0)</f>
        <v>8066627.6500000004</v>
      </c>
      <c r="F131" s="42">
        <f t="shared" si="23"/>
        <v>8066627.6499999985</v>
      </c>
      <c r="G131" s="41">
        <v>0</v>
      </c>
      <c r="H131" s="41">
        <f>IFERROR(VLOOKUP(A131,Items[],4,0),0)</f>
        <v>9812430.6999999993</v>
      </c>
      <c r="I131" s="41">
        <f>IFERROR(VLOOKUP(A131,Community[],4,0),0)</f>
        <v>0</v>
      </c>
      <c r="J131" s="41">
        <f>IFERROR(VLOOKUP(A131,Community[],5,0),0)</f>
        <v>0</v>
      </c>
      <c r="K131" s="41">
        <f>IFERROR(VLOOKUP(A131,Community[],6,0),0)</f>
        <v>0</v>
      </c>
      <c r="L131" s="41">
        <f>IFERROR(VLOOKUP(A131,Community[],7,0),0)</f>
        <v>0</v>
      </c>
      <c r="M131" s="41">
        <f>IFERROR(VLOOKUP(A131,Debt[],3,0),0)</f>
        <v>32237.59</v>
      </c>
      <c r="N131" s="41">
        <f>IFERROR(VLOOKUP(A131,Debt[],4,0),0)</f>
        <v>559165.63</v>
      </c>
      <c r="O131" s="41">
        <f>IFERROR(VLOOKUP(A131,Debt[],5,0),0)</f>
        <v>0</v>
      </c>
      <c r="P131" s="41">
        <f>IFERROR(VLOOKUP(A131,Items[],3,0),0)</f>
        <v>0</v>
      </c>
      <c r="Q131" s="41">
        <f>IFERROR(VLOOKUP($A131,Federal[],2,0),0)</f>
        <v>0</v>
      </c>
      <c r="R131" s="41">
        <f>IFERROR(VLOOKUP($A131,Federal[],4,0),0)</f>
        <v>1010058.26</v>
      </c>
      <c r="S131" s="41"/>
      <c r="T131" s="47">
        <f>IFERROR(VLOOKUP($A131,Program[],3,0),0)</f>
        <v>0</v>
      </c>
      <c r="U131" s="47"/>
      <c r="V131" s="41">
        <f>IFERROR(VLOOKUP($A131,Program[],4,0),0)</f>
        <v>0</v>
      </c>
      <c r="W131" s="41">
        <f>IFERROR(VLOOKUP($A131,Program[],5,0),0)</f>
        <v>0</v>
      </c>
      <c r="X131" s="41"/>
      <c r="Y131" s="41"/>
      <c r="Z131" s="41"/>
      <c r="AA131" s="41">
        <f>IFERROR(VLOOKUP($A131,Program[],6,0),0)</f>
        <v>0</v>
      </c>
      <c r="AB131" s="41"/>
      <c r="AC131" s="41"/>
      <c r="AD131" s="41">
        <f>IFERROR(VLOOKUP($A131,Program[],7,0),0)</f>
        <v>0</v>
      </c>
      <c r="AE131" s="41">
        <f>IFERROR(VLOOKUP($A131,Program[],8,0),0)</f>
        <v>0</v>
      </c>
      <c r="AF131" s="41">
        <f>IFERROR(VLOOKUP($A131,Program[],9,0),0)</f>
        <v>0</v>
      </c>
      <c r="AG131" s="41">
        <f>IFERROR(VLOOKUP($A131,Program[],10,0),0)</f>
        <v>0</v>
      </c>
      <c r="AH131" s="41">
        <f>IFERROR(VLOOKUP($A131,Program[],11,0),0)</f>
        <v>0</v>
      </c>
      <c r="AI131" s="41">
        <f>IFERROR(VLOOKUP($A131,Program[],12,0),0)</f>
        <v>0</v>
      </c>
      <c r="AJ131" s="41"/>
      <c r="AK131" s="41">
        <f>IFERROR(VLOOKUP($A131,Program[],13,0),0)</f>
        <v>0</v>
      </c>
      <c r="AL131" s="41"/>
      <c r="AM131" s="41"/>
      <c r="AN131" s="41"/>
      <c r="AO131" s="41"/>
      <c r="AP131" s="41"/>
      <c r="AQ131" s="41"/>
      <c r="AR131" s="41"/>
      <c r="AS131" s="41">
        <f>IFERROR(VLOOKUP($A131,Program[],14,0),0)</f>
        <v>0</v>
      </c>
      <c r="AT131" s="41"/>
      <c r="AU131" s="41"/>
      <c r="AV131" s="41">
        <f>IFERROR(VLOOKUP($A131,Program[],15,0),0)</f>
        <v>0</v>
      </c>
      <c r="AW131" s="41"/>
      <c r="AX131" s="41">
        <f>IFERROR(VLOOKUP($A131,Program[],16,0),0)</f>
        <v>0</v>
      </c>
      <c r="AY131" s="41">
        <f>IFERROR(VLOOKUP($A131,Program[],17,0),0)</f>
        <v>0</v>
      </c>
      <c r="AZ131" s="41">
        <f>IFERROR(VLOOKUP($A131,Program[],18,0),0)</f>
        <v>0</v>
      </c>
      <c r="BA131" s="41">
        <f>IFERROR(VLOOKUP($A131,Program[],19,0),0)</f>
        <v>0</v>
      </c>
      <c r="BB131" s="77">
        <f t="shared" si="27"/>
        <v>243456.89999999991</v>
      </c>
      <c r="BC131" s="41">
        <f>IFERROR(VLOOKUP(A131,Food[],3,0),0)</f>
        <v>498968.85999999993</v>
      </c>
      <c r="BD131" s="41">
        <f>IFERROR(VLOOKUP($A131,FoodRev[],2,0),0)</f>
        <v>0</v>
      </c>
      <c r="BE131" s="41">
        <f>IFERROR(VLOOKUP($A131,FoodRev[],3,0),0)</f>
        <v>144341.57</v>
      </c>
      <c r="BF131" s="41">
        <f>IFERROR(VLOOKUP($A131,FoodRev[],4,0),0)</f>
        <v>0</v>
      </c>
      <c r="BG131" s="41">
        <f>IFERROR(VLOOKUP($A131,FoodRev[],5,0),0)</f>
        <v>111170.39</v>
      </c>
      <c r="BH131" s="41">
        <f>IFERROR(VLOOKUP($A131,FoodRev[],6,0),0)</f>
        <v>0</v>
      </c>
      <c r="BI131" s="41">
        <f>IFERROR(VLOOKUP($A131,FoodRev[],7,0),0)</f>
        <v>0</v>
      </c>
      <c r="BJ131" s="41">
        <f>IFERROR(VLOOKUP($A131,FoodRev[],8,0),0)</f>
        <v>0</v>
      </c>
      <c r="BK131" s="41">
        <f>IFERROR(VLOOKUP($A131,FoodRev[],9,0),0)</f>
        <v>0</v>
      </c>
      <c r="BL131" s="41">
        <f>IFERROR(VLOOKUP($A131,FoodRev[],10,0),0)</f>
        <v>0</v>
      </c>
      <c r="BM131" s="41">
        <f t="shared" si="28"/>
        <v>255511.96000000002</v>
      </c>
      <c r="BN131" s="42">
        <f t="shared" si="33"/>
        <v>243456.89999999991</v>
      </c>
      <c r="BO131" s="78"/>
      <c r="BP131" s="78"/>
    </row>
    <row r="132" spans="1:68" x14ac:dyDescent="0.25">
      <c r="A132" s="46" t="s">
        <v>544</v>
      </c>
      <c r="B132" s="1" t="s">
        <v>1014</v>
      </c>
      <c r="D132" s="203">
        <f t="shared" si="22"/>
        <v>0</v>
      </c>
      <c r="E132" s="41">
        <f>IFERROR(VLOOKUP(A132,Items[],5,0),0)</f>
        <v>2920873.6</v>
      </c>
      <c r="F132" s="42">
        <f t="shared" si="23"/>
        <v>2920873.6</v>
      </c>
      <c r="G132" s="41">
        <v>0</v>
      </c>
      <c r="H132" s="41">
        <f>IFERROR(VLOOKUP(A132,Items[],4,0),0)</f>
        <v>2920873.6</v>
      </c>
      <c r="I132" s="41">
        <f>IFERROR(VLOOKUP(A132,Community[],4,0),0)</f>
        <v>0</v>
      </c>
      <c r="J132" s="41">
        <f>IFERROR(VLOOKUP(A132,Community[],5,0),0)</f>
        <v>0</v>
      </c>
      <c r="K132" s="41">
        <f>IFERROR(VLOOKUP(A132,Community[],6,0),0)</f>
        <v>0</v>
      </c>
      <c r="L132" s="41">
        <f>IFERROR(VLOOKUP(A132,Community[],7,0),0)</f>
        <v>0</v>
      </c>
      <c r="M132" s="41">
        <f>IFERROR(VLOOKUP(A132,Debt[],3,0),0)</f>
        <v>0</v>
      </c>
      <c r="N132" s="41">
        <f>IFERROR(VLOOKUP(A132,Debt[],4,0),0)</f>
        <v>0</v>
      </c>
      <c r="O132" s="41">
        <f>IFERROR(VLOOKUP(A132,Debt[],5,0),0)</f>
        <v>0</v>
      </c>
      <c r="P132" s="41">
        <f>IFERROR(VLOOKUP(A132,Items[],3,0),0)</f>
        <v>0</v>
      </c>
      <c r="Q132" s="41">
        <f>IFERROR(VLOOKUP($A132,Federal[],2,0),0)</f>
        <v>0</v>
      </c>
      <c r="R132" s="41">
        <f>IFERROR(VLOOKUP($A132,Federal[],4,0),0)</f>
        <v>0</v>
      </c>
      <c r="S132" s="41"/>
      <c r="T132" s="47">
        <f>IFERROR(VLOOKUP($A132,Program[],3,0),0)</f>
        <v>0</v>
      </c>
      <c r="U132" s="47"/>
      <c r="V132" s="41">
        <f>IFERROR(VLOOKUP($A132,Program[],4,0),0)</f>
        <v>0</v>
      </c>
      <c r="W132" s="41">
        <f>IFERROR(VLOOKUP($A132,Program[],5,0),0)</f>
        <v>0</v>
      </c>
      <c r="X132" s="41"/>
      <c r="Y132" s="41"/>
      <c r="Z132" s="41"/>
      <c r="AA132" s="41">
        <f>IFERROR(VLOOKUP($A132,Program[],6,0),0)</f>
        <v>0</v>
      </c>
      <c r="AB132" s="41"/>
      <c r="AC132" s="41"/>
      <c r="AD132" s="41">
        <f>IFERROR(VLOOKUP($A132,Program[],7,0),0)</f>
        <v>0</v>
      </c>
      <c r="AE132" s="41">
        <f>IFERROR(VLOOKUP($A132,Program[],8,0),0)</f>
        <v>0</v>
      </c>
      <c r="AF132" s="41">
        <f>IFERROR(VLOOKUP($A132,Program[],9,0),0)</f>
        <v>0</v>
      </c>
      <c r="AG132" s="41">
        <f>IFERROR(VLOOKUP($A132,Program[],10,0),0)</f>
        <v>0</v>
      </c>
      <c r="AH132" s="41">
        <f>IFERROR(VLOOKUP($A132,Program[],11,0),0)</f>
        <v>0</v>
      </c>
      <c r="AI132" s="41">
        <f>IFERROR(VLOOKUP($A132,Program[],12,0),0)</f>
        <v>0</v>
      </c>
      <c r="AJ132" s="41"/>
      <c r="AK132" s="41">
        <f>IFERROR(VLOOKUP($A132,Program[],13,0),0)</f>
        <v>0</v>
      </c>
      <c r="AL132" s="41"/>
      <c r="AM132" s="41"/>
      <c r="AN132" s="41"/>
      <c r="AO132" s="41"/>
      <c r="AP132" s="41"/>
      <c r="AQ132" s="41"/>
      <c r="AR132" s="41"/>
      <c r="AS132" s="41">
        <f>IFERROR(VLOOKUP($A132,Program[],14,0),0)</f>
        <v>0</v>
      </c>
      <c r="AT132" s="41"/>
      <c r="AU132" s="41"/>
      <c r="AV132" s="41">
        <f>IFERROR(VLOOKUP($A132,Program[],15,0),0)</f>
        <v>0</v>
      </c>
      <c r="AW132" s="41"/>
      <c r="AX132" s="41">
        <f>IFERROR(VLOOKUP($A132,Program[],16,0),0)</f>
        <v>0</v>
      </c>
      <c r="AY132" s="41">
        <f>IFERROR(VLOOKUP($A132,Program[],17,0),0)</f>
        <v>0</v>
      </c>
      <c r="AZ132" s="41">
        <f>IFERROR(VLOOKUP($A132,Program[],18,0),0)</f>
        <v>0</v>
      </c>
      <c r="BA132" s="41">
        <f>IFERROR(VLOOKUP($A132,Program[],19,0),0)</f>
        <v>0</v>
      </c>
      <c r="BB132" s="77">
        <f t="shared" si="27"/>
        <v>0</v>
      </c>
      <c r="BC132" s="41">
        <f>IFERROR(VLOOKUP(A132,Food[],3,0),0)</f>
        <v>0</v>
      </c>
      <c r="BD132" s="41">
        <f>IFERROR(VLOOKUP($A132,FoodRev[],2,0),0)</f>
        <v>0</v>
      </c>
      <c r="BE132" s="41">
        <f>IFERROR(VLOOKUP($A132,FoodRev[],3,0),0)</f>
        <v>0</v>
      </c>
      <c r="BF132" s="41">
        <f>IFERROR(VLOOKUP($A132,FoodRev[],4,0),0)</f>
        <v>0</v>
      </c>
      <c r="BG132" s="41">
        <f>IFERROR(VLOOKUP($A132,FoodRev[],5,0),0)</f>
        <v>0</v>
      </c>
      <c r="BH132" s="41">
        <f>IFERROR(VLOOKUP($A132,FoodRev[],6,0),0)</f>
        <v>0</v>
      </c>
      <c r="BI132" s="41">
        <f>IFERROR(VLOOKUP($A132,FoodRev[],7,0),0)</f>
        <v>0</v>
      </c>
      <c r="BJ132" s="41">
        <f>IFERROR(VLOOKUP($A132,FoodRev[],8,0),0)</f>
        <v>0</v>
      </c>
      <c r="BK132" s="41">
        <f>IFERROR(VLOOKUP($A132,FoodRev[],9,0),0)</f>
        <v>0</v>
      </c>
      <c r="BL132" s="41">
        <f>IFERROR(VLOOKUP($A132,FoodRev[],10,0),0)</f>
        <v>0</v>
      </c>
      <c r="BM132" s="41">
        <f t="shared" si="28"/>
        <v>0</v>
      </c>
      <c r="BN132" s="42">
        <f t="shared" si="33"/>
        <v>0</v>
      </c>
      <c r="BO132" s="78">
        <f t="shared" ref="BO132:BO163" si="40">IF(BN132&lt;0,0,BN132)</f>
        <v>0</v>
      </c>
      <c r="BP132" s="78">
        <f t="shared" ref="BP132:BP163" si="41">IF(BN132&lt;0,BN132,0)</f>
        <v>0</v>
      </c>
    </row>
    <row r="133" spans="1:68" x14ac:dyDescent="0.25">
      <c r="A133" s="40" t="s">
        <v>580</v>
      </c>
      <c r="B133" s="40" t="s">
        <v>818</v>
      </c>
      <c r="D133" s="203">
        <f t="shared" si="22"/>
        <v>1.1641532182693481E-10</v>
      </c>
      <c r="E133" s="41">
        <f>IFERROR(VLOOKUP(A133,Items[],5,0),0)</f>
        <v>855826.28</v>
      </c>
      <c r="F133" s="42">
        <f t="shared" si="23"/>
        <v>855826.27999999991</v>
      </c>
      <c r="G133" s="41">
        <v>0</v>
      </c>
      <c r="H133" s="41">
        <f>IFERROR(VLOOKUP(A133,Items[],4,0),0)</f>
        <v>879810.5</v>
      </c>
      <c r="I133" s="41">
        <f>IFERROR(VLOOKUP(A133,Community[],4,0),0)</f>
        <v>0</v>
      </c>
      <c r="J133" s="41">
        <f>IFERROR(VLOOKUP(A133,Community[],5,0),0)</f>
        <v>0</v>
      </c>
      <c r="K133" s="41">
        <f>IFERROR(VLOOKUP(A133,Community[],6,0),0)</f>
        <v>0</v>
      </c>
      <c r="L133" s="41">
        <f>IFERROR(VLOOKUP(A133,Community[],7,0),0)</f>
        <v>0</v>
      </c>
      <c r="M133" s="41">
        <f>IFERROR(VLOOKUP(A133,Debt[],3,0),0)</f>
        <v>0</v>
      </c>
      <c r="N133" s="41">
        <f>IFERROR(VLOOKUP(A133,Debt[],4,0),0)</f>
        <v>0</v>
      </c>
      <c r="O133" s="41">
        <f>IFERROR(VLOOKUP(A133,Debt[],5,0),0)</f>
        <v>0</v>
      </c>
      <c r="P133" s="41">
        <f>IFERROR(VLOOKUP(A133,Items[],3,0),0)</f>
        <v>16694.560000000001</v>
      </c>
      <c r="Q133" s="41">
        <f>IFERROR(VLOOKUP($A133,Federal[],2,0),0)</f>
        <v>7289.66</v>
      </c>
      <c r="R133" s="41">
        <f>IFERROR(VLOOKUP($A133,Federal[],4,0),0)</f>
        <v>0</v>
      </c>
      <c r="S133" s="41"/>
      <c r="T133" s="47">
        <f>IFERROR(VLOOKUP($A133,Program[],3,0),0)</f>
        <v>0</v>
      </c>
      <c r="U133" s="47"/>
      <c r="V133" s="41">
        <f>IFERROR(VLOOKUP($A133,Program[],4,0),0)</f>
        <v>0</v>
      </c>
      <c r="W133" s="41">
        <f>IFERROR(VLOOKUP($A133,Program[],5,0),0)</f>
        <v>0</v>
      </c>
      <c r="X133" s="41"/>
      <c r="Y133" s="41"/>
      <c r="Z133" s="41"/>
      <c r="AA133" s="41">
        <f>IFERROR(VLOOKUP($A133,Program[],6,0),0)</f>
        <v>0</v>
      </c>
      <c r="AB133" s="41"/>
      <c r="AC133" s="41"/>
      <c r="AD133" s="41">
        <f>IFERROR(VLOOKUP($A133,Program[],7,0),0)</f>
        <v>0</v>
      </c>
      <c r="AE133" s="41">
        <f>IFERROR(VLOOKUP($A133,Program[],8,0),0)</f>
        <v>0</v>
      </c>
      <c r="AF133" s="41">
        <f>IFERROR(VLOOKUP($A133,Program[],9,0),0)</f>
        <v>0</v>
      </c>
      <c r="AG133" s="41">
        <f>IFERROR(VLOOKUP($A133,Program[],10,0),0)</f>
        <v>0</v>
      </c>
      <c r="AH133" s="41">
        <f>IFERROR(VLOOKUP($A133,Program[],11,0),0)</f>
        <v>0</v>
      </c>
      <c r="AI133" s="41">
        <f>IFERROR(VLOOKUP($A133,Program[],12,0),0)</f>
        <v>0</v>
      </c>
      <c r="AJ133" s="41"/>
      <c r="AK133" s="41">
        <f>IFERROR(VLOOKUP($A133,Program[],13,0),0)</f>
        <v>0</v>
      </c>
      <c r="AL133" s="41"/>
      <c r="AM133" s="41"/>
      <c r="AN133" s="41"/>
      <c r="AO133" s="41"/>
      <c r="AP133" s="41"/>
      <c r="AQ133" s="41"/>
      <c r="AR133" s="41"/>
      <c r="AS133" s="41">
        <f>IFERROR(VLOOKUP($A133,Program[],14,0),0)</f>
        <v>0</v>
      </c>
      <c r="AT133" s="41"/>
      <c r="AU133" s="41"/>
      <c r="AV133" s="41">
        <f>IFERROR(VLOOKUP($A133,Program[],15,0),0)</f>
        <v>0</v>
      </c>
      <c r="AW133" s="41"/>
      <c r="AX133" s="41">
        <f>IFERROR(VLOOKUP($A133,Program[],16,0),0)</f>
        <v>0</v>
      </c>
      <c r="AY133" s="41">
        <f>IFERROR(VLOOKUP($A133,Program[],17,0),0)</f>
        <v>0</v>
      </c>
      <c r="AZ133" s="41">
        <f>IFERROR(VLOOKUP($A133,Program[],18,0),0)</f>
        <v>0</v>
      </c>
      <c r="BA133" s="41">
        <f>IFERROR(VLOOKUP($A133,Program[],19,0),0)</f>
        <v>0</v>
      </c>
      <c r="BB133" s="77">
        <f t="shared" si="27"/>
        <v>0</v>
      </c>
      <c r="BC133" s="41">
        <f>IFERROR(VLOOKUP(A133,Food[],3,0),0)</f>
        <v>0</v>
      </c>
      <c r="BD133" s="41">
        <f>IFERROR(VLOOKUP($A133,FoodRev[],2,0),0)</f>
        <v>0</v>
      </c>
      <c r="BE133" s="41">
        <f>IFERROR(VLOOKUP($A133,FoodRev[],3,0),0)</f>
        <v>0</v>
      </c>
      <c r="BF133" s="41">
        <f>IFERROR(VLOOKUP($A133,FoodRev[],4,0),0)</f>
        <v>0</v>
      </c>
      <c r="BG133" s="41">
        <f>IFERROR(VLOOKUP($A133,FoodRev[],5,0),0)</f>
        <v>0</v>
      </c>
      <c r="BH133" s="41">
        <f>IFERROR(VLOOKUP($A133,FoodRev[],6,0),0)</f>
        <v>0</v>
      </c>
      <c r="BI133" s="41">
        <f>IFERROR(VLOOKUP($A133,FoodRev[],7,0),0)</f>
        <v>0</v>
      </c>
      <c r="BJ133" s="41">
        <f>IFERROR(VLOOKUP($A133,FoodRev[],8,0),0)</f>
        <v>0</v>
      </c>
      <c r="BK133" s="41">
        <f>IFERROR(VLOOKUP($A133,FoodRev[],9,0),0)</f>
        <v>0</v>
      </c>
      <c r="BL133" s="41">
        <f>IFERROR(VLOOKUP($A133,FoodRev[],10,0),0)</f>
        <v>0</v>
      </c>
      <c r="BM133" s="41">
        <f t="shared" si="28"/>
        <v>0</v>
      </c>
      <c r="BN133" s="42">
        <f t="shared" si="33"/>
        <v>0</v>
      </c>
      <c r="BO133" s="78">
        <f t="shared" si="40"/>
        <v>0</v>
      </c>
      <c r="BP133" s="78">
        <f t="shared" si="41"/>
        <v>0</v>
      </c>
    </row>
    <row r="134" spans="1:68" x14ac:dyDescent="0.25">
      <c r="A134" s="40" t="s">
        <v>516</v>
      </c>
      <c r="B134" s="40" t="s">
        <v>819</v>
      </c>
      <c r="D134" s="203">
        <f t="shared" si="22"/>
        <v>0</v>
      </c>
      <c r="E134" s="41">
        <f>IFERROR(VLOOKUP(A134,Items[],5,0),0)</f>
        <v>2945019.1</v>
      </c>
      <c r="F134" s="42">
        <f t="shared" si="23"/>
        <v>2945019.1</v>
      </c>
      <c r="G134" s="41">
        <v>0</v>
      </c>
      <c r="H134" s="41">
        <f>IFERROR(VLOOKUP(A134,Items[],4,0),0)</f>
        <v>3172862.04</v>
      </c>
      <c r="I134" s="41">
        <f>IFERROR(VLOOKUP(A134,Community[],4,0),0)</f>
        <v>0</v>
      </c>
      <c r="J134" s="41">
        <f>IFERROR(VLOOKUP(A134,Community[],5,0),0)</f>
        <v>0</v>
      </c>
      <c r="K134" s="41">
        <f>IFERROR(VLOOKUP(A134,Community[],6,0),0)</f>
        <v>34430.82</v>
      </c>
      <c r="L134" s="41">
        <f>IFERROR(VLOOKUP(A134,Community[],7,0),0)</f>
        <v>14410.44</v>
      </c>
      <c r="M134" s="41">
        <f>IFERROR(VLOOKUP(A134,Debt[],3,0),0)</f>
        <v>536.29</v>
      </c>
      <c r="N134" s="41">
        <f>IFERROR(VLOOKUP(A134,Debt[],4,0),0)</f>
        <v>4047.35</v>
      </c>
      <c r="O134" s="41">
        <f>IFERROR(VLOOKUP(A134,Debt[],5,0),0)</f>
        <v>0</v>
      </c>
      <c r="P134" s="41">
        <f>IFERROR(VLOOKUP(A134,Items[],3,0),0)</f>
        <v>67047.06</v>
      </c>
      <c r="Q134" s="41">
        <f>IFERROR(VLOOKUP($A134,Federal[],2,0),0)</f>
        <v>807.84</v>
      </c>
      <c r="R134" s="41">
        <f>IFERROR(VLOOKUP($A134,Federal[],4,0),0)</f>
        <v>90437.25</v>
      </c>
      <c r="S134" s="41"/>
      <c r="T134" s="47">
        <f>IFERROR(VLOOKUP($A134,Program[],3,0),0)</f>
        <v>0</v>
      </c>
      <c r="U134" s="47"/>
      <c r="V134" s="41">
        <f>IFERROR(VLOOKUP($A134,Program[],4,0),0)</f>
        <v>0</v>
      </c>
      <c r="W134" s="41">
        <f>IFERROR(VLOOKUP($A134,Program[],5,0),0)</f>
        <v>0</v>
      </c>
      <c r="X134" s="41"/>
      <c r="Y134" s="41"/>
      <c r="Z134" s="41"/>
      <c r="AA134" s="41">
        <f>IFERROR(VLOOKUP($A134,Program[],6,0),0)</f>
        <v>0</v>
      </c>
      <c r="AB134" s="41"/>
      <c r="AC134" s="41"/>
      <c r="AD134" s="41">
        <f>IFERROR(VLOOKUP($A134,Program[],7,0),0)</f>
        <v>0</v>
      </c>
      <c r="AE134" s="41">
        <f>IFERROR(VLOOKUP($A134,Program[],8,0),0)</f>
        <v>0</v>
      </c>
      <c r="AF134" s="41">
        <f>IFERROR(VLOOKUP($A134,Program[],9,0),0)</f>
        <v>0</v>
      </c>
      <c r="AG134" s="41">
        <f>IFERROR(VLOOKUP($A134,Program[],10,0),0)</f>
        <v>0</v>
      </c>
      <c r="AH134" s="41">
        <f>IFERROR(VLOOKUP($A134,Program[],11,0),0)</f>
        <v>0</v>
      </c>
      <c r="AI134" s="41">
        <f>IFERROR(VLOOKUP($A134,Program[],12,0),0)</f>
        <v>0</v>
      </c>
      <c r="AJ134" s="41"/>
      <c r="AK134" s="41">
        <f>IFERROR(VLOOKUP($A134,Program[],13,0),0)</f>
        <v>0</v>
      </c>
      <c r="AL134" s="41"/>
      <c r="AM134" s="41"/>
      <c r="AN134" s="41"/>
      <c r="AO134" s="41"/>
      <c r="AP134" s="41"/>
      <c r="AQ134" s="41"/>
      <c r="AR134" s="41"/>
      <c r="AS134" s="41">
        <f>IFERROR(VLOOKUP($A134,Program[],14,0),0)</f>
        <v>0</v>
      </c>
      <c r="AT134" s="41"/>
      <c r="AU134" s="41"/>
      <c r="AV134" s="41">
        <f>IFERROR(VLOOKUP($A134,Program[],15,0),0)</f>
        <v>0</v>
      </c>
      <c r="AW134" s="41"/>
      <c r="AX134" s="41">
        <f>IFERROR(VLOOKUP($A134,Program[],16,0),0)</f>
        <v>0</v>
      </c>
      <c r="AY134" s="41">
        <f>IFERROR(VLOOKUP($A134,Program[],17,0),0)</f>
        <v>0</v>
      </c>
      <c r="AZ134" s="41">
        <f>IFERROR(VLOOKUP($A134,Program[],18,0),0)</f>
        <v>0</v>
      </c>
      <c r="BA134" s="41">
        <f>IFERROR(VLOOKUP($A134,Program[],19,0),0)</f>
        <v>0</v>
      </c>
      <c r="BB134" s="77">
        <f t="shared" si="27"/>
        <v>71143.56</v>
      </c>
      <c r="BC134" s="41">
        <f>IFERROR(VLOOKUP(A134,Food[],3,0),0)</f>
        <v>137541.39000000001</v>
      </c>
      <c r="BD134" s="41">
        <f>IFERROR(VLOOKUP($A134,FoodRev[],2,0),0)</f>
        <v>115</v>
      </c>
      <c r="BE134" s="41">
        <f>IFERROR(VLOOKUP($A134,FoodRev[],3,0),0)</f>
        <v>16010.89</v>
      </c>
      <c r="BF134" s="41">
        <f>IFERROR(VLOOKUP($A134,FoodRev[],4,0),0)</f>
        <v>0</v>
      </c>
      <c r="BG134" s="41">
        <f>IFERROR(VLOOKUP($A134,FoodRev[],5,0),0)</f>
        <v>45463.62</v>
      </c>
      <c r="BH134" s="41">
        <f>IFERROR(VLOOKUP($A134,FoodRev[],6,0),0)</f>
        <v>0</v>
      </c>
      <c r="BI134" s="41">
        <f>IFERROR(VLOOKUP($A134,FoodRev[],7,0),0)</f>
        <v>0</v>
      </c>
      <c r="BJ134" s="41">
        <f>IFERROR(VLOOKUP($A134,FoodRev[],8,0),0)</f>
        <v>4808.32</v>
      </c>
      <c r="BK134" s="41">
        <f>IFERROR(VLOOKUP($A134,FoodRev[],9,0),0)</f>
        <v>0</v>
      </c>
      <c r="BL134" s="41">
        <f>IFERROR(VLOOKUP($A134,FoodRev[],10,0),0)</f>
        <v>0</v>
      </c>
      <c r="BM134" s="41">
        <f t="shared" si="28"/>
        <v>66397.83</v>
      </c>
      <c r="BN134" s="42">
        <f t="shared" si="33"/>
        <v>71143.56</v>
      </c>
      <c r="BO134" s="78">
        <f t="shared" si="40"/>
        <v>71143.56</v>
      </c>
      <c r="BP134" s="78">
        <f t="shared" si="41"/>
        <v>0</v>
      </c>
    </row>
    <row r="135" spans="1:68" x14ac:dyDescent="0.25">
      <c r="A135" s="40" t="s">
        <v>508</v>
      </c>
      <c r="B135" s="40" t="s">
        <v>820</v>
      </c>
      <c r="D135" s="203">
        <f t="shared" ref="D135:D198" si="42">SUM(E135-F135)</f>
        <v>0</v>
      </c>
      <c r="E135" s="41">
        <f>IFERROR(VLOOKUP(A135,Items[],5,0),0)</f>
        <v>6929739.0899999999</v>
      </c>
      <c r="F135" s="42">
        <f t="shared" si="23"/>
        <v>6929739.0899999999</v>
      </c>
      <c r="G135" s="41">
        <v>0</v>
      </c>
      <c r="H135" s="41">
        <f>IFERROR(VLOOKUP(A135,Items[],4,0),0)</f>
        <v>7420556.9500000002</v>
      </c>
      <c r="I135" s="41">
        <f>IFERROR(VLOOKUP(A135,Community[],4,0),0)</f>
        <v>0</v>
      </c>
      <c r="J135" s="41">
        <f>IFERROR(VLOOKUP(A135,Community[],5,0),0)</f>
        <v>0</v>
      </c>
      <c r="K135" s="41">
        <f>IFERROR(VLOOKUP(A135,Community[],6,0),0)</f>
        <v>0</v>
      </c>
      <c r="L135" s="41">
        <f>IFERROR(VLOOKUP(A135,Community[],7,0),0)</f>
        <v>0</v>
      </c>
      <c r="M135" s="41">
        <f>IFERROR(VLOOKUP(A135,Debt[],3,0),0)</f>
        <v>0</v>
      </c>
      <c r="N135" s="41">
        <f>IFERROR(VLOOKUP(A135,Debt[],4,0),0)</f>
        <v>0</v>
      </c>
      <c r="O135" s="41">
        <f>IFERROR(VLOOKUP(A135,Debt[],5,0),0)</f>
        <v>0</v>
      </c>
      <c r="P135" s="41">
        <f>IFERROR(VLOOKUP(A135,Items[],3,0),0)</f>
        <v>87226.23</v>
      </c>
      <c r="Q135" s="41">
        <f>IFERROR(VLOOKUP($A135,Federal[],2,0),0)</f>
        <v>2234.58</v>
      </c>
      <c r="R135" s="41">
        <f>IFERROR(VLOOKUP($A135,Federal[],4,0),0)</f>
        <v>334080.23</v>
      </c>
      <c r="S135" s="41"/>
      <c r="T135" s="47">
        <f>IFERROR(VLOOKUP($A135,Program[],3,0),0)</f>
        <v>0</v>
      </c>
      <c r="U135" s="47"/>
      <c r="V135" s="41">
        <f>IFERROR(VLOOKUP($A135,Program[],4,0),0)</f>
        <v>0</v>
      </c>
      <c r="W135" s="41">
        <f>IFERROR(VLOOKUP($A135,Program[],5,0),0)</f>
        <v>0</v>
      </c>
      <c r="X135" s="41"/>
      <c r="Y135" s="41"/>
      <c r="Z135" s="41"/>
      <c r="AA135" s="41">
        <f>IFERROR(VLOOKUP($A135,Program[],6,0),0)</f>
        <v>0</v>
      </c>
      <c r="AB135" s="41"/>
      <c r="AC135" s="41"/>
      <c r="AD135" s="41">
        <f>IFERROR(VLOOKUP($A135,Program[],7,0),0)</f>
        <v>0</v>
      </c>
      <c r="AE135" s="41">
        <f>IFERROR(VLOOKUP($A135,Program[],8,0),0)</f>
        <v>0</v>
      </c>
      <c r="AF135" s="41">
        <f>IFERROR(VLOOKUP($A135,Program[],9,0),0)</f>
        <v>0</v>
      </c>
      <c r="AG135" s="41">
        <f>IFERROR(VLOOKUP($A135,Program[],10,0),0)</f>
        <v>0</v>
      </c>
      <c r="AH135" s="41">
        <f>IFERROR(VLOOKUP($A135,Program[],11,0),0)</f>
        <v>0</v>
      </c>
      <c r="AI135" s="41">
        <f>IFERROR(VLOOKUP($A135,Program[],12,0),0)</f>
        <v>0</v>
      </c>
      <c r="AJ135" s="41"/>
      <c r="AK135" s="41">
        <f>IFERROR(VLOOKUP($A135,Program[],13,0),0)</f>
        <v>0</v>
      </c>
      <c r="AL135" s="41"/>
      <c r="AM135" s="41"/>
      <c r="AN135" s="41"/>
      <c r="AO135" s="41"/>
      <c r="AP135" s="41"/>
      <c r="AQ135" s="41"/>
      <c r="AR135" s="41"/>
      <c r="AS135" s="41">
        <f>IFERROR(VLOOKUP($A135,Program[],14,0),0)</f>
        <v>0</v>
      </c>
      <c r="AT135" s="41"/>
      <c r="AU135" s="41"/>
      <c r="AV135" s="41">
        <f>IFERROR(VLOOKUP($A135,Program[],15,0),0)</f>
        <v>0</v>
      </c>
      <c r="AW135" s="41"/>
      <c r="AX135" s="41">
        <f>IFERROR(VLOOKUP($A135,Program[],16,0),0)</f>
        <v>0</v>
      </c>
      <c r="AY135" s="41">
        <f>IFERROR(VLOOKUP($A135,Program[],17,0),0)</f>
        <v>0</v>
      </c>
      <c r="AZ135" s="41">
        <f>IFERROR(VLOOKUP($A135,Program[],18,0),0)</f>
        <v>0</v>
      </c>
      <c r="BA135" s="41">
        <f>IFERROR(VLOOKUP($A135,Program[],19,0),0)</f>
        <v>2893.37</v>
      </c>
      <c r="BB135" s="77">
        <f t="shared" si="27"/>
        <v>149603.58000000002</v>
      </c>
      <c r="BC135" s="41">
        <f>IFERROR(VLOOKUP(A135,Food[],3,0),0)</f>
        <v>312648.24</v>
      </c>
      <c r="BD135" s="41">
        <f>IFERROR(VLOOKUP($A135,FoodRev[],2,0),0)</f>
        <v>4609.72</v>
      </c>
      <c r="BE135" s="41">
        <f>IFERROR(VLOOKUP($A135,FoodRev[],3,0),0)</f>
        <v>65560.47</v>
      </c>
      <c r="BF135" s="41">
        <f>IFERROR(VLOOKUP($A135,FoodRev[],4,0),0)</f>
        <v>0</v>
      </c>
      <c r="BG135" s="41">
        <f>IFERROR(VLOOKUP($A135,FoodRev[],5,0),0)</f>
        <v>86192.13</v>
      </c>
      <c r="BH135" s="41">
        <f>IFERROR(VLOOKUP($A135,FoodRev[],6,0),0)</f>
        <v>0</v>
      </c>
      <c r="BI135" s="41">
        <f>IFERROR(VLOOKUP($A135,FoodRev[],7,0),0)</f>
        <v>0</v>
      </c>
      <c r="BJ135" s="41">
        <f>IFERROR(VLOOKUP($A135,FoodRev[],8,0),0)</f>
        <v>6682.34</v>
      </c>
      <c r="BK135" s="41">
        <f>IFERROR(VLOOKUP($A135,FoodRev[],9,0),0)</f>
        <v>0</v>
      </c>
      <c r="BL135" s="41">
        <f>IFERROR(VLOOKUP($A135,FoodRev[],10,0),0)</f>
        <v>0</v>
      </c>
      <c r="BM135" s="41">
        <f t="shared" si="28"/>
        <v>163044.66</v>
      </c>
      <c r="BN135" s="42">
        <f t="shared" si="33"/>
        <v>149603.58000000002</v>
      </c>
      <c r="BO135" s="78">
        <f t="shared" si="40"/>
        <v>149603.58000000002</v>
      </c>
      <c r="BP135" s="78">
        <f t="shared" si="41"/>
        <v>0</v>
      </c>
    </row>
    <row r="136" spans="1:68" x14ac:dyDescent="0.25">
      <c r="A136" s="40" t="s">
        <v>166</v>
      </c>
      <c r="B136" s="40" t="s">
        <v>821</v>
      </c>
      <c r="D136" s="203">
        <f t="shared" si="42"/>
        <v>-1.4901161193847656E-8</v>
      </c>
      <c r="E136" s="41">
        <f>IFERROR(VLOOKUP(A136,Items[],5,0),0)</f>
        <v>53610933.049999997</v>
      </c>
      <c r="F136" s="42">
        <f t="shared" si="23"/>
        <v>53610933.050000012</v>
      </c>
      <c r="G136" s="41">
        <v>0</v>
      </c>
      <c r="H136" s="41">
        <f>IFERROR(VLOOKUP(A136,Items[],4,0),0)</f>
        <v>57778656.280000001</v>
      </c>
      <c r="I136" s="41">
        <f>IFERROR(VLOOKUP(A136,Community[],4,0),0)</f>
        <v>0</v>
      </c>
      <c r="J136" s="41">
        <f>IFERROR(VLOOKUP(A136,Community[],5,0),0)</f>
        <v>99803.86</v>
      </c>
      <c r="K136" s="41">
        <f>IFERROR(VLOOKUP(A136,Community[],6,0),0)</f>
        <v>180053.78999999998</v>
      </c>
      <c r="L136" s="41">
        <f>IFERROR(VLOOKUP(A136,Community[],7,0),0)</f>
        <v>57505.36</v>
      </c>
      <c r="M136" s="41">
        <f>IFERROR(VLOOKUP(A136,Debt[],3,0),0)</f>
        <v>502.8</v>
      </c>
      <c r="N136" s="41">
        <f>IFERROR(VLOOKUP(A136,Debt[],4,0),0)</f>
        <v>23757.599999999999</v>
      </c>
      <c r="O136" s="41">
        <f>IFERROR(VLOOKUP(A136,Debt[],5,0),0)</f>
        <v>0</v>
      </c>
      <c r="P136" s="41">
        <f>IFERROR(VLOOKUP(A136,Items[],3,0),0)</f>
        <v>178183.16</v>
      </c>
      <c r="Q136" s="41">
        <f>IFERROR(VLOOKUP($A136,Federal[],2,0),0)</f>
        <v>30766.58</v>
      </c>
      <c r="R136" s="41">
        <f>IFERROR(VLOOKUP($A136,Federal[],4,0),0)</f>
        <v>3106643.04</v>
      </c>
      <c r="S136" s="41"/>
      <c r="T136" s="47">
        <f>IFERROR(VLOOKUP($A136,Program[],3,0),0)</f>
        <v>0</v>
      </c>
      <c r="U136" s="47"/>
      <c r="V136" s="41">
        <f>IFERROR(VLOOKUP($A136,Program[],4,0),0)</f>
        <v>0</v>
      </c>
      <c r="W136" s="41">
        <f>IFERROR(VLOOKUP($A136,Program[],5,0),0)</f>
        <v>0</v>
      </c>
      <c r="X136" s="41"/>
      <c r="Y136" s="41"/>
      <c r="Z136" s="41"/>
      <c r="AA136" s="41">
        <f>IFERROR(VLOOKUP($A136,Program[],6,0),0)</f>
        <v>0</v>
      </c>
      <c r="AB136" s="41"/>
      <c r="AC136" s="41"/>
      <c r="AD136" s="41">
        <f>IFERROR(VLOOKUP($A136,Program[],7,0),0)</f>
        <v>0</v>
      </c>
      <c r="AE136" s="41">
        <f>IFERROR(VLOOKUP($A136,Program[],8,0),0)</f>
        <v>0</v>
      </c>
      <c r="AF136" s="41">
        <f>IFERROR(VLOOKUP($A136,Program[],9,0),0)</f>
        <v>0</v>
      </c>
      <c r="AG136" s="41">
        <f>IFERROR(VLOOKUP($A136,Program[],10,0),0)</f>
        <v>0</v>
      </c>
      <c r="AH136" s="41">
        <f>IFERROR(VLOOKUP($A136,Program[],11,0),0)</f>
        <v>0</v>
      </c>
      <c r="AI136" s="41">
        <f>IFERROR(VLOOKUP($A136,Program[],12,0),0)</f>
        <v>0</v>
      </c>
      <c r="AJ136" s="41"/>
      <c r="AK136" s="41">
        <f>IFERROR(VLOOKUP($A136,Program[],13,0),0)</f>
        <v>0</v>
      </c>
      <c r="AL136" s="41"/>
      <c r="AM136" s="41"/>
      <c r="AN136" s="41"/>
      <c r="AO136" s="41"/>
      <c r="AP136" s="41"/>
      <c r="AQ136" s="41"/>
      <c r="AR136" s="41"/>
      <c r="AS136" s="41">
        <f>IFERROR(VLOOKUP($A136,Program[],14,0),0)</f>
        <v>0</v>
      </c>
      <c r="AT136" s="41"/>
      <c r="AU136" s="41"/>
      <c r="AV136" s="41">
        <f>IFERROR(VLOOKUP($A136,Program[],15,0),0)</f>
        <v>0</v>
      </c>
      <c r="AW136" s="41"/>
      <c r="AX136" s="41">
        <f>IFERROR(VLOOKUP($A136,Program[],16,0),0)</f>
        <v>18935.580000000002</v>
      </c>
      <c r="AY136" s="41">
        <f>IFERROR(VLOOKUP($A136,Program[],17,0),0)</f>
        <v>0</v>
      </c>
      <c r="AZ136" s="41">
        <f>IFERROR(VLOOKUP($A136,Program[],18,0),0)</f>
        <v>0</v>
      </c>
      <c r="BA136" s="41">
        <f>IFERROR(VLOOKUP($A136,Program[],19,0),0)</f>
        <v>61144.43</v>
      </c>
      <c r="BB136" s="77">
        <f t="shared" si="27"/>
        <v>0</v>
      </c>
      <c r="BC136" s="41">
        <f>IFERROR(VLOOKUP(A136,Food[],3,0),0)</f>
        <v>1843979.5199999996</v>
      </c>
      <c r="BD136" s="41">
        <f>IFERROR(VLOOKUP($A136,FoodRev[],2,0),0)</f>
        <v>328104.05</v>
      </c>
      <c r="BE136" s="41">
        <f>IFERROR(VLOOKUP($A136,FoodRev[],3,0),0)</f>
        <v>335981.4</v>
      </c>
      <c r="BF136" s="41">
        <f>IFERROR(VLOOKUP($A136,FoodRev[],4,0),0)</f>
        <v>0</v>
      </c>
      <c r="BG136" s="41">
        <f>IFERROR(VLOOKUP($A136,FoodRev[],5,0),0)</f>
        <v>1062523.1000000001</v>
      </c>
      <c r="BH136" s="41">
        <f>IFERROR(VLOOKUP($A136,FoodRev[],6,0),0)</f>
        <v>48197.440000000002</v>
      </c>
      <c r="BI136" s="41">
        <f>IFERROR(VLOOKUP($A136,FoodRev[],7,0),0)</f>
        <v>0</v>
      </c>
      <c r="BJ136" s="41">
        <f>IFERROR(VLOOKUP($A136,FoodRev[],8,0),0)</f>
        <v>162671.93</v>
      </c>
      <c r="BK136" s="41">
        <f>IFERROR(VLOOKUP($A136,FoodRev[],9,0),0)</f>
        <v>0</v>
      </c>
      <c r="BL136" s="41">
        <f>IFERROR(VLOOKUP($A136,FoodRev[],10,0),0)</f>
        <v>35000</v>
      </c>
      <c r="BM136" s="41">
        <f t="shared" si="28"/>
        <v>1972477.92</v>
      </c>
      <c r="BN136" s="42">
        <f t="shared" si="33"/>
        <v>-128498.40000000072</v>
      </c>
      <c r="BO136" s="78">
        <f t="shared" si="40"/>
        <v>0</v>
      </c>
      <c r="BP136" s="78">
        <f t="shared" si="41"/>
        <v>-128498.40000000072</v>
      </c>
    </row>
    <row r="137" spans="1:68" x14ac:dyDescent="0.25">
      <c r="A137" s="40" t="s">
        <v>350</v>
      </c>
      <c r="B137" s="40" t="s">
        <v>822</v>
      </c>
      <c r="D137" s="203">
        <f t="shared" si="42"/>
        <v>-1.862645149230957E-9</v>
      </c>
      <c r="E137" s="41">
        <f>IFERROR(VLOOKUP(A137,Items[],5,0),0)</f>
        <v>9543100.8699999992</v>
      </c>
      <c r="F137" s="42">
        <f t="shared" ref="F137:F201" si="43">H137-I137-J137-K137-L137-M137-N137-O137-P137-Q137-R137-S137+T137+U137+V137+W137+X137+Y137+Z137+AA137+AB137+AC137+AD137+AE137+AF137+AG137+AH137+AI137+AJ137+AK137+AL137+AM137+AN137+AO137+AP137+AQ137+AR137+AS137+AT137+AU137+AV137+AW137+AX137+AY137+AZ137+BA137+BB137-BC137+BG137+BH137+BI137+BJ137+G137</f>
        <v>9543100.870000001</v>
      </c>
      <c r="G137" s="41">
        <v>0</v>
      </c>
      <c r="H137" s="41">
        <f>IFERROR(VLOOKUP(A137,Items[],4,0),0)</f>
        <v>10396113.98</v>
      </c>
      <c r="I137" s="41">
        <f>IFERROR(VLOOKUP(A137,Community[],4,0),0)</f>
        <v>0</v>
      </c>
      <c r="J137" s="41">
        <f>IFERROR(VLOOKUP(A137,Community[],5,0),0)</f>
        <v>0</v>
      </c>
      <c r="K137" s="41">
        <f>IFERROR(VLOOKUP(A137,Community[],6,0),0)</f>
        <v>0</v>
      </c>
      <c r="L137" s="41">
        <f>IFERROR(VLOOKUP(A137,Community[],7,0),0)</f>
        <v>16340.19</v>
      </c>
      <c r="M137" s="41">
        <f>IFERROR(VLOOKUP(A137,Debt[],3,0),0)</f>
        <v>0</v>
      </c>
      <c r="N137" s="41">
        <f>IFERROR(VLOOKUP(A137,Debt[],4,0),0)</f>
        <v>0</v>
      </c>
      <c r="O137" s="41">
        <f>IFERROR(VLOOKUP(A137,Debt[],5,0),0)</f>
        <v>0</v>
      </c>
      <c r="P137" s="41">
        <f>IFERROR(VLOOKUP(A137,Items[],3,0),0)</f>
        <v>15526.98</v>
      </c>
      <c r="Q137" s="41">
        <f>IFERROR(VLOOKUP($A137,Federal[],2,0),0)</f>
        <v>5203.41</v>
      </c>
      <c r="R137" s="41">
        <f>IFERROR(VLOOKUP($A137,Federal[],4,0),0)</f>
        <v>749402.3</v>
      </c>
      <c r="S137" s="41"/>
      <c r="T137" s="47">
        <f>IFERROR(VLOOKUP($A137,Program[],3,0),0)</f>
        <v>0</v>
      </c>
      <c r="U137" s="47"/>
      <c r="V137" s="41">
        <f>IFERROR(VLOOKUP($A137,Program[],4,0),0)</f>
        <v>0</v>
      </c>
      <c r="W137" s="41">
        <f>IFERROR(VLOOKUP($A137,Program[],5,0),0)</f>
        <v>0</v>
      </c>
      <c r="X137" s="41"/>
      <c r="Y137" s="41"/>
      <c r="Z137" s="41"/>
      <c r="AA137" s="41">
        <f>IFERROR(VLOOKUP($A137,Program[],6,0),0)</f>
        <v>0</v>
      </c>
      <c r="AB137" s="41"/>
      <c r="AC137" s="41"/>
      <c r="AD137" s="41">
        <f>IFERROR(VLOOKUP($A137,Program[],7,0),0)</f>
        <v>0</v>
      </c>
      <c r="AE137" s="41">
        <f>IFERROR(VLOOKUP($A137,Program[],8,0),0)</f>
        <v>0</v>
      </c>
      <c r="AF137" s="41">
        <f>IFERROR(VLOOKUP($A137,Program[],9,0),0)</f>
        <v>0</v>
      </c>
      <c r="AG137" s="41">
        <f>IFERROR(VLOOKUP($A137,Program[],10,0),0)</f>
        <v>3150</v>
      </c>
      <c r="AH137" s="41">
        <f>IFERROR(VLOOKUP($A137,Program[],11,0),0)</f>
        <v>0</v>
      </c>
      <c r="AI137" s="41">
        <f>IFERROR(VLOOKUP($A137,Program[],12,0),0)</f>
        <v>0</v>
      </c>
      <c r="AJ137" s="41"/>
      <c r="AK137" s="41">
        <f>IFERROR(VLOOKUP($A137,Program[],13,0),0)</f>
        <v>0</v>
      </c>
      <c r="AL137" s="41"/>
      <c r="AM137" s="41"/>
      <c r="AN137" s="41"/>
      <c r="AO137" s="41"/>
      <c r="AP137" s="41"/>
      <c r="AQ137" s="41"/>
      <c r="AR137" s="41"/>
      <c r="AS137" s="41">
        <f>IFERROR(VLOOKUP($A137,Program[],14,0),0)</f>
        <v>0</v>
      </c>
      <c r="AT137" s="41"/>
      <c r="AU137" s="41"/>
      <c r="AV137" s="41">
        <f>IFERROR(VLOOKUP($A137,Program[],15,0),0)</f>
        <v>0</v>
      </c>
      <c r="AW137" s="41"/>
      <c r="AX137" s="41">
        <f>IFERROR(VLOOKUP($A137,Program[],16,0),0)</f>
        <v>0</v>
      </c>
      <c r="AY137" s="41">
        <f>IFERROR(VLOOKUP($A137,Program[],17,0),0)</f>
        <v>0</v>
      </c>
      <c r="AZ137" s="41">
        <f>IFERROR(VLOOKUP($A137,Program[],18,0),0)</f>
        <v>0</v>
      </c>
      <c r="BA137" s="41">
        <f>IFERROR(VLOOKUP($A137,Program[],19,0),0)</f>
        <v>0</v>
      </c>
      <c r="BB137" s="77">
        <f t="shared" si="27"/>
        <v>0</v>
      </c>
      <c r="BC137" s="41">
        <f>IFERROR(VLOOKUP(A137,Food[],3,0),0)</f>
        <v>404317.18999999994</v>
      </c>
      <c r="BD137" s="41">
        <f>IFERROR(VLOOKUP($A137,FoodRev[],2,0),0)</f>
        <v>6005.46</v>
      </c>
      <c r="BE137" s="41">
        <f>IFERROR(VLOOKUP($A137,FoodRev[],3,0),0)</f>
        <v>85114.89</v>
      </c>
      <c r="BF137" s="41">
        <f>IFERROR(VLOOKUP($A137,FoodRev[],4,0),0)</f>
        <v>0</v>
      </c>
      <c r="BG137" s="41">
        <f>IFERROR(VLOOKUP($A137,FoodRev[],5,0),0)</f>
        <v>308056</v>
      </c>
      <c r="BH137" s="41">
        <f>IFERROR(VLOOKUP($A137,FoodRev[],6,0),0)</f>
        <v>0</v>
      </c>
      <c r="BI137" s="41">
        <f>IFERROR(VLOOKUP($A137,FoodRev[],7,0),0)</f>
        <v>0</v>
      </c>
      <c r="BJ137" s="41">
        <f>IFERROR(VLOOKUP($A137,FoodRev[],8,0),0)</f>
        <v>26570.959999999999</v>
      </c>
      <c r="BK137" s="41">
        <f>IFERROR(VLOOKUP($A137,FoodRev[],9,0),0)</f>
        <v>0</v>
      </c>
      <c r="BL137" s="41">
        <f>IFERROR(VLOOKUP($A137,FoodRev[],10,0),0)</f>
        <v>0</v>
      </c>
      <c r="BM137" s="41">
        <f t="shared" si="28"/>
        <v>425747.31</v>
      </c>
      <c r="BN137" s="42">
        <f t="shared" si="33"/>
        <v>-21430.12000000009</v>
      </c>
      <c r="BO137" s="78">
        <f t="shared" si="40"/>
        <v>0</v>
      </c>
      <c r="BP137" s="78">
        <f t="shared" si="41"/>
        <v>-21430.12000000009</v>
      </c>
    </row>
    <row r="138" spans="1:68" x14ac:dyDescent="0.25">
      <c r="A138" s="40" t="s">
        <v>314</v>
      </c>
      <c r="B138" s="40" t="s">
        <v>823</v>
      </c>
      <c r="D138" s="203">
        <f t="shared" si="42"/>
        <v>-3.7252902984619141E-9</v>
      </c>
      <c r="E138" s="41">
        <f>IFERROR(VLOOKUP(A138,Items[],5,0),0)</f>
        <v>17284857.530000001</v>
      </c>
      <c r="F138" s="42">
        <f t="shared" si="43"/>
        <v>17284857.530000005</v>
      </c>
      <c r="G138" s="41">
        <v>0</v>
      </c>
      <c r="H138" s="41">
        <f>IFERROR(VLOOKUP(A138,Items[],4,0),0)</f>
        <v>18428940.84</v>
      </c>
      <c r="I138" s="41">
        <f>IFERROR(VLOOKUP(A138,Community[],4,0),0)</f>
        <v>0</v>
      </c>
      <c r="J138" s="41">
        <f>IFERROR(VLOOKUP(A138,Community[],5,0),0)</f>
        <v>0</v>
      </c>
      <c r="K138" s="41">
        <f>IFERROR(VLOOKUP(A138,Community[],6,0),0)</f>
        <v>0</v>
      </c>
      <c r="L138" s="41">
        <f>IFERROR(VLOOKUP(A138,Community[],7,0),0)</f>
        <v>0</v>
      </c>
      <c r="M138" s="41">
        <f>IFERROR(VLOOKUP(A138,Debt[],3,0),0)</f>
        <v>0</v>
      </c>
      <c r="N138" s="41">
        <f>IFERROR(VLOOKUP(A138,Debt[],4,0),0)</f>
        <v>0</v>
      </c>
      <c r="O138" s="41">
        <f>IFERROR(VLOOKUP(A138,Debt[],5,0),0)</f>
        <v>0</v>
      </c>
      <c r="P138" s="41">
        <f>IFERROR(VLOOKUP(A138,Items[],3,0),0)</f>
        <v>3519.02</v>
      </c>
      <c r="Q138" s="41">
        <f>IFERROR(VLOOKUP($A138,Federal[],2,0),0)</f>
        <v>52929.88</v>
      </c>
      <c r="R138" s="41">
        <f>IFERROR(VLOOKUP($A138,Federal[],4,0),0)</f>
        <v>914440.31</v>
      </c>
      <c r="S138" s="41"/>
      <c r="T138" s="47">
        <f>IFERROR(VLOOKUP($A138,Program[],3,0),0)</f>
        <v>0</v>
      </c>
      <c r="U138" s="47"/>
      <c r="V138" s="41">
        <f>IFERROR(VLOOKUP($A138,Program[],4,0),0)</f>
        <v>0</v>
      </c>
      <c r="W138" s="41">
        <f>IFERROR(VLOOKUP($A138,Program[],5,0),0)</f>
        <v>0</v>
      </c>
      <c r="X138" s="41"/>
      <c r="Y138" s="41"/>
      <c r="Z138" s="41"/>
      <c r="AA138" s="41">
        <f>IFERROR(VLOOKUP($A138,Program[],6,0),0)</f>
        <v>0</v>
      </c>
      <c r="AB138" s="41"/>
      <c r="AC138" s="41"/>
      <c r="AD138" s="41">
        <f>IFERROR(VLOOKUP($A138,Program[],7,0),0)</f>
        <v>0</v>
      </c>
      <c r="AE138" s="41">
        <f>IFERROR(VLOOKUP($A138,Program[],8,0),0)</f>
        <v>0</v>
      </c>
      <c r="AF138" s="41">
        <f>IFERROR(VLOOKUP($A138,Program[],9,0),0)</f>
        <v>0</v>
      </c>
      <c r="AG138" s="41">
        <f>IFERROR(VLOOKUP($A138,Program[],10,0),0)</f>
        <v>0</v>
      </c>
      <c r="AH138" s="41">
        <f>IFERROR(VLOOKUP($A138,Program[],11,0),0)</f>
        <v>0</v>
      </c>
      <c r="AI138" s="41">
        <f>IFERROR(VLOOKUP($A138,Program[],12,0),0)</f>
        <v>0</v>
      </c>
      <c r="AJ138" s="41"/>
      <c r="AK138" s="41">
        <f>IFERROR(VLOOKUP($A138,Program[],13,0),0)</f>
        <v>0</v>
      </c>
      <c r="AL138" s="41"/>
      <c r="AM138" s="41"/>
      <c r="AN138" s="41"/>
      <c r="AO138" s="41"/>
      <c r="AP138" s="41"/>
      <c r="AQ138" s="41"/>
      <c r="AR138" s="41"/>
      <c r="AS138" s="41">
        <f>IFERROR(VLOOKUP($A138,Program[],14,0),0)</f>
        <v>0</v>
      </c>
      <c r="AT138" s="41"/>
      <c r="AU138" s="41"/>
      <c r="AV138" s="41">
        <f>IFERROR(VLOOKUP($A138,Program[],15,0),0)</f>
        <v>0</v>
      </c>
      <c r="AW138" s="41"/>
      <c r="AX138" s="41">
        <f>IFERROR(VLOOKUP($A138,Program[],16,0),0)</f>
        <v>0</v>
      </c>
      <c r="AY138" s="41">
        <f>IFERROR(VLOOKUP($A138,Program[],17,0),0)</f>
        <v>0</v>
      </c>
      <c r="AZ138" s="41">
        <f>IFERROR(VLOOKUP($A138,Program[],18,0),0)</f>
        <v>0</v>
      </c>
      <c r="BA138" s="41">
        <f>IFERROR(VLOOKUP($A138,Program[],19,0),0)</f>
        <v>0</v>
      </c>
      <c r="BB138" s="77">
        <f t="shared" ref="BB138:BB202" si="44">IF(BN138&gt;0,BN138,0)</f>
        <v>100426.63999999993</v>
      </c>
      <c r="BC138" s="41">
        <f>IFERROR(VLOOKUP(A138,Food[],3,0),0)</f>
        <v>476791.89999999997</v>
      </c>
      <c r="BD138" s="41">
        <f>IFERROR(VLOOKUP($A138,FoodRev[],2,0),0)</f>
        <v>42731.19</v>
      </c>
      <c r="BE138" s="41">
        <f>IFERROR(VLOOKUP($A138,FoodRev[],3,0),0)</f>
        <v>130462.91</v>
      </c>
      <c r="BF138" s="41">
        <f>IFERROR(VLOOKUP($A138,FoodRev[],4,0),0)</f>
        <v>0</v>
      </c>
      <c r="BG138" s="41">
        <f>IFERROR(VLOOKUP($A138,FoodRev[],5,0),0)</f>
        <v>183495.81</v>
      </c>
      <c r="BH138" s="41">
        <f>IFERROR(VLOOKUP($A138,FoodRev[],6,0),0)</f>
        <v>0</v>
      </c>
      <c r="BI138" s="41">
        <f>IFERROR(VLOOKUP($A138,FoodRev[],7,0),0)</f>
        <v>0</v>
      </c>
      <c r="BJ138" s="41">
        <f>IFERROR(VLOOKUP($A138,FoodRev[],8,0),0)</f>
        <v>19675.349999999999</v>
      </c>
      <c r="BK138" s="41">
        <f>IFERROR(VLOOKUP($A138,FoodRev[],9,0),0)</f>
        <v>0</v>
      </c>
      <c r="BL138" s="41">
        <f>IFERROR(VLOOKUP($A138,FoodRev[],10,0),0)</f>
        <v>0</v>
      </c>
      <c r="BM138" s="41">
        <f t="shared" si="28"/>
        <v>376365.26</v>
      </c>
      <c r="BN138" s="42">
        <f t="shared" si="33"/>
        <v>100426.63999999993</v>
      </c>
      <c r="BO138" s="78">
        <f t="shared" si="40"/>
        <v>100426.63999999993</v>
      </c>
      <c r="BP138" s="78">
        <f t="shared" si="41"/>
        <v>0</v>
      </c>
    </row>
    <row r="139" spans="1:68" x14ac:dyDescent="0.25">
      <c r="A139" s="40" t="s">
        <v>538</v>
      </c>
      <c r="B139" s="40" t="s">
        <v>824</v>
      </c>
      <c r="D139" s="203">
        <f t="shared" si="42"/>
        <v>4.6566128730773926E-10</v>
      </c>
      <c r="E139" s="41">
        <f>IFERROR(VLOOKUP(A139,Items[],5,0),0)</f>
        <v>2752013.89</v>
      </c>
      <c r="F139" s="42">
        <f t="shared" si="43"/>
        <v>2752013.8899999997</v>
      </c>
      <c r="G139" s="41">
        <v>0</v>
      </c>
      <c r="H139" s="41">
        <f>IFERROR(VLOOKUP(A139,Items[],4,0),0)</f>
        <v>3031457.92</v>
      </c>
      <c r="I139" s="41">
        <f>IFERROR(VLOOKUP(A139,Community[],4,0),0)</f>
        <v>0</v>
      </c>
      <c r="J139" s="41">
        <f>IFERROR(VLOOKUP(A139,Community[],5,0),0)</f>
        <v>0</v>
      </c>
      <c r="K139" s="41">
        <f>IFERROR(VLOOKUP(A139,Community[],6,0),0)</f>
        <v>0</v>
      </c>
      <c r="L139" s="41">
        <f>IFERROR(VLOOKUP(A139,Community[],7,0),0)</f>
        <v>0</v>
      </c>
      <c r="M139" s="41">
        <f>IFERROR(VLOOKUP(A139,Debt[],3,0),0)</f>
        <v>0</v>
      </c>
      <c r="N139" s="41">
        <f>IFERROR(VLOOKUP(A139,Debt[],4,0),0)</f>
        <v>948.43</v>
      </c>
      <c r="O139" s="41">
        <f>IFERROR(VLOOKUP(A139,Debt[],5,0),0)</f>
        <v>0</v>
      </c>
      <c r="P139" s="41">
        <f>IFERROR(VLOOKUP(A139,Items[],3,0),0)</f>
        <v>47611.22</v>
      </c>
      <c r="Q139" s="41">
        <f>IFERROR(VLOOKUP($A139,Federal[],2,0),0)</f>
        <v>142.05000000000001</v>
      </c>
      <c r="R139" s="41">
        <f>IFERROR(VLOOKUP($A139,Federal[],4,0),0)</f>
        <v>233012.94</v>
      </c>
      <c r="S139" s="41"/>
      <c r="T139" s="47">
        <f>IFERROR(VLOOKUP($A139,Program[],3,0),0)</f>
        <v>0</v>
      </c>
      <c r="U139" s="47"/>
      <c r="V139" s="41">
        <f>IFERROR(VLOOKUP($A139,Program[],4,0),0)</f>
        <v>0</v>
      </c>
      <c r="W139" s="41">
        <f>IFERROR(VLOOKUP($A139,Program[],5,0),0)</f>
        <v>0</v>
      </c>
      <c r="X139" s="41"/>
      <c r="Y139" s="41"/>
      <c r="Z139" s="41"/>
      <c r="AA139" s="41">
        <f>IFERROR(VLOOKUP($A139,Program[],6,0),0)</f>
        <v>0</v>
      </c>
      <c r="AB139" s="41"/>
      <c r="AC139" s="41"/>
      <c r="AD139" s="41">
        <f>IFERROR(VLOOKUP($A139,Program[],7,0),0)</f>
        <v>0</v>
      </c>
      <c r="AE139" s="41">
        <f>IFERROR(VLOOKUP($A139,Program[],8,0),0)</f>
        <v>0</v>
      </c>
      <c r="AF139" s="41">
        <f>IFERROR(VLOOKUP($A139,Program[],9,0),0)</f>
        <v>0</v>
      </c>
      <c r="AG139" s="41">
        <f>IFERROR(VLOOKUP($A139,Program[],10,0),0)</f>
        <v>0</v>
      </c>
      <c r="AH139" s="41">
        <f>IFERROR(VLOOKUP($A139,Program[],11,0),0)</f>
        <v>0</v>
      </c>
      <c r="AI139" s="41">
        <f>IFERROR(VLOOKUP($A139,Program[],12,0),0)</f>
        <v>0</v>
      </c>
      <c r="AJ139" s="41"/>
      <c r="AK139" s="41">
        <f>IFERROR(VLOOKUP($A139,Program[],13,0),0)</f>
        <v>0</v>
      </c>
      <c r="AL139" s="41"/>
      <c r="AM139" s="41"/>
      <c r="AN139" s="41"/>
      <c r="AO139" s="41"/>
      <c r="AP139" s="41"/>
      <c r="AQ139" s="41"/>
      <c r="AR139" s="41"/>
      <c r="AS139" s="41">
        <f>IFERROR(VLOOKUP($A139,Program[],14,0),0)</f>
        <v>0</v>
      </c>
      <c r="AT139" s="41"/>
      <c r="AU139" s="41"/>
      <c r="AV139" s="41">
        <f>IFERROR(VLOOKUP($A139,Program[],15,0),0)</f>
        <v>0</v>
      </c>
      <c r="AW139" s="41"/>
      <c r="AX139" s="41">
        <f>IFERROR(VLOOKUP($A139,Program[],16,0),0)</f>
        <v>0</v>
      </c>
      <c r="AY139" s="41">
        <f>IFERROR(VLOOKUP($A139,Program[],17,0),0)</f>
        <v>0</v>
      </c>
      <c r="AZ139" s="41">
        <f>IFERROR(VLOOKUP($A139,Program[],18,0),0)</f>
        <v>0</v>
      </c>
      <c r="BA139" s="41">
        <f>IFERROR(VLOOKUP($A139,Program[],19,0),0)</f>
        <v>40784.39</v>
      </c>
      <c r="BB139" s="77">
        <f t="shared" si="44"/>
        <v>39845.750000000036</v>
      </c>
      <c r="BC139" s="41">
        <f>IFERROR(VLOOKUP(A139,Food[],3,0),0)</f>
        <v>190187.97000000003</v>
      </c>
      <c r="BD139" s="41">
        <f>IFERROR(VLOOKUP($A139,FoodRev[],2,0),0)</f>
        <v>31163.43</v>
      </c>
      <c r="BE139" s="41">
        <f>IFERROR(VLOOKUP($A139,FoodRev[],3,0),0)</f>
        <v>7350.35</v>
      </c>
      <c r="BF139" s="41">
        <f>IFERROR(VLOOKUP($A139,FoodRev[],4,0),0)</f>
        <v>0</v>
      </c>
      <c r="BG139" s="41">
        <f>IFERROR(VLOOKUP($A139,FoodRev[],5,0),0)</f>
        <v>67868.73</v>
      </c>
      <c r="BH139" s="41">
        <f>IFERROR(VLOOKUP($A139,FoodRev[],6,0),0)</f>
        <v>0</v>
      </c>
      <c r="BI139" s="41">
        <f>IFERROR(VLOOKUP($A139,FoodRev[],7,0),0)</f>
        <v>37275.79</v>
      </c>
      <c r="BJ139" s="41">
        <f>IFERROR(VLOOKUP($A139,FoodRev[],8,0),0)</f>
        <v>6683.92</v>
      </c>
      <c r="BK139" s="41">
        <f>IFERROR(VLOOKUP($A139,FoodRev[],9,0),0)</f>
        <v>0</v>
      </c>
      <c r="BL139" s="41">
        <f>IFERROR(VLOOKUP($A139,FoodRev[],10,0),0)</f>
        <v>0</v>
      </c>
      <c r="BM139" s="41">
        <f t="shared" ref="BM139:BM203" si="45">SUM(BD139:BL139)</f>
        <v>150342.22</v>
      </c>
      <c r="BN139" s="42">
        <f t="shared" si="33"/>
        <v>39845.750000000036</v>
      </c>
      <c r="BO139" s="78">
        <f t="shared" si="40"/>
        <v>39845.750000000036</v>
      </c>
      <c r="BP139" s="78">
        <f t="shared" si="41"/>
        <v>0</v>
      </c>
    </row>
    <row r="140" spans="1:68" x14ac:dyDescent="0.25">
      <c r="A140" s="40" t="s">
        <v>528</v>
      </c>
      <c r="B140" s="40" t="s">
        <v>825</v>
      </c>
      <c r="D140" s="203">
        <f t="shared" si="42"/>
        <v>0</v>
      </c>
      <c r="E140" s="41">
        <f>IFERROR(VLOOKUP(A140,Items[],5,0),0)</f>
        <v>2974084.45</v>
      </c>
      <c r="F140" s="42">
        <f t="shared" si="43"/>
        <v>2974084.45</v>
      </c>
      <c r="G140" s="41">
        <v>0</v>
      </c>
      <c r="H140" s="41">
        <f>IFERROR(VLOOKUP(A140,Items[],4,0),0)</f>
        <v>2987011.56</v>
      </c>
      <c r="I140" s="41">
        <f>IFERROR(VLOOKUP(A140,Community[],4,0),0)</f>
        <v>0</v>
      </c>
      <c r="J140" s="41">
        <f>IFERROR(VLOOKUP(A140,Community[],5,0),0)</f>
        <v>0</v>
      </c>
      <c r="K140" s="41">
        <f>IFERROR(VLOOKUP(A140,Community[],6,0),0)</f>
        <v>0</v>
      </c>
      <c r="L140" s="41">
        <f>IFERROR(VLOOKUP(A140,Community[],7,0),0)</f>
        <v>0</v>
      </c>
      <c r="M140" s="41">
        <f>IFERROR(VLOOKUP(A140,Debt[],3,0),0)</f>
        <v>0</v>
      </c>
      <c r="N140" s="41">
        <f>IFERROR(VLOOKUP(A140,Debt[],4,0),0)</f>
        <v>0</v>
      </c>
      <c r="O140" s="41">
        <f>IFERROR(VLOOKUP(A140,Debt[],5,0),0)</f>
        <v>0</v>
      </c>
      <c r="P140" s="41">
        <f>IFERROR(VLOOKUP(A140,Items[],3,0),0)</f>
        <v>12644.68</v>
      </c>
      <c r="Q140" s="41">
        <f>IFERROR(VLOOKUP($A140,Federal[],2,0),0)</f>
        <v>144.96</v>
      </c>
      <c r="R140" s="41">
        <f>IFERROR(VLOOKUP($A140,Federal[],4,0),0)</f>
        <v>12782.15</v>
      </c>
      <c r="S140" s="41"/>
      <c r="T140" s="47">
        <f>IFERROR(VLOOKUP($A140,Program[],3,0),0)</f>
        <v>0</v>
      </c>
      <c r="U140" s="47"/>
      <c r="V140" s="41">
        <f>IFERROR(VLOOKUP($A140,Program[],4,0),0)</f>
        <v>0</v>
      </c>
      <c r="W140" s="41">
        <f>IFERROR(VLOOKUP($A140,Program[],5,0),0)</f>
        <v>0</v>
      </c>
      <c r="X140" s="41"/>
      <c r="Y140" s="41"/>
      <c r="Z140" s="41"/>
      <c r="AA140" s="41">
        <f>IFERROR(VLOOKUP($A140,Program[],6,0),0)</f>
        <v>0</v>
      </c>
      <c r="AB140" s="41"/>
      <c r="AC140" s="41"/>
      <c r="AD140" s="41">
        <f>IFERROR(VLOOKUP($A140,Program[],7,0),0)</f>
        <v>0</v>
      </c>
      <c r="AE140" s="41">
        <f>IFERROR(VLOOKUP($A140,Program[],8,0),0)</f>
        <v>0</v>
      </c>
      <c r="AF140" s="41">
        <f>IFERROR(VLOOKUP($A140,Program[],9,0),0)</f>
        <v>0</v>
      </c>
      <c r="AG140" s="41">
        <f>IFERROR(VLOOKUP($A140,Program[],10,0),0)</f>
        <v>0</v>
      </c>
      <c r="AH140" s="41">
        <f>IFERROR(VLOOKUP($A140,Program[],11,0),0)</f>
        <v>12644.68</v>
      </c>
      <c r="AI140" s="41">
        <f>IFERROR(VLOOKUP($A140,Program[],12,0),0)</f>
        <v>0</v>
      </c>
      <c r="AJ140" s="41"/>
      <c r="AK140" s="41">
        <f>IFERROR(VLOOKUP($A140,Program[],13,0),0)</f>
        <v>0</v>
      </c>
      <c r="AL140" s="41"/>
      <c r="AM140" s="41"/>
      <c r="AN140" s="41"/>
      <c r="AO140" s="41"/>
      <c r="AP140" s="41"/>
      <c r="AQ140" s="41"/>
      <c r="AR140" s="41"/>
      <c r="AS140" s="41">
        <f>IFERROR(VLOOKUP($A140,Program[],14,0),0)</f>
        <v>0</v>
      </c>
      <c r="AT140" s="41"/>
      <c r="AU140" s="41"/>
      <c r="AV140" s="41">
        <f>IFERROR(VLOOKUP($A140,Program[],15,0),0)</f>
        <v>0</v>
      </c>
      <c r="AW140" s="41"/>
      <c r="AX140" s="41">
        <f>IFERROR(VLOOKUP($A140,Program[],16,0),0)</f>
        <v>0</v>
      </c>
      <c r="AY140" s="41">
        <f>IFERROR(VLOOKUP($A140,Program[],17,0),0)</f>
        <v>0</v>
      </c>
      <c r="AZ140" s="41">
        <f>IFERROR(VLOOKUP($A140,Program[],18,0),0)</f>
        <v>0</v>
      </c>
      <c r="BA140" s="41">
        <f>IFERROR(VLOOKUP($A140,Program[],19,0),0)</f>
        <v>0</v>
      </c>
      <c r="BB140" s="77">
        <f t="shared" si="44"/>
        <v>0</v>
      </c>
      <c r="BC140" s="41">
        <f>IFERROR(VLOOKUP(A140,Food[],3,0),0)</f>
        <v>0</v>
      </c>
      <c r="BD140" s="41">
        <f>IFERROR(VLOOKUP($A140,FoodRev[],2,0),0)</f>
        <v>0</v>
      </c>
      <c r="BE140" s="41">
        <f>IFERROR(VLOOKUP($A140,FoodRev[],3,0),0)</f>
        <v>0</v>
      </c>
      <c r="BF140" s="41">
        <f>IFERROR(VLOOKUP($A140,FoodRev[],4,0),0)</f>
        <v>0</v>
      </c>
      <c r="BG140" s="41">
        <f>IFERROR(VLOOKUP($A140,FoodRev[],5,0),0)</f>
        <v>0</v>
      </c>
      <c r="BH140" s="41">
        <f>IFERROR(VLOOKUP($A140,FoodRev[],6,0),0)</f>
        <v>0</v>
      </c>
      <c r="BI140" s="41">
        <f>IFERROR(VLOOKUP($A140,FoodRev[],7,0),0)</f>
        <v>0</v>
      </c>
      <c r="BJ140" s="41">
        <f>IFERROR(VLOOKUP($A140,FoodRev[],8,0),0)</f>
        <v>0</v>
      </c>
      <c r="BK140" s="41">
        <f>IFERROR(VLOOKUP($A140,FoodRev[],9,0),0)</f>
        <v>0</v>
      </c>
      <c r="BL140" s="41">
        <f>IFERROR(VLOOKUP($A140,FoodRev[],10,0),0)</f>
        <v>0</v>
      </c>
      <c r="BM140" s="41">
        <f t="shared" si="45"/>
        <v>0</v>
      </c>
      <c r="BN140" s="42">
        <f t="shared" si="33"/>
        <v>0</v>
      </c>
      <c r="BO140" s="78">
        <f t="shared" si="40"/>
        <v>0</v>
      </c>
      <c r="BP140" s="78">
        <f t="shared" si="41"/>
        <v>0</v>
      </c>
    </row>
    <row r="141" spans="1:68" x14ac:dyDescent="0.25">
      <c r="A141" s="40" t="s">
        <v>534</v>
      </c>
      <c r="B141" s="40" t="s">
        <v>826</v>
      </c>
      <c r="D141" s="203">
        <f t="shared" si="42"/>
        <v>0</v>
      </c>
      <c r="E141" s="41">
        <f>IFERROR(VLOOKUP(A141,Items[],5,0),0)</f>
        <v>1639351.66</v>
      </c>
      <c r="F141" s="42">
        <f t="shared" si="43"/>
        <v>1639351.66</v>
      </c>
      <c r="G141" s="41">
        <v>0</v>
      </c>
      <c r="H141" s="41">
        <f>IFERROR(VLOOKUP(A141,Items[],4,0),0)</f>
        <v>1801094.5</v>
      </c>
      <c r="I141" s="41">
        <f>IFERROR(VLOOKUP(A141,Community[],4,0),0)</f>
        <v>0</v>
      </c>
      <c r="J141" s="41">
        <f>IFERROR(VLOOKUP(A141,Community[],5,0),0)</f>
        <v>0</v>
      </c>
      <c r="K141" s="41">
        <f>IFERROR(VLOOKUP(A141,Community[],6,0),0)</f>
        <v>0</v>
      </c>
      <c r="L141" s="41">
        <f>IFERROR(VLOOKUP(A141,Community[],7,0),0)</f>
        <v>0</v>
      </c>
      <c r="M141" s="41">
        <f>IFERROR(VLOOKUP(A141,Debt[],3,0),0)</f>
        <v>0</v>
      </c>
      <c r="N141" s="41">
        <f>IFERROR(VLOOKUP(A141,Debt[],4,0),0)</f>
        <v>1746</v>
      </c>
      <c r="O141" s="41">
        <f>IFERROR(VLOOKUP(A141,Debt[],5,0),0)</f>
        <v>0</v>
      </c>
      <c r="P141" s="41">
        <f>IFERROR(VLOOKUP(A141,Items[],3,0),0)</f>
        <v>8730</v>
      </c>
      <c r="Q141" s="41">
        <f>IFERROR(VLOOKUP($A141,Federal[],2,0),0)</f>
        <v>147.01</v>
      </c>
      <c r="R141" s="41">
        <f>IFERROR(VLOOKUP($A141,Federal[],4,0),0)</f>
        <v>125422.39999999999</v>
      </c>
      <c r="S141" s="41"/>
      <c r="T141" s="47">
        <f>IFERROR(VLOOKUP($A141,Program[],3,0),0)</f>
        <v>0</v>
      </c>
      <c r="U141" s="47"/>
      <c r="V141" s="41">
        <f>IFERROR(VLOOKUP($A141,Program[],4,0),0)</f>
        <v>0</v>
      </c>
      <c r="W141" s="41">
        <f>IFERROR(VLOOKUP($A141,Program[],5,0),0)</f>
        <v>0</v>
      </c>
      <c r="X141" s="41"/>
      <c r="Y141" s="41"/>
      <c r="Z141" s="41"/>
      <c r="AA141" s="41">
        <f>IFERROR(VLOOKUP($A141,Program[],6,0),0)</f>
        <v>0</v>
      </c>
      <c r="AB141" s="41"/>
      <c r="AC141" s="41"/>
      <c r="AD141" s="41">
        <f>IFERROR(VLOOKUP($A141,Program[],7,0),0)</f>
        <v>0</v>
      </c>
      <c r="AE141" s="41">
        <f>IFERROR(VLOOKUP($A141,Program[],8,0),0)</f>
        <v>0</v>
      </c>
      <c r="AF141" s="41">
        <f>IFERROR(VLOOKUP($A141,Program[],9,0),0)</f>
        <v>0</v>
      </c>
      <c r="AG141" s="41">
        <f>IFERROR(VLOOKUP($A141,Program[],10,0),0)</f>
        <v>0</v>
      </c>
      <c r="AH141" s="41">
        <f>IFERROR(VLOOKUP($A141,Program[],11,0),0)</f>
        <v>0</v>
      </c>
      <c r="AI141" s="41">
        <f>IFERROR(VLOOKUP($A141,Program[],12,0),0)</f>
        <v>0</v>
      </c>
      <c r="AJ141" s="41"/>
      <c r="AK141" s="41">
        <f>IFERROR(VLOOKUP($A141,Program[],13,0),0)</f>
        <v>0</v>
      </c>
      <c r="AL141" s="41"/>
      <c r="AM141" s="41"/>
      <c r="AN141" s="41"/>
      <c r="AO141" s="41"/>
      <c r="AP141" s="41"/>
      <c r="AQ141" s="41"/>
      <c r="AR141" s="41"/>
      <c r="AS141" s="41">
        <f>IFERROR(VLOOKUP($A141,Program[],14,0),0)</f>
        <v>0</v>
      </c>
      <c r="AT141" s="41"/>
      <c r="AU141" s="41"/>
      <c r="AV141" s="41">
        <f>IFERROR(VLOOKUP($A141,Program[],15,0),0)</f>
        <v>0</v>
      </c>
      <c r="AW141" s="41"/>
      <c r="AX141" s="41">
        <f>IFERROR(VLOOKUP($A141,Program[],16,0),0)</f>
        <v>0</v>
      </c>
      <c r="AY141" s="41">
        <f>IFERROR(VLOOKUP($A141,Program[],17,0),0)</f>
        <v>0</v>
      </c>
      <c r="AZ141" s="41">
        <f>IFERROR(VLOOKUP($A141,Program[],18,0),0)</f>
        <v>0</v>
      </c>
      <c r="BA141" s="41">
        <f>IFERROR(VLOOKUP($A141,Program[],19,0),0)</f>
        <v>0</v>
      </c>
      <c r="BB141" s="77">
        <f t="shared" si="44"/>
        <v>32863.129999999997</v>
      </c>
      <c r="BC141" s="41">
        <f>IFERROR(VLOOKUP(A141,Food[],3,0),0)</f>
        <v>82644.759999999995</v>
      </c>
      <c r="BD141" s="41">
        <f>IFERROR(VLOOKUP($A141,FoodRev[],2,0),0)</f>
        <v>24970.47</v>
      </c>
      <c r="BE141" s="41">
        <f>IFERROR(VLOOKUP($A141,FoodRev[],3,0),0)</f>
        <v>726.96</v>
      </c>
      <c r="BF141" s="41">
        <f>IFERROR(VLOOKUP($A141,FoodRev[],4,0),0)</f>
        <v>0</v>
      </c>
      <c r="BG141" s="41">
        <f>IFERROR(VLOOKUP($A141,FoodRev[],5,0),0)</f>
        <v>20450.919999999998</v>
      </c>
      <c r="BH141" s="41">
        <f>IFERROR(VLOOKUP($A141,FoodRev[],6,0),0)</f>
        <v>0</v>
      </c>
      <c r="BI141" s="41">
        <f>IFERROR(VLOOKUP($A141,FoodRev[],7,0),0)</f>
        <v>0</v>
      </c>
      <c r="BJ141" s="41">
        <f>IFERROR(VLOOKUP($A141,FoodRev[],8,0),0)</f>
        <v>3633.28</v>
      </c>
      <c r="BK141" s="41">
        <f>IFERROR(VLOOKUP($A141,FoodRev[],9,0),0)</f>
        <v>0</v>
      </c>
      <c r="BL141" s="41">
        <f>IFERROR(VLOOKUP($A141,FoodRev[],10,0),0)</f>
        <v>0</v>
      </c>
      <c r="BM141" s="41">
        <f t="shared" si="45"/>
        <v>49781.63</v>
      </c>
      <c r="BN141" s="42">
        <f t="shared" si="33"/>
        <v>32863.129999999997</v>
      </c>
      <c r="BO141" s="78">
        <f t="shared" si="40"/>
        <v>32863.129999999997</v>
      </c>
      <c r="BP141" s="78">
        <f t="shared" si="41"/>
        <v>0</v>
      </c>
    </row>
    <row r="142" spans="1:68" x14ac:dyDescent="0.25">
      <c r="A142" s="40" t="s">
        <v>460</v>
      </c>
      <c r="B142" s="40" t="s">
        <v>827</v>
      </c>
      <c r="D142" s="203">
        <f t="shared" si="42"/>
        <v>0</v>
      </c>
      <c r="E142" s="41">
        <f>IFERROR(VLOOKUP(A142,Items[],5,0),0)</f>
        <v>4379670.95</v>
      </c>
      <c r="F142" s="42">
        <f t="shared" si="43"/>
        <v>4379670.95</v>
      </c>
      <c r="G142" s="41">
        <v>0</v>
      </c>
      <c r="H142" s="41">
        <f>IFERROR(VLOOKUP(A142,Items[],4,0),0)</f>
        <v>4655678.8</v>
      </c>
      <c r="I142" s="41">
        <f>IFERROR(VLOOKUP(A142,Community[],4,0),0)</f>
        <v>0</v>
      </c>
      <c r="J142" s="41">
        <f>IFERROR(VLOOKUP(A142,Community[],5,0),0)</f>
        <v>0</v>
      </c>
      <c r="K142" s="41">
        <f>IFERROR(VLOOKUP(A142,Community[],6,0),0)</f>
        <v>0</v>
      </c>
      <c r="L142" s="41">
        <f>IFERROR(VLOOKUP(A142,Community[],7,0),0)</f>
        <v>1545.04</v>
      </c>
      <c r="M142" s="41">
        <f>IFERROR(VLOOKUP(A142,Debt[],3,0),0)</f>
        <v>0</v>
      </c>
      <c r="N142" s="41">
        <f>IFERROR(VLOOKUP(A142,Debt[],4,0),0)</f>
        <v>18080.509999999998</v>
      </c>
      <c r="O142" s="41">
        <f>IFERROR(VLOOKUP(A142,Debt[],5,0),0)</f>
        <v>0</v>
      </c>
      <c r="P142" s="41">
        <f>IFERROR(VLOOKUP(A142,Items[],3,0),0)</f>
        <v>142607.82999999999</v>
      </c>
      <c r="Q142" s="41">
        <f>IFERROR(VLOOKUP($A142,Federal[],2,0),0)</f>
        <v>327.60000000000002</v>
      </c>
      <c r="R142" s="41">
        <f>IFERROR(VLOOKUP($A142,Federal[],4,0),0)</f>
        <v>113446.87</v>
      </c>
      <c r="S142" s="41"/>
      <c r="T142" s="47">
        <f>IFERROR(VLOOKUP($A142,Program[],3,0),0)</f>
        <v>0</v>
      </c>
      <c r="U142" s="47"/>
      <c r="V142" s="41">
        <f>IFERROR(VLOOKUP($A142,Program[],4,0),0)</f>
        <v>0</v>
      </c>
      <c r="W142" s="41">
        <f>IFERROR(VLOOKUP($A142,Program[],5,0),0)</f>
        <v>0</v>
      </c>
      <c r="X142" s="41"/>
      <c r="Y142" s="41"/>
      <c r="Z142" s="41"/>
      <c r="AA142" s="41">
        <f>IFERROR(VLOOKUP($A142,Program[],6,0),0)</f>
        <v>0</v>
      </c>
      <c r="AB142" s="41"/>
      <c r="AC142" s="41"/>
      <c r="AD142" s="41">
        <f>IFERROR(VLOOKUP($A142,Program[],7,0),0)</f>
        <v>0</v>
      </c>
      <c r="AE142" s="41">
        <f>IFERROR(VLOOKUP($A142,Program[],8,0),0)</f>
        <v>0</v>
      </c>
      <c r="AF142" s="41">
        <f>IFERROR(VLOOKUP($A142,Program[],9,0),0)</f>
        <v>0</v>
      </c>
      <c r="AG142" s="41">
        <f>IFERROR(VLOOKUP($A142,Program[],10,0),0)</f>
        <v>0</v>
      </c>
      <c r="AH142" s="41">
        <f>IFERROR(VLOOKUP($A142,Program[],11,0),0)</f>
        <v>0</v>
      </c>
      <c r="AI142" s="41">
        <f>IFERROR(VLOOKUP($A142,Program[],12,0),0)</f>
        <v>0</v>
      </c>
      <c r="AJ142" s="41"/>
      <c r="AK142" s="41">
        <f>IFERROR(VLOOKUP($A142,Program[],13,0),0)</f>
        <v>0</v>
      </c>
      <c r="AL142" s="41"/>
      <c r="AM142" s="41"/>
      <c r="AN142" s="41"/>
      <c r="AO142" s="41"/>
      <c r="AP142" s="41"/>
      <c r="AQ142" s="41"/>
      <c r="AR142" s="41"/>
      <c r="AS142" s="41">
        <f>IFERROR(VLOOKUP($A142,Program[],14,0),0)</f>
        <v>0</v>
      </c>
      <c r="AT142" s="41"/>
      <c r="AU142" s="41"/>
      <c r="AV142" s="41">
        <f>IFERROR(VLOOKUP($A142,Program[],15,0),0)</f>
        <v>0</v>
      </c>
      <c r="AW142" s="41"/>
      <c r="AX142" s="41">
        <f>IFERROR(VLOOKUP($A142,Program[],16,0),0)</f>
        <v>0</v>
      </c>
      <c r="AY142" s="41">
        <f>IFERROR(VLOOKUP($A142,Program[],17,0),0)</f>
        <v>0</v>
      </c>
      <c r="AZ142" s="41">
        <f>IFERROR(VLOOKUP($A142,Program[],18,0),0)</f>
        <v>0</v>
      </c>
      <c r="BA142" s="41">
        <f>IFERROR(VLOOKUP($A142,Program[],19,0),0)</f>
        <v>0</v>
      </c>
      <c r="BB142" s="77">
        <f t="shared" si="44"/>
        <v>125734.08</v>
      </c>
      <c r="BC142" s="41">
        <f>IFERROR(VLOOKUP(A142,Food[],3,0),0)</f>
        <v>125734.08</v>
      </c>
      <c r="BD142" s="41">
        <f>IFERROR(VLOOKUP($A142,FoodRev[],2,0),0)</f>
        <v>0</v>
      </c>
      <c r="BE142" s="41">
        <f>IFERROR(VLOOKUP($A142,FoodRev[],3,0),0)</f>
        <v>0</v>
      </c>
      <c r="BF142" s="41">
        <f>IFERROR(VLOOKUP($A142,FoodRev[],4,0),0)</f>
        <v>0</v>
      </c>
      <c r="BG142" s="41">
        <f>IFERROR(VLOOKUP($A142,FoodRev[],5,0),0)</f>
        <v>0</v>
      </c>
      <c r="BH142" s="41">
        <f>IFERROR(VLOOKUP($A142,FoodRev[],6,0),0)</f>
        <v>0</v>
      </c>
      <c r="BI142" s="41">
        <f>IFERROR(VLOOKUP($A142,FoodRev[],7,0),0)</f>
        <v>0</v>
      </c>
      <c r="BJ142" s="41">
        <f>IFERROR(VLOOKUP($A142,FoodRev[],8,0),0)</f>
        <v>0</v>
      </c>
      <c r="BK142" s="41">
        <f>IFERROR(VLOOKUP($A142,FoodRev[],9,0),0)</f>
        <v>0</v>
      </c>
      <c r="BL142" s="41">
        <f>IFERROR(VLOOKUP($A142,FoodRev[],10,0),0)</f>
        <v>0</v>
      </c>
      <c r="BM142" s="41">
        <f t="shared" si="45"/>
        <v>0</v>
      </c>
      <c r="BN142" s="42">
        <f t="shared" si="33"/>
        <v>125734.08</v>
      </c>
      <c r="BO142" s="78">
        <f t="shared" si="40"/>
        <v>125734.08</v>
      </c>
      <c r="BP142" s="78">
        <f t="shared" si="41"/>
        <v>0</v>
      </c>
    </row>
    <row r="143" spans="1:68" x14ac:dyDescent="0.25">
      <c r="A143" s="40" t="s">
        <v>546</v>
      </c>
      <c r="B143" s="40" t="s">
        <v>828</v>
      </c>
      <c r="D143" s="203">
        <f t="shared" si="42"/>
        <v>-4.6566128730773926E-10</v>
      </c>
      <c r="E143" s="41">
        <f>IFERROR(VLOOKUP(A143,Items[],5,0),0)</f>
        <v>2534575.13</v>
      </c>
      <c r="F143" s="42">
        <f t="shared" si="43"/>
        <v>2534575.1300000004</v>
      </c>
      <c r="G143" s="41">
        <v>0</v>
      </c>
      <c r="H143" s="41">
        <f>IFERROR(VLOOKUP(A143,Items[],4,0),0)</f>
        <v>2706516.92</v>
      </c>
      <c r="I143" s="41">
        <f>IFERROR(VLOOKUP(A143,Community[],4,0),0)</f>
        <v>0</v>
      </c>
      <c r="J143" s="41">
        <f>IFERROR(VLOOKUP(A143,Community[],5,0),0)</f>
        <v>0</v>
      </c>
      <c r="K143" s="41">
        <f>IFERROR(VLOOKUP(A143,Community[],6,0),0)</f>
        <v>0</v>
      </c>
      <c r="L143" s="41">
        <f>IFERROR(VLOOKUP(A143,Community[],7,0),0)</f>
        <v>0</v>
      </c>
      <c r="M143" s="41">
        <f>IFERROR(VLOOKUP(A143,Debt[],3,0),0)</f>
        <v>0</v>
      </c>
      <c r="N143" s="41">
        <f>IFERROR(VLOOKUP(A143,Debt[],4,0),0)</f>
        <v>12858.8</v>
      </c>
      <c r="O143" s="41">
        <f>IFERROR(VLOOKUP(A143,Debt[],5,0),0)</f>
        <v>0</v>
      </c>
      <c r="P143" s="41">
        <f>IFERROR(VLOOKUP(A143,Items[],3,0),0)</f>
        <v>29223.83</v>
      </c>
      <c r="Q143" s="41">
        <f>IFERROR(VLOOKUP($A143,Federal[],2,0),0)</f>
        <v>24922.48</v>
      </c>
      <c r="R143" s="41">
        <f>IFERROR(VLOOKUP($A143,Federal[],4,0),0)</f>
        <v>95181.56</v>
      </c>
      <c r="S143" s="41"/>
      <c r="T143" s="47">
        <f>IFERROR(VLOOKUP($A143,Program[],3,0),0)</f>
        <v>0</v>
      </c>
      <c r="U143" s="47"/>
      <c r="V143" s="41">
        <f>IFERROR(VLOOKUP($A143,Program[],4,0),0)</f>
        <v>0</v>
      </c>
      <c r="W143" s="41">
        <f>IFERROR(VLOOKUP($A143,Program[],5,0),0)</f>
        <v>0</v>
      </c>
      <c r="X143" s="41"/>
      <c r="Y143" s="41"/>
      <c r="Z143" s="41"/>
      <c r="AA143" s="41">
        <f>IFERROR(VLOOKUP($A143,Program[],6,0),0)</f>
        <v>0</v>
      </c>
      <c r="AB143" s="41"/>
      <c r="AC143" s="41"/>
      <c r="AD143" s="41">
        <f>IFERROR(VLOOKUP($A143,Program[],7,0),0)</f>
        <v>0</v>
      </c>
      <c r="AE143" s="41">
        <f>IFERROR(VLOOKUP($A143,Program[],8,0),0)</f>
        <v>0</v>
      </c>
      <c r="AF143" s="41">
        <f>IFERROR(VLOOKUP($A143,Program[],9,0),0)</f>
        <v>0</v>
      </c>
      <c r="AG143" s="41">
        <f>IFERROR(VLOOKUP($A143,Program[],10,0),0)</f>
        <v>0</v>
      </c>
      <c r="AH143" s="41">
        <f>IFERROR(VLOOKUP($A143,Program[],11,0),0)</f>
        <v>0</v>
      </c>
      <c r="AI143" s="41">
        <f>IFERROR(VLOOKUP($A143,Program[],12,0),0)</f>
        <v>0</v>
      </c>
      <c r="AJ143" s="41"/>
      <c r="AK143" s="41">
        <f>IFERROR(VLOOKUP($A143,Program[],13,0),0)</f>
        <v>0</v>
      </c>
      <c r="AL143" s="41"/>
      <c r="AM143" s="41"/>
      <c r="AN143" s="41"/>
      <c r="AO143" s="41"/>
      <c r="AP143" s="41"/>
      <c r="AQ143" s="41"/>
      <c r="AR143" s="41"/>
      <c r="AS143" s="41">
        <f>IFERROR(VLOOKUP($A143,Program[],14,0),0)</f>
        <v>0</v>
      </c>
      <c r="AT143" s="41"/>
      <c r="AU143" s="41"/>
      <c r="AV143" s="41">
        <f>IFERROR(VLOOKUP($A143,Program[],15,0),0)</f>
        <v>0</v>
      </c>
      <c r="AW143" s="41"/>
      <c r="AX143" s="41">
        <f>IFERROR(VLOOKUP($A143,Program[],16,0),0)</f>
        <v>0</v>
      </c>
      <c r="AY143" s="41">
        <f>IFERROR(VLOOKUP($A143,Program[],17,0),0)</f>
        <v>0</v>
      </c>
      <c r="AZ143" s="41">
        <f>IFERROR(VLOOKUP($A143,Program[],18,0),0)</f>
        <v>0</v>
      </c>
      <c r="BA143" s="41">
        <f>IFERROR(VLOOKUP($A143,Program[],19,0),0)</f>
        <v>5847</v>
      </c>
      <c r="BB143" s="77">
        <f t="shared" si="44"/>
        <v>67163.39</v>
      </c>
      <c r="BC143" s="41">
        <f>IFERROR(VLOOKUP(A143,Food[],3,0),0)</f>
        <v>125055</v>
      </c>
      <c r="BD143" s="41">
        <f>IFERROR(VLOOKUP($A143,FoodRev[],2,0),0)</f>
        <v>5875.5</v>
      </c>
      <c r="BE143" s="41">
        <f>IFERROR(VLOOKUP($A143,FoodRev[],3,0),0)</f>
        <v>9726.6200000000008</v>
      </c>
      <c r="BF143" s="41">
        <f>IFERROR(VLOOKUP($A143,FoodRev[],4,0),0)</f>
        <v>0</v>
      </c>
      <c r="BG143" s="41">
        <f>IFERROR(VLOOKUP($A143,FoodRev[],5,0),0)</f>
        <v>38046.97</v>
      </c>
      <c r="BH143" s="41">
        <f>IFERROR(VLOOKUP($A143,FoodRev[],6,0),0)</f>
        <v>0</v>
      </c>
      <c r="BI143" s="41">
        <f>IFERROR(VLOOKUP($A143,FoodRev[],7,0),0)</f>
        <v>0</v>
      </c>
      <c r="BJ143" s="41">
        <f>IFERROR(VLOOKUP($A143,FoodRev[],8,0),0)</f>
        <v>4242.5200000000004</v>
      </c>
      <c r="BK143" s="41">
        <f>IFERROR(VLOOKUP($A143,FoodRev[],9,0),0)</f>
        <v>0</v>
      </c>
      <c r="BL143" s="41">
        <f>IFERROR(VLOOKUP($A143,FoodRev[],10,0),0)</f>
        <v>0</v>
      </c>
      <c r="BM143" s="41">
        <f t="shared" si="45"/>
        <v>57891.61</v>
      </c>
      <c r="BN143" s="42">
        <f t="shared" si="33"/>
        <v>67163.39</v>
      </c>
      <c r="BO143" s="78">
        <f t="shared" si="40"/>
        <v>67163.39</v>
      </c>
      <c r="BP143" s="78">
        <f t="shared" si="41"/>
        <v>0</v>
      </c>
    </row>
    <row r="144" spans="1:68" x14ac:dyDescent="0.25">
      <c r="A144" s="40" t="s">
        <v>548</v>
      </c>
      <c r="B144" s="40" t="s">
        <v>829</v>
      </c>
      <c r="D144" s="203">
        <f t="shared" si="42"/>
        <v>-4.6566128730773926E-10</v>
      </c>
      <c r="E144" s="41">
        <f>IFERROR(VLOOKUP(A144,Items[],5,0),0)</f>
        <v>2885572.88</v>
      </c>
      <c r="F144" s="42">
        <f t="shared" si="43"/>
        <v>2885572.8800000004</v>
      </c>
      <c r="G144" s="41">
        <v>0</v>
      </c>
      <c r="H144" s="41">
        <f>IFERROR(VLOOKUP(A144,Items[],4,0),0)</f>
        <v>3082662.96</v>
      </c>
      <c r="I144" s="41">
        <f>IFERROR(VLOOKUP(A144,Community[],4,0),0)</f>
        <v>0</v>
      </c>
      <c r="J144" s="41">
        <f>IFERROR(VLOOKUP(A144,Community[],5,0),0)</f>
        <v>0</v>
      </c>
      <c r="K144" s="41">
        <f>IFERROR(VLOOKUP(A144,Community[],6,0),0)</f>
        <v>0</v>
      </c>
      <c r="L144" s="41">
        <f>IFERROR(VLOOKUP(A144,Community[],7,0),0)</f>
        <v>28317.190000000002</v>
      </c>
      <c r="M144" s="41">
        <f>IFERROR(VLOOKUP(A144,Debt[],3,0),0)</f>
        <v>0</v>
      </c>
      <c r="N144" s="41">
        <f>IFERROR(VLOOKUP(A144,Debt[],4,0),0)</f>
        <v>8206.2800000000007</v>
      </c>
      <c r="O144" s="41">
        <f>IFERROR(VLOOKUP(A144,Debt[],5,0),0)</f>
        <v>0</v>
      </c>
      <c r="P144" s="41">
        <f>IFERROR(VLOOKUP(A144,Items[],3,0),0)</f>
        <v>7050</v>
      </c>
      <c r="Q144" s="41">
        <f>IFERROR(VLOOKUP($A144,Federal[],2,0),0)</f>
        <v>118.72</v>
      </c>
      <c r="R144" s="41">
        <f>IFERROR(VLOOKUP($A144,Federal[],4,0),0)</f>
        <v>115732.28</v>
      </c>
      <c r="S144" s="41"/>
      <c r="T144" s="47">
        <f>IFERROR(VLOOKUP($A144,Program[],3,0),0)</f>
        <v>0</v>
      </c>
      <c r="U144" s="47"/>
      <c r="V144" s="41">
        <f>IFERROR(VLOOKUP($A144,Program[],4,0),0)</f>
        <v>0</v>
      </c>
      <c r="W144" s="41">
        <f>IFERROR(VLOOKUP($A144,Program[],5,0),0)</f>
        <v>0</v>
      </c>
      <c r="X144" s="41"/>
      <c r="Y144" s="41"/>
      <c r="Z144" s="41"/>
      <c r="AA144" s="41">
        <f>IFERROR(VLOOKUP($A144,Program[],6,0),0)</f>
        <v>0</v>
      </c>
      <c r="AB144" s="41"/>
      <c r="AC144" s="41"/>
      <c r="AD144" s="41">
        <f>IFERROR(VLOOKUP($A144,Program[],7,0),0)</f>
        <v>0</v>
      </c>
      <c r="AE144" s="41">
        <f>IFERROR(VLOOKUP($A144,Program[],8,0),0)</f>
        <v>0</v>
      </c>
      <c r="AF144" s="41">
        <f>IFERROR(VLOOKUP($A144,Program[],9,0),0)</f>
        <v>0</v>
      </c>
      <c r="AG144" s="41">
        <f>IFERROR(VLOOKUP($A144,Program[],10,0),0)</f>
        <v>0</v>
      </c>
      <c r="AH144" s="41">
        <f>IFERROR(VLOOKUP($A144,Program[],11,0),0)</f>
        <v>0</v>
      </c>
      <c r="AI144" s="41">
        <f>IFERROR(VLOOKUP($A144,Program[],12,0),0)</f>
        <v>0</v>
      </c>
      <c r="AJ144" s="41"/>
      <c r="AK144" s="41">
        <f>IFERROR(VLOOKUP($A144,Program[],13,0),0)</f>
        <v>0</v>
      </c>
      <c r="AL144" s="41"/>
      <c r="AM144" s="41"/>
      <c r="AN144" s="41"/>
      <c r="AO144" s="41"/>
      <c r="AP144" s="41"/>
      <c r="AQ144" s="41"/>
      <c r="AR144" s="41"/>
      <c r="AS144" s="41">
        <f>IFERROR(VLOOKUP($A144,Program[],14,0),0)</f>
        <v>0</v>
      </c>
      <c r="AT144" s="41"/>
      <c r="AU144" s="41"/>
      <c r="AV144" s="41">
        <f>IFERROR(VLOOKUP($A144,Program[],15,0),0)</f>
        <v>0</v>
      </c>
      <c r="AW144" s="41"/>
      <c r="AX144" s="41">
        <f>IFERROR(VLOOKUP($A144,Program[],16,0),0)</f>
        <v>0</v>
      </c>
      <c r="AY144" s="41">
        <f>IFERROR(VLOOKUP($A144,Program[],17,0),0)</f>
        <v>0</v>
      </c>
      <c r="AZ144" s="41">
        <f>IFERROR(VLOOKUP($A144,Program[],18,0),0)</f>
        <v>0</v>
      </c>
      <c r="BA144" s="41">
        <f>IFERROR(VLOOKUP($A144,Program[],19,0),0)</f>
        <v>0</v>
      </c>
      <c r="BB144" s="77">
        <f t="shared" si="44"/>
        <v>54548.899999999987</v>
      </c>
      <c r="BC144" s="41">
        <f>IFERROR(VLOOKUP(A144,Food[],3,0),0)</f>
        <v>145880.79999999999</v>
      </c>
      <c r="BD144" s="41">
        <f>IFERROR(VLOOKUP($A144,FoodRev[],2,0),0)</f>
        <v>25431.72</v>
      </c>
      <c r="BE144" s="41">
        <f>IFERROR(VLOOKUP($A144,FoodRev[],3,0),0)</f>
        <v>12233.89</v>
      </c>
      <c r="BF144" s="41">
        <f>IFERROR(VLOOKUP($A144,FoodRev[],4,0),0)</f>
        <v>0</v>
      </c>
      <c r="BG144" s="41">
        <f>IFERROR(VLOOKUP($A144,FoodRev[],5,0),0)</f>
        <v>43640.58</v>
      </c>
      <c r="BH144" s="41">
        <f>IFERROR(VLOOKUP($A144,FoodRev[],6,0),0)</f>
        <v>0</v>
      </c>
      <c r="BI144" s="41">
        <f>IFERROR(VLOOKUP($A144,FoodRev[],7,0),0)</f>
        <v>3643.2</v>
      </c>
      <c r="BJ144" s="41">
        <f>IFERROR(VLOOKUP($A144,FoodRev[],8,0),0)</f>
        <v>6382.51</v>
      </c>
      <c r="BK144" s="41">
        <f>IFERROR(VLOOKUP($A144,FoodRev[],9,0),0)</f>
        <v>0</v>
      </c>
      <c r="BL144" s="41">
        <f>IFERROR(VLOOKUP($A144,FoodRev[],10,0),0)</f>
        <v>0</v>
      </c>
      <c r="BM144" s="41">
        <f t="shared" si="45"/>
        <v>91331.9</v>
      </c>
      <c r="BN144" s="42">
        <f t="shared" si="33"/>
        <v>54548.899999999987</v>
      </c>
      <c r="BO144" s="78">
        <f t="shared" si="40"/>
        <v>54548.899999999987</v>
      </c>
      <c r="BP144" s="78">
        <f t="shared" si="41"/>
        <v>0</v>
      </c>
    </row>
    <row r="145" spans="1:68" x14ac:dyDescent="0.25">
      <c r="A145" s="40" t="s">
        <v>592</v>
      </c>
      <c r="B145" s="40" t="s">
        <v>830</v>
      </c>
      <c r="D145" s="203">
        <f t="shared" si="42"/>
        <v>1.1641532182693481E-10</v>
      </c>
      <c r="E145" s="41">
        <f>IFERROR(VLOOKUP(A145,Items[],5,0),0)</f>
        <v>669532.43000000005</v>
      </c>
      <c r="F145" s="42">
        <f t="shared" si="43"/>
        <v>669532.42999999993</v>
      </c>
      <c r="G145" s="41">
        <v>0</v>
      </c>
      <c r="H145" s="41">
        <f>IFERROR(VLOOKUP(A145,Items[],4,0),0)</f>
        <v>745816.95</v>
      </c>
      <c r="I145" s="41">
        <f>IFERROR(VLOOKUP(A145,Community[],4,0),0)</f>
        <v>0</v>
      </c>
      <c r="J145" s="41">
        <f>IFERROR(VLOOKUP(A145,Community[],5,0),0)</f>
        <v>0</v>
      </c>
      <c r="K145" s="41">
        <f>IFERROR(VLOOKUP(A145,Community[],6,0),0)</f>
        <v>0</v>
      </c>
      <c r="L145" s="41">
        <f>IFERROR(VLOOKUP(A145,Community[],7,0),0)</f>
        <v>0</v>
      </c>
      <c r="M145" s="41">
        <f>IFERROR(VLOOKUP(A145,Debt[],3,0),0)</f>
        <v>0</v>
      </c>
      <c r="N145" s="41">
        <f>IFERROR(VLOOKUP(A145,Debt[],4,0),0)</f>
        <v>1566.3</v>
      </c>
      <c r="O145" s="41">
        <f>IFERROR(VLOOKUP(A145,Debt[],5,0),0)</f>
        <v>0</v>
      </c>
      <c r="P145" s="41">
        <f>IFERROR(VLOOKUP(A145,Items[],3,0),0)</f>
        <v>0</v>
      </c>
      <c r="Q145" s="41">
        <f>IFERROR(VLOOKUP($A145,Federal[],2,0),0)</f>
        <v>0</v>
      </c>
      <c r="R145" s="41">
        <f>IFERROR(VLOOKUP($A145,Federal[],4,0),0)</f>
        <v>74718.22</v>
      </c>
      <c r="S145" s="41"/>
      <c r="T145" s="47">
        <f>IFERROR(VLOOKUP($A145,Program[],3,0),0)</f>
        <v>0</v>
      </c>
      <c r="U145" s="47"/>
      <c r="V145" s="41">
        <f>IFERROR(VLOOKUP($A145,Program[],4,0),0)</f>
        <v>0</v>
      </c>
      <c r="W145" s="41">
        <f>IFERROR(VLOOKUP($A145,Program[],5,0),0)</f>
        <v>0</v>
      </c>
      <c r="X145" s="41"/>
      <c r="Y145" s="41"/>
      <c r="Z145" s="41"/>
      <c r="AA145" s="41">
        <f>IFERROR(VLOOKUP($A145,Program[],6,0),0)</f>
        <v>0</v>
      </c>
      <c r="AB145" s="41"/>
      <c r="AC145" s="41"/>
      <c r="AD145" s="41">
        <f>IFERROR(VLOOKUP($A145,Program[],7,0),0)</f>
        <v>0</v>
      </c>
      <c r="AE145" s="41">
        <f>IFERROR(VLOOKUP($A145,Program[],8,0),0)</f>
        <v>0</v>
      </c>
      <c r="AF145" s="41">
        <f>IFERROR(VLOOKUP($A145,Program[],9,0),0)</f>
        <v>0</v>
      </c>
      <c r="AG145" s="41">
        <f>IFERROR(VLOOKUP($A145,Program[],10,0),0)</f>
        <v>0</v>
      </c>
      <c r="AH145" s="41">
        <f>IFERROR(VLOOKUP($A145,Program[],11,0),0)</f>
        <v>0</v>
      </c>
      <c r="AI145" s="41">
        <f>IFERROR(VLOOKUP($A145,Program[],12,0),0)</f>
        <v>0</v>
      </c>
      <c r="AJ145" s="41"/>
      <c r="AK145" s="41">
        <f>IFERROR(VLOOKUP($A145,Program[],13,0),0)</f>
        <v>0</v>
      </c>
      <c r="AL145" s="41"/>
      <c r="AM145" s="41"/>
      <c r="AN145" s="41"/>
      <c r="AO145" s="41"/>
      <c r="AP145" s="41"/>
      <c r="AQ145" s="41"/>
      <c r="AR145" s="41"/>
      <c r="AS145" s="41">
        <f>IFERROR(VLOOKUP($A145,Program[],14,0),0)</f>
        <v>0</v>
      </c>
      <c r="AT145" s="41"/>
      <c r="AU145" s="41"/>
      <c r="AV145" s="41">
        <f>IFERROR(VLOOKUP($A145,Program[],15,0),0)</f>
        <v>0</v>
      </c>
      <c r="AW145" s="41"/>
      <c r="AX145" s="41">
        <f>IFERROR(VLOOKUP($A145,Program[],16,0),0)</f>
        <v>0</v>
      </c>
      <c r="AY145" s="41">
        <f>IFERROR(VLOOKUP($A145,Program[],17,0),0)</f>
        <v>0</v>
      </c>
      <c r="AZ145" s="41">
        <f>IFERROR(VLOOKUP($A145,Program[],18,0),0)</f>
        <v>0</v>
      </c>
      <c r="BA145" s="41">
        <f>IFERROR(VLOOKUP($A145,Program[],19,0),0)</f>
        <v>0</v>
      </c>
      <c r="BB145" s="77">
        <f t="shared" si="44"/>
        <v>1456.67</v>
      </c>
      <c r="BC145" s="41">
        <f>IFERROR(VLOOKUP(A145,Food[],3,0),0)</f>
        <v>1456.67</v>
      </c>
      <c r="BD145" s="41">
        <f>IFERROR(VLOOKUP($A145,FoodRev[],2,0),0)</f>
        <v>0</v>
      </c>
      <c r="BE145" s="41">
        <f>IFERROR(VLOOKUP($A145,FoodRev[],3,0),0)</f>
        <v>0</v>
      </c>
      <c r="BF145" s="41">
        <f>IFERROR(VLOOKUP($A145,FoodRev[],4,0),0)</f>
        <v>0</v>
      </c>
      <c r="BG145" s="41">
        <f>IFERROR(VLOOKUP($A145,FoodRev[],5,0),0)</f>
        <v>0</v>
      </c>
      <c r="BH145" s="41">
        <f>IFERROR(VLOOKUP($A145,FoodRev[],6,0),0)</f>
        <v>0</v>
      </c>
      <c r="BI145" s="41">
        <f>IFERROR(VLOOKUP($A145,FoodRev[],7,0),0)</f>
        <v>0</v>
      </c>
      <c r="BJ145" s="41">
        <f>IFERROR(VLOOKUP($A145,FoodRev[],8,0),0)</f>
        <v>0</v>
      </c>
      <c r="BK145" s="41">
        <f>IFERROR(VLOOKUP($A145,FoodRev[],9,0),0)</f>
        <v>0</v>
      </c>
      <c r="BL145" s="41">
        <f>IFERROR(VLOOKUP($A145,FoodRev[],10,0),0)</f>
        <v>0</v>
      </c>
      <c r="BM145" s="41">
        <f t="shared" si="45"/>
        <v>0</v>
      </c>
      <c r="BN145" s="42">
        <f t="shared" si="33"/>
        <v>1456.67</v>
      </c>
      <c r="BO145" s="78">
        <f t="shared" si="40"/>
        <v>1456.67</v>
      </c>
      <c r="BP145" s="78">
        <f t="shared" si="41"/>
        <v>0</v>
      </c>
    </row>
    <row r="146" spans="1:68" x14ac:dyDescent="0.25">
      <c r="A146" s="40" t="s">
        <v>304</v>
      </c>
      <c r="B146" s="40" t="s">
        <v>831</v>
      </c>
      <c r="D146" s="203">
        <f t="shared" si="42"/>
        <v>0</v>
      </c>
      <c r="E146" s="41">
        <f>IFERROR(VLOOKUP(A146,Items[],5,0),0)</f>
        <v>40938554.009999998</v>
      </c>
      <c r="F146" s="42">
        <f t="shared" si="43"/>
        <v>40938554.009999998</v>
      </c>
      <c r="G146" s="41">
        <v>0</v>
      </c>
      <c r="H146" s="41">
        <f>IFERROR(VLOOKUP(A146,Items[],4,0),0)</f>
        <v>42664428.509999998</v>
      </c>
      <c r="I146" s="41">
        <f>IFERROR(VLOOKUP(A146,Community[],4,0),0)</f>
        <v>0</v>
      </c>
      <c r="J146" s="41">
        <f>IFERROR(VLOOKUP(A146,Community[],5,0),0)</f>
        <v>0</v>
      </c>
      <c r="K146" s="41">
        <f>IFERROR(VLOOKUP(A146,Community[],6,0),0)</f>
        <v>0</v>
      </c>
      <c r="L146" s="41">
        <f>IFERROR(VLOOKUP(A146,Community[],7,0),0)</f>
        <v>0</v>
      </c>
      <c r="M146" s="41">
        <f>IFERROR(VLOOKUP(A146,Debt[],3,0),0)</f>
        <v>0</v>
      </c>
      <c r="N146" s="41">
        <f>IFERROR(VLOOKUP(A146,Debt[],4,0),0)</f>
        <v>0</v>
      </c>
      <c r="O146" s="41">
        <f>IFERROR(VLOOKUP(A146,Debt[],5,0),0)</f>
        <v>0</v>
      </c>
      <c r="P146" s="41">
        <f>IFERROR(VLOOKUP(A146,Items[],3,0),0)</f>
        <v>234433.59</v>
      </c>
      <c r="Q146" s="41">
        <f>IFERROR(VLOOKUP($A146,Federal[],2,0),0)</f>
        <v>1413.6</v>
      </c>
      <c r="R146" s="41">
        <f>IFERROR(VLOOKUP($A146,Federal[],4,0),0)</f>
        <v>1401113.65</v>
      </c>
      <c r="S146" s="41"/>
      <c r="T146" s="47">
        <f>IFERROR(VLOOKUP($A146,Program[],3,0),0)</f>
        <v>0</v>
      </c>
      <c r="U146" s="47"/>
      <c r="V146" s="41">
        <f>IFERROR(VLOOKUP($A146,Program[],4,0),0)</f>
        <v>0</v>
      </c>
      <c r="W146" s="41">
        <f>IFERROR(VLOOKUP($A146,Program[],5,0),0)</f>
        <v>0</v>
      </c>
      <c r="X146" s="41"/>
      <c r="Y146" s="41"/>
      <c r="Z146" s="41"/>
      <c r="AA146" s="41">
        <f>IFERROR(VLOOKUP($A146,Program[],6,0),0)</f>
        <v>0</v>
      </c>
      <c r="AB146" s="41"/>
      <c r="AC146" s="41"/>
      <c r="AD146" s="41">
        <f>IFERROR(VLOOKUP($A146,Program[],7,0),0)</f>
        <v>0</v>
      </c>
      <c r="AE146" s="41">
        <f>IFERROR(VLOOKUP($A146,Program[],8,0),0)</f>
        <v>8657.9500000000007</v>
      </c>
      <c r="AF146" s="41">
        <f>IFERROR(VLOOKUP($A146,Program[],9,0),0)</f>
        <v>0</v>
      </c>
      <c r="AG146" s="41">
        <f>IFERROR(VLOOKUP($A146,Program[],10,0),0)</f>
        <v>0</v>
      </c>
      <c r="AH146" s="41">
        <f>IFERROR(VLOOKUP($A146,Program[],11,0),0)</f>
        <v>0</v>
      </c>
      <c r="AI146" s="41">
        <f>IFERROR(VLOOKUP($A146,Program[],12,0),0)</f>
        <v>0</v>
      </c>
      <c r="AJ146" s="41"/>
      <c r="AK146" s="41">
        <f>IFERROR(VLOOKUP($A146,Program[],13,0),0)</f>
        <v>0</v>
      </c>
      <c r="AL146" s="41"/>
      <c r="AM146" s="41"/>
      <c r="AN146" s="41"/>
      <c r="AO146" s="41"/>
      <c r="AP146" s="41"/>
      <c r="AQ146" s="41"/>
      <c r="AR146" s="41"/>
      <c r="AS146" s="41">
        <f>IFERROR(VLOOKUP($A146,Program[],14,0),0)</f>
        <v>0</v>
      </c>
      <c r="AT146" s="41"/>
      <c r="AU146" s="41"/>
      <c r="AV146" s="41">
        <f>IFERROR(VLOOKUP($A146,Program[],15,0),0)</f>
        <v>0</v>
      </c>
      <c r="AW146" s="41"/>
      <c r="AX146" s="41">
        <f>IFERROR(VLOOKUP($A146,Program[],16,0),0)</f>
        <v>0</v>
      </c>
      <c r="AY146" s="41">
        <f>IFERROR(VLOOKUP($A146,Program[],17,0),0)</f>
        <v>0</v>
      </c>
      <c r="AZ146" s="41">
        <f>IFERROR(VLOOKUP($A146,Program[],18,0),0)</f>
        <v>0</v>
      </c>
      <c r="BA146" s="41">
        <f>IFERROR(VLOOKUP($A146,Program[],19,0),0)</f>
        <v>0</v>
      </c>
      <c r="BB146" s="77">
        <f t="shared" si="44"/>
        <v>0</v>
      </c>
      <c r="BC146" s="41">
        <f>IFERROR(VLOOKUP(A146,Food[],3,0),0)</f>
        <v>556716.94000000006</v>
      </c>
      <c r="BD146" s="41">
        <f>IFERROR(VLOOKUP($A146,FoodRev[],2,0),0)</f>
        <v>2114.6999999999998</v>
      </c>
      <c r="BE146" s="41">
        <f>IFERROR(VLOOKUP($A146,FoodRev[],3,0),0)</f>
        <v>145988.87</v>
      </c>
      <c r="BF146" s="41">
        <f>IFERROR(VLOOKUP($A146,FoodRev[],4,0),0)</f>
        <v>0</v>
      </c>
      <c r="BG146" s="41">
        <f>IFERROR(VLOOKUP($A146,FoodRev[],5,0),0)</f>
        <v>411996.73</v>
      </c>
      <c r="BH146" s="41">
        <f>IFERROR(VLOOKUP($A146,FoodRev[],6,0),0)</f>
        <v>0</v>
      </c>
      <c r="BI146" s="41">
        <f>IFERROR(VLOOKUP($A146,FoodRev[],7,0),0)</f>
        <v>0</v>
      </c>
      <c r="BJ146" s="41">
        <f>IFERROR(VLOOKUP($A146,FoodRev[],8,0),0)</f>
        <v>47148.6</v>
      </c>
      <c r="BK146" s="41">
        <f>IFERROR(VLOOKUP($A146,FoodRev[],9,0),0)</f>
        <v>0</v>
      </c>
      <c r="BL146" s="41">
        <f>IFERROR(VLOOKUP($A146,FoodRev[],10,0),0)</f>
        <v>0</v>
      </c>
      <c r="BM146" s="41">
        <f t="shared" si="45"/>
        <v>607248.9</v>
      </c>
      <c r="BN146" s="42">
        <f t="shared" si="33"/>
        <v>-50531.959999999868</v>
      </c>
      <c r="BO146" s="78">
        <f t="shared" si="40"/>
        <v>0</v>
      </c>
      <c r="BP146" s="78">
        <f t="shared" si="41"/>
        <v>-50531.959999999868</v>
      </c>
    </row>
    <row r="147" spans="1:68" x14ac:dyDescent="0.25">
      <c r="A147" s="40" t="s">
        <v>274</v>
      </c>
      <c r="B147" s="40" t="s">
        <v>832</v>
      </c>
      <c r="D147" s="203">
        <f t="shared" si="42"/>
        <v>0</v>
      </c>
      <c r="E147" s="41">
        <f>IFERROR(VLOOKUP(A147,Items[],5,0),0)</f>
        <v>20442697.07</v>
      </c>
      <c r="F147" s="42">
        <f t="shared" si="43"/>
        <v>20442697.07</v>
      </c>
      <c r="G147" s="41">
        <v>0</v>
      </c>
      <c r="H147" s="41">
        <f>IFERROR(VLOOKUP(A147,Items[],4,0),0)</f>
        <v>22296587.75</v>
      </c>
      <c r="I147" s="41">
        <f>IFERROR(VLOOKUP(A147,Community[],4,0),0)</f>
        <v>0</v>
      </c>
      <c r="J147" s="41">
        <f>IFERROR(VLOOKUP(A147,Community[],5,0),0)</f>
        <v>0</v>
      </c>
      <c r="K147" s="41">
        <f>IFERROR(VLOOKUP(A147,Community[],6,0),0)</f>
        <v>0</v>
      </c>
      <c r="L147" s="41">
        <f>IFERROR(VLOOKUP(A147,Community[],7,0),0)</f>
        <v>212034.93000000002</v>
      </c>
      <c r="M147" s="41">
        <f>IFERROR(VLOOKUP(A147,Debt[],3,0),0)</f>
        <v>2410.7199999999998</v>
      </c>
      <c r="N147" s="41">
        <f>IFERROR(VLOOKUP(A147,Debt[],4,0),0)</f>
        <v>20756.96</v>
      </c>
      <c r="O147" s="41">
        <f>IFERROR(VLOOKUP(A147,Debt[],5,0),0)</f>
        <v>0</v>
      </c>
      <c r="P147" s="41">
        <f>IFERROR(VLOOKUP(A147,Items[],3,0),0)</f>
        <v>219694.68</v>
      </c>
      <c r="Q147" s="41">
        <f>IFERROR(VLOOKUP($A147,Federal[],2,0),0)</f>
        <v>1691.52</v>
      </c>
      <c r="R147" s="41">
        <f>IFERROR(VLOOKUP($A147,Federal[],4,0),0)</f>
        <v>1243492.78</v>
      </c>
      <c r="S147" s="41"/>
      <c r="T147" s="47">
        <f>IFERROR(VLOOKUP($A147,Program[],3,0),0)</f>
        <v>0</v>
      </c>
      <c r="U147" s="47"/>
      <c r="V147" s="41">
        <f>IFERROR(VLOOKUP($A147,Program[],4,0),0)</f>
        <v>0</v>
      </c>
      <c r="W147" s="41">
        <f>IFERROR(VLOOKUP($A147,Program[],5,0),0)</f>
        <v>0</v>
      </c>
      <c r="X147" s="41"/>
      <c r="Y147" s="41"/>
      <c r="Z147" s="41"/>
      <c r="AA147" s="41">
        <f>IFERROR(VLOOKUP($A147,Program[],6,0),0)</f>
        <v>0</v>
      </c>
      <c r="AB147" s="41"/>
      <c r="AC147" s="41"/>
      <c r="AD147" s="41">
        <f>IFERROR(VLOOKUP($A147,Program[],7,0),0)</f>
        <v>0</v>
      </c>
      <c r="AE147" s="41">
        <f>IFERROR(VLOOKUP($A147,Program[],8,0),0)</f>
        <v>0</v>
      </c>
      <c r="AF147" s="41">
        <f>IFERROR(VLOOKUP($A147,Program[],9,0),0)</f>
        <v>0</v>
      </c>
      <c r="AG147" s="41">
        <f>IFERROR(VLOOKUP($A147,Program[],10,0),0)</f>
        <v>0</v>
      </c>
      <c r="AH147" s="41">
        <f>IFERROR(VLOOKUP($A147,Program[],11,0),0)</f>
        <v>0</v>
      </c>
      <c r="AI147" s="41">
        <f>IFERROR(VLOOKUP($A147,Program[],12,0),0)</f>
        <v>0</v>
      </c>
      <c r="AJ147" s="41"/>
      <c r="AK147" s="41">
        <f>IFERROR(VLOOKUP($A147,Program[],13,0),0)</f>
        <v>0</v>
      </c>
      <c r="AL147" s="41"/>
      <c r="AM147" s="41"/>
      <c r="AN147" s="41"/>
      <c r="AO147" s="41"/>
      <c r="AP147" s="41"/>
      <c r="AQ147" s="41"/>
      <c r="AR147" s="41"/>
      <c r="AS147" s="41">
        <f>IFERROR(VLOOKUP($A147,Program[],14,0),0)</f>
        <v>0</v>
      </c>
      <c r="AT147" s="41"/>
      <c r="AU147" s="41"/>
      <c r="AV147" s="41">
        <f>IFERROR(VLOOKUP($A147,Program[],15,0),0)</f>
        <v>0</v>
      </c>
      <c r="AW147" s="41"/>
      <c r="AX147" s="41">
        <f>IFERROR(VLOOKUP($A147,Program[],16,0),0)</f>
        <v>0</v>
      </c>
      <c r="AY147" s="41">
        <f>IFERROR(VLOOKUP($A147,Program[],17,0),0)</f>
        <v>0</v>
      </c>
      <c r="AZ147" s="41">
        <f>IFERROR(VLOOKUP($A147,Program[],18,0),0)</f>
        <v>0</v>
      </c>
      <c r="BA147" s="41">
        <f>IFERROR(VLOOKUP($A147,Program[],19,0),0)</f>
        <v>0</v>
      </c>
      <c r="BB147" s="77">
        <f t="shared" si="44"/>
        <v>267567.46000000002</v>
      </c>
      <c r="BC147" s="41">
        <f>IFERROR(VLOOKUP(A147,Food[],3,0),0)</f>
        <v>691623.89</v>
      </c>
      <c r="BD147" s="41">
        <f>IFERROR(VLOOKUP($A147,FoodRev[],2,0),0)</f>
        <v>57722.28</v>
      </c>
      <c r="BE147" s="41">
        <f>IFERROR(VLOOKUP($A147,FoodRev[],3,0),0)</f>
        <v>96086.81</v>
      </c>
      <c r="BF147" s="41">
        <f>IFERROR(VLOOKUP($A147,FoodRev[],4,0),0)</f>
        <v>0</v>
      </c>
      <c r="BG147" s="41">
        <f>IFERROR(VLOOKUP($A147,FoodRev[],5,0),0)</f>
        <v>237938.91</v>
      </c>
      <c r="BH147" s="41">
        <f>IFERROR(VLOOKUP($A147,FoodRev[],6,0),0)</f>
        <v>0</v>
      </c>
      <c r="BI147" s="41">
        <f>IFERROR(VLOOKUP($A147,FoodRev[],7,0),0)</f>
        <v>0</v>
      </c>
      <c r="BJ147" s="41">
        <f>IFERROR(VLOOKUP($A147,FoodRev[],8,0),0)</f>
        <v>32308.43</v>
      </c>
      <c r="BK147" s="41">
        <f>IFERROR(VLOOKUP($A147,FoodRev[],9,0),0)</f>
        <v>0</v>
      </c>
      <c r="BL147" s="41">
        <f>IFERROR(VLOOKUP($A147,FoodRev[],10,0),0)</f>
        <v>0</v>
      </c>
      <c r="BM147" s="41">
        <f t="shared" si="45"/>
        <v>424056.43</v>
      </c>
      <c r="BN147" s="42">
        <f t="shared" si="33"/>
        <v>267567.46000000002</v>
      </c>
      <c r="BO147" s="78">
        <f t="shared" si="40"/>
        <v>267567.46000000002</v>
      </c>
      <c r="BP147" s="78">
        <f t="shared" si="41"/>
        <v>0</v>
      </c>
    </row>
    <row r="148" spans="1:68" x14ac:dyDescent="0.25">
      <c r="A148" s="40" t="s">
        <v>456</v>
      </c>
      <c r="B148" s="40" t="s">
        <v>833</v>
      </c>
      <c r="D148" s="203">
        <f t="shared" si="42"/>
        <v>9.3132257461547852E-10</v>
      </c>
      <c r="E148" s="41">
        <f>IFERROR(VLOOKUP(A148,Items[],5,0),0)</f>
        <v>4609207.3499999996</v>
      </c>
      <c r="F148" s="42">
        <f t="shared" si="43"/>
        <v>4609207.3499999987</v>
      </c>
      <c r="G148" s="41">
        <v>0</v>
      </c>
      <c r="H148" s="41">
        <f>IFERROR(VLOOKUP(A148,Items[],4,0),0)</f>
        <v>5003540.51</v>
      </c>
      <c r="I148" s="41">
        <f>IFERROR(VLOOKUP(A148,Community[],4,0),0)</f>
        <v>0</v>
      </c>
      <c r="J148" s="41">
        <f>IFERROR(VLOOKUP(A148,Community[],5,0),0)</f>
        <v>0</v>
      </c>
      <c r="K148" s="41">
        <f>IFERROR(VLOOKUP(A148,Community[],6,0),0)</f>
        <v>0</v>
      </c>
      <c r="L148" s="41">
        <f>IFERROR(VLOOKUP(A148,Community[],7,0),0)</f>
        <v>0</v>
      </c>
      <c r="M148" s="41">
        <f>IFERROR(VLOOKUP(A148,Debt[],3,0),0)</f>
        <v>0</v>
      </c>
      <c r="N148" s="41">
        <f>IFERROR(VLOOKUP(A148,Debt[],4,0),0)</f>
        <v>0</v>
      </c>
      <c r="O148" s="41">
        <f>IFERROR(VLOOKUP(A148,Debt[],5,0),0)</f>
        <v>0</v>
      </c>
      <c r="P148" s="41">
        <f>IFERROR(VLOOKUP(A148,Items[],3,0),0)</f>
        <v>0</v>
      </c>
      <c r="Q148" s="41">
        <f>IFERROR(VLOOKUP($A148,Federal[],2,0),0)</f>
        <v>289.89999999999998</v>
      </c>
      <c r="R148" s="41">
        <f>IFERROR(VLOOKUP($A148,Federal[],4,0),0)</f>
        <v>363700.38</v>
      </c>
      <c r="S148" s="41"/>
      <c r="T148" s="47">
        <f>IFERROR(VLOOKUP($A148,Program[],3,0),0)</f>
        <v>0</v>
      </c>
      <c r="U148" s="47"/>
      <c r="V148" s="41">
        <f>IFERROR(VLOOKUP($A148,Program[],4,0),0)</f>
        <v>0</v>
      </c>
      <c r="W148" s="41">
        <f>IFERROR(VLOOKUP($A148,Program[],5,0),0)</f>
        <v>0</v>
      </c>
      <c r="X148" s="41"/>
      <c r="Y148" s="41"/>
      <c r="Z148" s="41"/>
      <c r="AA148" s="41">
        <f>IFERROR(VLOOKUP($A148,Program[],6,0),0)</f>
        <v>0</v>
      </c>
      <c r="AB148" s="41"/>
      <c r="AC148" s="41"/>
      <c r="AD148" s="41">
        <f>IFERROR(VLOOKUP($A148,Program[],7,0),0)</f>
        <v>0</v>
      </c>
      <c r="AE148" s="41">
        <f>IFERROR(VLOOKUP($A148,Program[],8,0),0)</f>
        <v>0</v>
      </c>
      <c r="AF148" s="41">
        <f>IFERROR(VLOOKUP($A148,Program[],9,0),0)</f>
        <v>0</v>
      </c>
      <c r="AG148" s="41">
        <f>IFERROR(VLOOKUP($A148,Program[],10,0),0)</f>
        <v>0</v>
      </c>
      <c r="AH148" s="41">
        <f>IFERROR(VLOOKUP($A148,Program[],11,0),0)</f>
        <v>0</v>
      </c>
      <c r="AI148" s="41">
        <f>IFERROR(VLOOKUP($A148,Program[],12,0),0)</f>
        <v>0</v>
      </c>
      <c r="AJ148" s="41"/>
      <c r="AK148" s="41">
        <f>IFERROR(VLOOKUP($A148,Program[],13,0),0)</f>
        <v>0</v>
      </c>
      <c r="AL148" s="41"/>
      <c r="AM148" s="41"/>
      <c r="AN148" s="41"/>
      <c r="AO148" s="41"/>
      <c r="AP148" s="41"/>
      <c r="AQ148" s="41"/>
      <c r="AR148" s="41"/>
      <c r="AS148" s="41">
        <f>IFERROR(VLOOKUP($A148,Program[],14,0),0)</f>
        <v>0</v>
      </c>
      <c r="AT148" s="41"/>
      <c r="AU148" s="41"/>
      <c r="AV148" s="41">
        <f>IFERROR(VLOOKUP($A148,Program[],15,0),0)</f>
        <v>0</v>
      </c>
      <c r="AW148" s="41"/>
      <c r="AX148" s="41">
        <f>IFERROR(VLOOKUP($A148,Program[],16,0),0)</f>
        <v>0</v>
      </c>
      <c r="AY148" s="41">
        <f>IFERROR(VLOOKUP($A148,Program[],17,0),0)</f>
        <v>0</v>
      </c>
      <c r="AZ148" s="41">
        <f>IFERROR(VLOOKUP($A148,Program[],18,0),0)</f>
        <v>0</v>
      </c>
      <c r="BA148" s="41">
        <f>IFERROR(VLOOKUP($A148,Program[],19,0),0)</f>
        <v>0</v>
      </c>
      <c r="BB148" s="77">
        <f t="shared" si="44"/>
        <v>76103.570000000007</v>
      </c>
      <c r="BC148" s="41">
        <f>IFERROR(VLOOKUP(A148,Food[],3,0),0)</f>
        <v>187629.23</v>
      </c>
      <c r="BD148" s="41">
        <f>IFERROR(VLOOKUP($A148,FoodRev[],2,0),0)</f>
        <v>100.75</v>
      </c>
      <c r="BE148" s="41">
        <f>IFERROR(VLOOKUP($A148,FoodRev[],3,0),0)</f>
        <v>30242.13</v>
      </c>
      <c r="BF148" s="41">
        <f>IFERROR(VLOOKUP($A148,FoodRev[],4,0),0)</f>
        <v>0</v>
      </c>
      <c r="BG148" s="41">
        <f>IFERROR(VLOOKUP($A148,FoodRev[],5,0),0)</f>
        <v>73495.72</v>
      </c>
      <c r="BH148" s="41">
        <f>IFERROR(VLOOKUP($A148,FoodRev[],6,0),0)</f>
        <v>0</v>
      </c>
      <c r="BI148" s="41">
        <f>IFERROR(VLOOKUP($A148,FoodRev[],7,0),0)</f>
        <v>0</v>
      </c>
      <c r="BJ148" s="41">
        <f>IFERROR(VLOOKUP($A148,FoodRev[],8,0),0)</f>
        <v>7687.06</v>
      </c>
      <c r="BK148" s="41">
        <f>IFERROR(VLOOKUP($A148,FoodRev[],9,0),0)</f>
        <v>0</v>
      </c>
      <c r="BL148" s="41">
        <f>IFERROR(VLOOKUP($A148,FoodRev[],10,0),0)</f>
        <v>0</v>
      </c>
      <c r="BM148" s="41">
        <f t="shared" si="45"/>
        <v>111525.66</v>
      </c>
      <c r="BN148" s="42">
        <f t="shared" si="33"/>
        <v>76103.570000000007</v>
      </c>
      <c r="BO148" s="78">
        <f t="shared" si="40"/>
        <v>76103.570000000007</v>
      </c>
      <c r="BP148" s="78">
        <f t="shared" si="41"/>
        <v>0</v>
      </c>
    </row>
    <row r="149" spans="1:68" x14ac:dyDescent="0.25">
      <c r="A149" s="40" t="s">
        <v>322</v>
      </c>
      <c r="B149" s="40" t="s">
        <v>834</v>
      </c>
      <c r="D149" s="203">
        <f t="shared" si="42"/>
        <v>1.862645149230957E-9</v>
      </c>
      <c r="E149" s="41">
        <f>IFERROR(VLOOKUP(A149,Items[],5,0),0)</f>
        <v>12921899.6</v>
      </c>
      <c r="F149" s="42">
        <f t="shared" si="43"/>
        <v>12921899.599999998</v>
      </c>
      <c r="G149" s="41">
        <v>0</v>
      </c>
      <c r="H149" s="41">
        <f>IFERROR(VLOOKUP(A149,Items[],4,0),0)</f>
        <v>13708846.869999999</v>
      </c>
      <c r="I149" s="41">
        <f>IFERROR(VLOOKUP(A149,Community[],4,0),0)</f>
        <v>0</v>
      </c>
      <c r="J149" s="41">
        <f>IFERROR(VLOOKUP(A149,Community[],5,0),0)</f>
        <v>0</v>
      </c>
      <c r="K149" s="41">
        <f>IFERROR(VLOOKUP(A149,Community[],6,0),0)</f>
        <v>0</v>
      </c>
      <c r="L149" s="41">
        <f>IFERROR(VLOOKUP(A149,Community[],7,0),0)</f>
        <v>0</v>
      </c>
      <c r="M149" s="41">
        <f>IFERROR(VLOOKUP(A149,Debt[],3,0),0)</f>
        <v>2055.9499999999998</v>
      </c>
      <c r="N149" s="41">
        <f>IFERROR(VLOOKUP(A149,Debt[],4,0),0)</f>
        <v>24608.71</v>
      </c>
      <c r="O149" s="41">
        <f>IFERROR(VLOOKUP(A149,Debt[],5,0),0)</f>
        <v>0</v>
      </c>
      <c r="P149" s="41">
        <f>IFERROR(VLOOKUP(A149,Items[],3,0),0)</f>
        <v>158.22999999999999</v>
      </c>
      <c r="Q149" s="41">
        <f>IFERROR(VLOOKUP($A149,Federal[],2,0),0)</f>
        <v>8672.1</v>
      </c>
      <c r="R149" s="41">
        <f>IFERROR(VLOOKUP($A149,Federal[],4,0),0)</f>
        <v>623018.63</v>
      </c>
      <c r="S149" s="41"/>
      <c r="T149" s="47">
        <f>IFERROR(VLOOKUP($A149,Program[],3,0),0)</f>
        <v>0</v>
      </c>
      <c r="U149" s="47"/>
      <c r="V149" s="41">
        <f>IFERROR(VLOOKUP($A149,Program[],4,0),0)</f>
        <v>0</v>
      </c>
      <c r="W149" s="41">
        <f>IFERROR(VLOOKUP($A149,Program[],5,0),0)</f>
        <v>0</v>
      </c>
      <c r="X149" s="41"/>
      <c r="Y149" s="41"/>
      <c r="Z149" s="41"/>
      <c r="AA149" s="41">
        <f>IFERROR(VLOOKUP($A149,Program[],6,0),0)</f>
        <v>0</v>
      </c>
      <c r="AB149" s="41"/>
      <c r="AC149" s="41"/>
      <c r="AD149" s="41">
        <f>IFERROR(VLOOKUP($A149,Program[],7,0),0)</f>
        <v>0</v>
      </c>
      <c r="AE149" s="41">
        <f>IFERROR(VLOOKUP($A149,Program[],8,0),0)</f>
        <v>0</v>
      </c>
      <c r="AF149" s="41">
        <f>IFERROR(VLOOKUP($A149,Program[],9,0),0)</f>
        <v>0</v>
      </c>
      <c r="AG149" s="41">
        <f>IFERROR(VLOOKUP($A149,Program[],10,0),0)</f>
        <v>0</v>
      </c>
      <c r="AH149" s="41">
        <f>IFERROR(VLOOKUP($A149,Program[],11,0),0)</f>
        <v>0</v>
      </c>
      <c r="AI149" s="41">
        <f>IFERROR(VLOOKUP($A149,Program[],12,0),0)</f>
        <v>0</v>
      </c>
      <c r="AJ149" s="41"/>
      <c r="AK149" s="41">
        <f>IFERROR(VLOOKUP($A149,Program[],13,0),0)</f>
        <v>0</v>
      </c>
      <c r="AL149" s="41"/>
      <c r="AM149" s="41"/>
      <c r="AN149" s="41"/>
      <c r="AO149" s="41"/>
      <c r="AP149" s="41"/>
      <c r="AQ149" s="41"/>
      <c r="AR149" s="41"/>
      <c r="AS149" s="41">
        <f>IFERROR(VLOOKUP($A149,Program[],14,0),0)</f>
        <v>0</v>
      </c>
      <c r="AT149" s="41"/>
      <c r="AU149" s="41"/>
      <c r="AV149" s="41">
        <f>IFERROR(VLOOKUP($A149,Program[],15,0),0)</f>
        <v>0</v>
      </c>
      <c r="AW149" s="41"/>
      <c r="AX149" s="41">
        <f>IFERROR(VLOOKUP($A149,Program[],16,0),0)</f>
        <v>0</v>
      </c>
      <c r="AY149" s="41">
        <f>IFERROR(VLOOKUP($A149,Program[],17,0),0)</f>
        <v>0</v>
      </c>
      <c r="AZ149" s="41">
        <f>IFERROR(VLOOKUP($A149,Program[],18,0),0)</f>
        <v>0</v>
      </c>
      <c r="BA149" s="41">
        <f>IFERROR(VLOOKUP($A149,Program[],19,0),0)</f>
        <v>0</v>
      </c>
      <c r="BB149" s="77">
        <f t="shared" si="44"/>
        <v>0</v>
      </c>
      <c r="BC149" s="41">
        <f>IFERROR(VLOOKUP(A149,Food[],3,0),0)</f>
        <v>320828</v>
      </c>
      <c r="BD149" s="41">
        <f>IFERROR(VLOOKUP($A149,FoodRev[],2,0),0)</f>
        <v>23933.85</v>
      </c>
      <c r="BE149" s="41">
        <f>IFERROR(VLOOKUP($A149,FoodRev[],3,0),0)</f>
        <v>106408.02</v>
      </c>
      <c r="BF149" s="41">
        <f>IFERROR(VLOOKUP($A149,FoodRev[],4,0),0)</f>
        <v>0</v>
      </c>
      <c r="BG149" s="41">
        <f>IFERROR(VLOOKUP($A149,FoodRev[],5,0),0)</f>
        <v>167363.74</v>
      </c>
      <c r="BH149" s="41">
        <f>IFERROR(VLOOKUP($A149,FoodRev[],6,0),0)</f>
        <v>0</v>
      </c>
      <c r="BI149" s="41">
        <f>IFERROR(VLOOKUP($A149,FoodRev[],7,0),0)</f>
        <v>0</v>
      </c>
      <c r="BJ149" s="41">
        <f>IFERROR(VLOOKUP($A149,FoodRev[],8,0),0)</f>
        <v>25030.61</v>
      </c>
      <c r="BK149" s="41">
        <f>IFERROR(VLOOKUP($A149,FoodRev[],9,0),0)</f>
        <v>0</v>
      </c>
      <c r="BL149" s="41">
        <f>IFERROR(VLOOKUP($A149,FoodRev[],10,0),0)</f>
        <v>0</v>
      </c>
      <c r="BM149" s="41">
        <f t="shared" si="45"/>
        <v>322736.21999999997</v>
      </c>
      <c r="BN149" s="42">
        <f t="shared" si="33"/>
        <v>-1908.2199999999866</v>
      </c>
      <c r="BO149" s="78">
        <f t="shared" si="40"/>
        <v>0</v>
      </c>
      <c r="BP149" s="78">
        <f t="shared" si="41"/>
        <v>-1908.2199999999866</v>
      </c>
    </row>
    <row r="150" spans="1:68" x14ac:dyDescent="0.25">
      <c r="A150" s="40" t="s">
        <v>570</v>
      </c>
      <c r="B150" s="40" t="s">
        <v>835</v>
      </c>
      <c r="D150" s="203">
        <f t="shared" si="42"/>
        <v>0</v>
      </c>
      <c r="E150" s="41">
        <f>IFERROR(VLOOKUP(A150,Items[],5,0),0)</f>
        <v>1131236.32</v>
      </c>
      <c r="F150" s="42">
        <f t="shared" si="43"/>
        <v>1131236.32</v>
      </c>
      <c r="G150" s="41">
        <v>0</v>
      </c>
      <c r="H150" s="41">
        <f>IFERROR(VLOOKUP(A150,Items[],4,0),0)</f>
        <v>1253391.49</v>
      </c>
      <c r="I150" s="41">
        <f>IFERROR(VLOOKUP(A150,Community[],4,0),0)</f>
        <v>0</v>
      </c>
      <c r="J150" s="41">
        <f>IFERROR(VLOOKUP(A150,Community[],5,0),0)</f>
        <v>0</v>
      </c>
      <c r="K150" s="41">
        <f>IFERROR(VLOOKUP(A150,Community[],6,0),0)</f>
        <v>0</v>
      </c>
      <c r="L150" s="41">
        <f>IFERROR(VLOOKUP(A150,Community[],7,0),0)</f>
        <v>0</v>
      </c>
      <c r="M150" s="41">
        <f>IFERROR(VLOOKUP(A150,Debt[],3,0),0)</f>
        <v>0</v>
      </c>
      <c r="N150" s="41">
        <f>IFERROR(VLOOKUP(A150,Debt[],4,0),0)</f>
        <v>6248.23</v>
      </c>
      <c r="O150" s="41">
        <f>IFERROR(VLOOKUP(A150,Debt[],5,0),0)</f>
        <v>0</v>
      </c>
      <c r="P150" s="41">
        <f>IFERROR(VLOOKUP(A150,Items[],3,0),0)</f>
        <v>0</v>
      </c>
      <c r="Q150" s="41">
        <f>IFERROR(VLOOKUP($A150,Federal[],2,0),0)</f>
        <v>588.71</v>
      </c>
      <c r="R150" s="41">
        <f>IFERROR(VLOOKUP($A150,Federal[],4,0),0)</f>
        <v>115146.23</v>
      </c>
      <c r="S150" s="41"/>
      <c r="T150" s="47">
        <f>IFERROR(VLOOKUP($A150,Program[],3,0),0)</f>
        <v>0</v>
      </c>
      <c r="U150" s="47"/>
      <c r="V150" s="41">
        <f>IFERROR(VLOOKUP($A150,Program[],4,0),0)</f>
        <v>0</v>
      </c>
      <c r="W150" s="41">
        <f>IFERROR(VLOOKUP($A150,Program[],5,0),0)</f>
        <v>0</v>
      </c>
      <c r="X150" s="41"/>
      <c r="Y150" s="41"/>
      <c r="Z150" s="41"/>
      <c r="AA150" s="41">
        <f>IFERROR(VLOOKUP($A150,Program[],6,0),0)</f>
        <v>0</v>
      </c>
      <c r="AB150" s="41"/>
      <c r="AC150" s="41"/>
      <c r="AD150" s="41">
        <f>IFERROR(VLOOKUP($A150,Program[],7,0),0)</f>
        <v>0</v>
      </c>
      <c r="AE150" s="41">
        <f>IFERROR(VLOOKUP($A150,Program[],8,0),0)</f>
        <v>0</v>
      </c>
      <c r="AF150" s="41">
        <f>IFERROR(VLOOKUP($A150,Program[],9,0),0)</f>
        <v>0</v>
      </c>
      <c r="AG150" s="41">
        <f>IFERROR(VLOOKUP($A150,Program[],10,0),0)</f>
        <v>0</v>
      </c>
      <c r="AH150" s="41">
        <f>IFERROR(VLOOKUP($A150,Program[],11,0),0)</f>
        <v>0</v>
      </c>
      <c r="AI150" s="41">
        <f>IFERROR(VLOOKUP($A150,Program[],12,0),0)</f>
        <v>0</v>
      </c>
      <c r="AJ150" s="41"/>
      <c r="AK150" s="41">
        <f>IFERROR(VLOOKUP($A150,Program[],13,0),0)</f>
        <v>0</v>
      </c>
      <c r="AL150" s="41"/>
      <c r="AM150" s="41"/>
      <c r="AN150" s="41"/>
      <c r="AO150" s="41"/>
      <c r="AP150" s="41"/>
      <c r="AQ150" s="41"/>
      <c r="AR150" s="41"/>
      <c r="AS150" s="41">
        <f>IFERROR(VLOOKUP($A150,Program[],14,0),0)</f>
        <v>0</v>
      </c>
      <c r="AT150" s="41"/>
      <c r="AU150" s="41"/>
      <c r="AV150" s="41">
        <f>IFERROR(VLOOKUP($A150,Program[],15,0),0)</f>
        <v>0</v>
      </c>
      <c r="AW150" s="41"/>
      <c r="AX150" s="41">
        <f>IFERROR(VLOOKUP($A150,Program[],16,0),0)</f>
        <v>0</v>
      </c>
      <c r="AY150" s="41">
        <f>IFERROR(VLOOKUP($A150,Program[],17,0),0)</f>
        <v>0</v>
      </c>
      <c r="AZ150" s="41">
        <f>IFERROR(VLOOKUP($A150,Program[],18,0),0)</f>
        <v>0</v>
      </c>
      <c r="BA150" s="41">
        <f>IFERROR(VLOOKUP($A150,Program[],19,0),0)</f>
        <v>0</v>
      </c>
      <c r="BB150" s="77">
        <f t="shared" si="44"/>
        <v>52807.939999999995</v>
      </c>
      <c r="BC150" s="41">
        <f>IFERROR(VLOOKUP(A150,Food[],3,0),0)</f>
        <v>52979.939999999995</v>
      </c>
      <c r="BD150" s="41">
        <f>IFERROR(VLOOKUP($A150,FoodRev[],2,0),0)</f>
        <v>172</v>
      </c>
      <c r="BE150" s="41">
        <f>IFERROR(VLOOKUP($A150,FoodRev[],3,0),0)</f>
        <v>0</v>
      </c>
      <c r="BF150" s="41">
        <f>IFERROR(VLOOKUP($A150,FoodRev[],4,0),0)</f>
        <v>0</v>
      </c>
      <c r="BG150" s="41">
        <f>IFERROR(VLOOKUP($A150,FoodRev[],5,0),0)</f>
        <v>0</v>
      </c>
      <c r="BH150" s="41">
        <f>IFERROR(VLOOKUP($A150,FoodRev[],6,0),0)</f>
        <v>0</v>
      </c>
      <c r="BI150" s="41">
        <f>IFERROR(VLOOKUP($A150,FoodRev[],7,0),0)</f>
        <v>0</v>
      </c>
      <c r="BJ150" s="41">
        <f>IFERROR(VLOOKUP($A150,FoodRev[],8,0),0)</f>
        <v>0</v>
      </c>
      <c r="BK150" s="41">
        <f>IFERROR(VLOOKUP($A150,FoodRev[],9,0),0)</f>
        <v>0</v>
      </c>
      <c r="BL150" s="41">
        <f>IFERROR(VLOOKUP($A150,FoodRev[],10,0),0)</f>
        <v>0</v>
      </c>
      <c r="BM150" s="41">
        <f t="shared" si="45"/>
        <v>172</v>
      </c>
      <c r="BN150" s="42">
        <f t="shared" si="33"/>
        <v>52807.939999999995</v>
      </c>
      <c r="BO150" s="78">
        <f t="shared" si="40"/>
        <v>52807.939999999995</v>
      </c>
      <c r="BP150" s="78">
        <f t="shared" si="41"/>
        <v>0</v>
      </c>
    </row>
    <row r="151" spans="1:68" x14ac:dyDescent="0.25">
      <c r="A151" s="40" t="s">
        <v>384</v>
      </c>
      <c r="B151" s="40" t="s">
        <v>836</v>
      </c>
      <c r="D151" s="203">
        <f t="shared" si="42"/>
        <v>-1.862645149230957E-9</v>
      </c>
      <c r="E151" s="41">
        <f>IFERROR(VLOOKUP(A151,Items[],5,0),0)</f>
        <v>11071272.98</v>
      </c>
      <c r="F151" s="42">
        <f t="shared" si="43"/>
        <v>11071272.980000002</v>
      </c>
      <c r="G151" s="41">
        <v>0</v>
      </c>
      <c r="H151" s="41">
        <f>IFERROR(VLOOKUP(A151,Items[],4,0),0)</f>
        <v>12243078.380000001</v>
      </c>
      <c r="I151" s="41">
        <f>IFERROR(VLOOKUP(A151,Community[],4,0),0)</f>
        <v>0</v>
      </c>
      <c r="J151" s="41">
        <f>IFERROR(VLOOKUP(A151,Community[],5,0),0)</f>
        <v>0</v>
      </c>
      <c r="K151" s="41">
        <f>IFERROR(VLOOKUP(A151,Community[],6,0),0)</f>
        <v>0</v>
      </c>
      <c r="L151" s="41">
        <f>IFERROR(VLOOKUP(A151,Community[],7,0),0)</f>
        <v>264.41000000000003</v>
      </c>
      <c r="M151" s="41">
        <f>IFERROR(VLOOKUP(A151,Debt[],3,0),0)</f>
        <v>980</v>
      </c>
      <c r="N151" s="41">
        <f>IFERROR(VLOOKUP(A151,Debt[],4,0),0)</f>
        <v>11956</v>
      </c>
      <c r="O151" s="41">
        <f>IFERROR(VLOOKUP(A151,Debt[],5,0),0)</f>
        <v>0</v>
      </c>
      <c r="P151" s="41">
        <f>IFERROR(VLOOKUP(A151,Items[],3,0),0)</f>
        <v>168628.36</v>
      </c>
      <c r="Q151" s="41">
        <f>IFERROR(VLOOKUP($A151,Federal[],2,0),0)</f>
        <v>6766.02</v>
      </c>
      <c r="R151" s="41">
        <f>IFERROR(VLOOKUP($A151,Federal[],4,0),0)</f>
        <v>917362.22</v>
      </c>
      <c r="S151" s="41"/>
      <c r="T151" s="47">
        <f>IFERROR(VLOOKUP($A151,Program[],3,0),0)</f>
        <v>0</v>
      </c>
      <c r="U151" s="47"/>
      <c r="V151" s="41">
        <f>IFERROR(VLOOKUP($A151,Program[],4,0),0)</f>
        <v>0</v>
      </c>
      <c r="W151" s="41">
        <f>IFERROR(VLOOKUP($A151,Program[],5,0),0)</f>
        <v>0</v>
      </c>
      <c r="X151" s="41"/>
      <c r="Y151" s="41"/>
      <c r="Z151" s="41"/>
      <c r="AA151" s="41">
        <f>IFERROR(VLOOKUP($A151,Program[],6,0),0)</f>
        <v>0</v>
      </c>
      <c r="AB151" s="41"/>
      <c r="AC151" s="41"/>
      <c r="AD151" s="41">
        <f>IFERROR(VLOOKUP($A151,Program[],7,0),0)</f>
        <v>24812.11</v>
      </c>
      <c r="AE151" s="41">
        <f>IFERROR(VLOOKUP($A151,Program[],8,0),0)</f>
        <v>0</v>
      </c>
      <c r="AF151" s="41">
        <f>IFERROR(VLOOKUP($A151,Program[],9,0),0)</f>
        <v>0</v>
      </c>
      <c r="AG151" s="41">
        <f>IFERROR(VLOOKUP($A151,Program[],10,0),0)</f>
        <v>0</v>
      </c>
      <c r="AH151" s="41">
        <f>IFERROR(VLOOKUP($A151,Program[],11,0),0)</f>
        <v>0</v>
      </c>
      <c r="AI151" s="41">
        <f>IFERROR(VLOOKUP($A151,Program[],12,0),0)</f>
        <v>0</v>
      </c>
      <c r="AJ151" s="41"/>
      <c r="AK151" s="41">
        <f>IFERROR(VLOOKUP($A151,Program[],13,0),0)</f>
        <v>0</v>
      </c>
      <c r="AL151" s="41"/>
      <c r="AM151" s="41"/>
      <c r="AN151" s="41"/>
      <c r="AO151" s="41"/>
      <c r="AP151" s="41"/>
      <c r="AQ151" s="41"/>
      <c r="AR151" s="41"/>
      <c r="AS151" s="41">
        <f>IFERROR(VLOOKUP($A151,Program[],14,0),0)</f>
        <v>0</v>
      </c>
      <c r="AT151" s="41"/>
      <c r="AU151" s="41"/>
      <c r="AV151" s="41">
        <f>IFERROR(VLOOKUP($A151,Program[],15,0),0)</f>
        <v>0</v>
      </c>
      <c r="AW151" s="41"/>
      <c r="AX151" s="41">
        <f>IFERROR(VLOOKUP($A151,Program[],16,0),0)</f>
        <v>0</v>
      </c>
      <c r="AY151" s="41">
        <f>IFERROR(VLOOKUP($A151,Program[],17,0),0)</f>
        <v>0</v>
      </c>
      <c r="AZ151" s="41">
        <f>IFERROR(VLOOKUP($A151,Program[],18,0),0)</f>
        <v>0</v>
      </c>
      <c r="BA151" s="41">
        <f>IFERROR(VLOOKUP($A151,Program[],19,0),0)</f>
        <v>5486.55</v>
      </c>
      <c r="BB151" s="77">
        <f t="shared" si="44"/>
        <v>25564.399999999972</v>
      </c>
      <c r="BC151" s="41">
        <f>IFERROR(VLOOKUP(A151,Food[],3,0),0)</f>
        <v>482859.20999999996</v>
      </c>
      <c r="BD151" s="41">
        <f>IFERROR(VLOOKUP($A151,FoodRev[],2,0),0)</f>
        <v>5049.3500000000004</v>
      </c>
      <c r="BE151" s="41">
        <f>IFERROR(VLOOKUP($A151,FoodRev[],3,0),0)</f>
        <v>91097.7</v>
      </c>
      <c r="BF151" s="41">
        <f>IFERROR(VLOOKUP($A151,FoodRev[],4,0),0)</f>
        <v>0</v>
      </c>
      <c r="BG151" s="41">
        <f>IFERROR(VLOOKUP($A151,FoodRev[],5,0),0)</f>
        <v>312447.94</v>
      </c>
      <c r="BH151" s="41">
        <f>IFERROR(VLOOKUP($A151,FoodRev[],6,0),0)</f>
        <v>0</v>
      </c>
      <c r="BI151" s="41">
        <f>IFERROR(VLOOKUP($A151,FoodRev[],7,0),0)</f>
        <v>0</v>
      </c>
      <c r="BJ151" s="41">
        <f>IFERROR(VLOOKUP($A151,FoodRev[],8,0),0)</f>
        <v>48699.82</v>
      </c>
      <c r="BK151" s="41">
        <f>IFERROR(VLOOKUP($A151,FoodRev[],9,0),0)</f>
        <v>0</v>
      </c>
      <c r="BL151" s="41">
        <f>IFERROR(VLOOKUP($A151,FoodRev[],10,0),0)</f>
        <v>0</v>
      </c>
      <c r="BM151" s="41">
        <f t="shared" si="45"/>
        <v>457294.81</v>
      </c>
      <c r="BN151" s="42">
        <f t="shared" si="33"/>
        <v>25564.399999999972</v>
      </c>
      <c r="BO151" s="78">
        <f t="shared" si="40"/>
        <v>25564.399999999972</v>
      </c>
      <c r="BP151" s="78">
        <f t="shared" si="41"/>
        <v>0</v>
      </c>
    </row>
    <row r="152" spans="1:68" x14ac:dyDescent="0.25">
      <c r="A152" s="40" t="s">
        <v>420</v>
      </c>
      <c r="B152" s="40" t="s">
        <v>837</v>
      </c>
      <c r="D152" s="203">
        <f t="shared" si="42"/>
        <v>0</v>
      </c>
      <c r="E152" s="41">
        <f>IFERROR(VLOOKUP(A152,Items[],5,0),0)</f>
        <v>8750952.3599999994</v>
      </c>
      <c r="F152" s="42">
        <f t="shared" si="43"/>
        <v>8750952.3599999994</v>
      </c>
      <c r="G152" s="41">
        <v>0</v>
      </c>
      <c r="H152" s="41">
        <f>IFERROR(VLOOKUP(A152,Items[],4,0),0)</f>
        <v>9505627.5500000007</v>
      </c>
      <c r="I152" s="41">
        <f>IFERROR(VLOOKUP(A152,Community[],4,0),0)</f>
        <v>0</v>
      </c>
      <c r="J152" s="41">
        <f>IFERROR(VLOOKUP(A152,Community[],5,0),0)</f>
        <v>0</v>
      </c>
      <c r="K152" s="41">
        <f>IFERROR(VLOOKUP(A152,Community[],6,0),0)</f>
        <v>103000.48</v>
      </c>
      <c r="L152" s="41">
        <f>IFERROR(VLOOKUP(A152,Community[],7,0),0)</f>
        <v>0</v>
      </c>
      <c r="M152" s="41">
        <f>IFERROR(VLOOKUP(A152,Debt[],3,0),0)</f>
        <v>0</v>
      </c>
      <c r="N152" s="41">
        <f>IFERROR(VLOOKUP(A152,Debt[],4,0),0)</f>
        <v>13215.46</v>
      </c>
      <c r="O152" s="41">
        <f>IFERROR(VLOOKUP(A152,Debt[],5,0),0)</f>
        <v>0</v>
      </c>
      <c r="P152" s="41">
        <f>IFERROR(VLOOKUP(A152,Items[],3,0),0)</f>
        <v>11591.75</v>
      </c>
      <c r="Q152" s="41">
        <f>IFERROR(VLOOKUP($A152,Federal[],2,0),0)</f>
        <v>4573.0600000000004</v>
      </c>
      <c r="R152" s="41">
        <f>IFERROR(VLOOKUP($A152,Federal[],4,0),0)</f>
        <v>555207.43999999994</v>
      </c>
      <c r="S152" s="41"/>
      <c r="T152" s="47">
        <f>IFERROR(VLOOKUP($A152,Program[],3,0),0)</f>
        <v>0</v>
      </c>
      <c r="U152" s="47"/>
      <c r="V152" s="41">
        <f>IFERROR(VLOOKUP($A152,Program[],4,0),0)</f>
        <v>0</v>
      </c>
      <c r="W152" s="41">
        <f>IFERROR(VLOOKUP($A152,Program[],5,0),0)</f>
        <v>0</v>
      </c>
      <c r="X152" s="41"/>
      <c r="Y152" s="41"/>
      <c r="Z152" s="41"/>
      <c r="AA152" s="41">
        <f>IFERROR(VLOOKUP($A152,Program[],6,0),0)</f>
        <v>0</v>
      </c>
      <c r="AB152" s="41"/>
      <c r="AC152" s="41"/>
      <c r="AD152" s="41">
        <f>IFERROR(VLOOKUP($A152,Program[],7,0),0)</f>
        <v>0</v>
      </c>
      <c r="AE152" s="41">
        <f>IFERROR(VLOOKUP($A152,Program[],8,0),0)</f>
        <v>0</v>
      </c>
      <c r="AF152" s="41">
        <f>IFERROR(VLOOKUP($A152,Program[],9,0),0)</f>
        <v>0</v>
      </c>
      <c r="AG152" s="41">
        <f>IFERROR(VLOOKUP($A152,Program[],10,0),0)</f>
        <v>0</v>
      </c>
      <c r="AH152" s="41">
        <f>IFERROR(VLOOKUP($A152,Program[],11,0),0)</f>
        <v>0</v>
      </c>
      <c r="AI152" s="41">
        <f>IFERROR(VLOOKUP($A152,Program[],12,0),0)</f>
        <v>0</v>
      </c>
      <c r="AJ152" s="41"/>
      <c r="AK152" s="41">
        <f>IFERROR(VLOOKUP($A152,Program[],13,0),0)</f>
        <v>0</v>
      </c>
      <c r="AL152" s="41"/>
      <c r="AM152" s="41"/>
      <c r="AN152" s="41"/>
      <c r="AO152" s="41"/>
      <c r="AP152" s="41"/>
      <c r="AQ152" s="41"/>
      <c r="AR152" s="41"/>
      <c r="AS152" s="41">
        <f>IFERROR(VLOOKUP($A152,Program[],14,0),0)</f>
        <v>0</v>
      </c>
      <c r="AT152" s="41"/>
      <c r="AU152" s="41"/>
      <c r="AV152" s="41">
        <f>IFERROR(VLOOKUP($A152,Program[],15,0),0)</f>
        <v>0</v>
      </c>
      <c r="AW152" s="41"/>
      <c r="AX152" s="41">
        <f>IFERROR(VLOOKUP($A152,Program[],16,0),0)</f>
        <v>0</v>
      </c>
      <c r="AY152" s="41">
        <f>IFERROR(VLOOKUP($A152,Program[],17,0),0)</f>
        <v>0</v>
      </c>
      <c r="AZ152" s="41">
        <f>IFERROR(VLOOKUP($A152,Program[],18,0),0)</f>
        <v>0</v>
      </c>
      <c r="BA152" s="41">
        <f>IFERROR(VLOOKUP($A152,Program[],19,0),0)</f>
        <v>0</v>
      </c>
      <c r="BB152" s="77">
        <f t="shared" si="44"/>
        <v>0</v>
      </c>
      <c r="BC152" s="41">
        <f>IFERROR(VLOOKUP(A152,Food[],3,0),0)</f>
        <v>311180.5</v>
      </c>
      <c r="BD152" s="41">
        <f>IFERROR(VLOOKUP($A152,FoodRev[],2,0),0)</f>
        <v>3100.34</v>
      </c>
      <c r="BE152" s="41">
        <f>IFERROR(VLOOKUP($A152,FoodRev[],3,0),0)</f>
        <v>64577.96</v>
      </c>
      <c r="BF152" s="41">
        <f>IFERROR(VLOOKUP($A152,FoodRev[],4,0),0)</f>
        <v>0</v>
      </c>
      <c r="BG152" s="41">
        <f>IFERROR(VLOOKUP($A152,FoodRev[],5,0),0)</f>
        <v>238001.09</v>
      </c>
      <c r="BH152" s="41">
        <f>IFERROR(VLOOKUP($A152,FoodRev[],6,0),0)</f>
        <v>0</v>
      </c>
      <c r="BI152" s="41">
        <f>IFERROR(VLOOKUP($A152,FoodRev[],7,0),0)</f>
        <v>0</v>
      </c>
      <c r="BJ152" s="41">
        <f>IFERROR(VLOOKUP($A152,FoodRev[],8,0),0)</f>
        <v>6092.41</v>
      </c>
      <c r="BK152" s="41">
        <f>IFERROR(VLOOKUP($A152,FoodRev[],9,0),0)</f>
        <v>0</v>
      </c>
      <c r="BL152" s="41">
        <f>IFERROR(VLOOKUP($A152,FoodRev[],10,0),0)</f>
        <v>0</v>
      </c>
      <c r="BM152" s="41">
        <f t="shared" si="45"/>
        <v>311771.8</v>
      </c>
      <c r="BN152" s="42">
        <f t="shared" si="33"/>
        <v>-591.30000000001382</v>
      </c>
      <c r="BO152" s="78">
        <f t="shared" si="40"/>
        <v>0</v>
      </c>
      <c r="BP152" s="78">
        <f t="shared" si="41"/>
        <v>-591.30000000001382</v>
      </c>
    </row>
    <row r="153" spans="1:68" x14ac:dyDescent="0.25">
      <c r="A153" s="40" t="s">
        <v>354</v>
      </c>
      <c r="B153" s="40" t="s">
        <v>838</v>
      </c>
      <c r="D153" s="203">
        <f t="shared" si="42"/>
        <v>0</v>
      </c>
      <c r="E153" s="41">
        <f>IFERROR(VLOOKUP(A153,Items[],5,0),0)</f>
        <v>10547275.279999999</v>
      </c>
      <c r="F153" s="42">
        <f t="shared" si="43"/>
        <v>10547275.279999999</v>
      </c>
      <c r="G153" s="41">
        <v>0</v>
      </c>
      <c r="H153" s="41">
        <f>IFERROR(VLOOKUP(A153,Items[],4,0),0)</f>
        <v>11159464.779999999</v>
      </c>
      <c r="I153" s="41">
        <f>IFERROR(VLOOKUP(A153,Community[],4,0),0)</f>
        <v>0</v>
      </c>
      <c r="J153" s="41">
        <f>IFERROR(VLOOKUP(A153,Community[],5,0),0)</f>
        <v>0</v>
      </c>
      <c r="K153" s="41">
        <f>IFERROR(VLOOKUP(A153,Community[],6,0),0)</f>
        <v>0</v>
      </c>
      <c r="L153" s="41">
        <f>IFERROR(VLOOKUP(A153,Community[],7,0),0)</f>
        <v>0</v>
      </c>
      <c r="M153" s="41">
        <f>IFERROR(VLOOKUP(A153,Debt[],3,0),0)</f>
        <v>3720.13</v>
      </c>
      <c r="N153" s="41">
        <f>IFERROR(VLOOKUP(A153,Debt[],4,0),0)</f>
        <v>18232.669999999998</v>
      </c>
      <c r="O153" s="41">
        <f>IFERROR(VLOOKUP(A153,Debt[],5,0),0)</f>
        <v>0</v>
      </c>
      <c r="P153" s="41">
        <f>IFERROR(VLOOKUP(A153,Items[],3,0),0)</f>
        <v>0</v>
      </c>
      <c r="Q153" s="41">
        <f>IFERROR(VLOOKUP($A153,Federal[],2,0),0)</f>
        <v>6886.26</v>
      </c>
      <c r="R153" s="41">
        <f>IFERROR(VLOOKUP($A153,Federal[],4,0),0)</f>
        <v>385526.18</v>
      </c>
      <c r="S153" s="41"/>
      <c r="T153" s="47">
        <f>IFERROR(VLOOKUP($A153,Program[],3,0),0)</f>
        <v>0</v>
      </c>
      <c r="U153" s="47"/>
      <c r="V153" s="41">
        <f>IFERROR(VLOOKUP($A153,Program[],4,0),0)</f>
        <v>0</v>
      </c>
      <c r="W153" s="41">
        <f>IFERROR(VLOOKUP($A153,Program[],5,0),0)</f>
        <v>0</v>
      </c>
      <c r="X153" s="41"/>
      <c r="Y153" s="41"/>
      <c r="Z153" s="41"/>
      <c r="AA153" s="41">
        <f>IFERROR(VLOOKUP($A153,Program[],6,0),0)</f>
        <v>0</v>
      </c>
      <c r="AB153" s="41"/>
      <c r="AC153" s="41"/>
      <c r="AD153" s="41">
        <f>IFERROR(VLOOKUP($A153,Program[],7,0),0)</f>
        <v>0</v>
      </c>
      <c r="AE153" s="41">
        <f>IFERROR(VLOOKUP($A153,Program[],8,0),0)</f>
        <v>0</v>
      </c>
      <c r="AF153" s="41">
        <f>IFERROR(VLOOKUP($A153,Program[],9,0),0)</f>
        <v>0</v>
      </c>
      <c r="AG153" s="41">
        <f>IFERROR(VLOOKUP($A153,Program[],10,0),0)</f>
        <v>0</v>
      </c>
      <c r="AH153" s="41">
        <f>IFERROR(VLOOKUP($A153,Program[],11,0),0)</f>
        <v>0</v>
      </c>
      <c r="AI153" s="41">
        <f>IFERROR(VLOOKUP($A153,Program[],12,0),0)</f>
        <v>0</v>
      </c>
      <c r="AJ153" s="41"/>
      <c r="AK153" s="41">
        <f>IFERROR(VLOOKUP($A153,Program[],13,0),0)</f>
        <v>0</v>
      </c>
      <c r="AL153" s="41"/>
      <c r="AM153" s="41"/>
      <c r="AN153" s="41"/>
      <c r="AO153" s="41"/>
      <c r="AP153" s="41"/>
      <c r="AQ153" s="41"/>
      <c r="AR153" s="41"/>
      <c r="AS153" s="41">
        <f>IFERROR(VLOOKUP($A153,Program[],14,0),0)</f>
        <v>0</v>
      </c>
      <c r="AT153" s="41"/>
      <c r="AU153" s="41"/>
      <c r="AV153" s="41">
        <f>IFERROR(VLOOKUP($A153,Program[],15,0),0)</f>
        <v>0</v>
      </c>
      <c r="AW153" s="41"/>
      <c r="AX153" s="41">
        <f>IFERROR(VLOOKUP($A153,Program[],16,0),0)</f>
        <v>0</v>
      </c>
      <c r="AY153" s="41">
        <f>IFERROR(VLOOKUP($A153,Program[],17,0),0)</f>
        <v>0</v>
      </c>
      <c r="AZ153" s="41">
        <f>IFERROR(VLOOKUP($A153,Program[],18,0),0)</f>
        <v>0</v>
      </c>
      <c r="BA153" s="41">
        <f>IFERROR(VLOOKUP($A153,Program[],19,0),0)</f>
        <v>0</v>
      </c>
      <c r="BB153" s="77">
        <f t="shared" si="44"/>
        <v>124453.44</v>
      </c>
      <c r="BC153" s="41">
        <f>IFERROR(VLOOKUP(A153,Food[],3,0),0)</f>
        <v>453328.69</v>
      </c>
      <c r="BD153" s="41">
        <f>IFERROR(VLOOKUP($A153,FoodRev[],2,0),0)</f>
        <v>192239.16</v>
      </c>
      <c r="BE153" s="41">
        <f>IFERROR(VLOOKUP($A153,FoodRev[],3,0),0)</f>
        <v>5585.1</v>
      </c>
      <c r="BF153" s="41">
        <f>IFERROR(VLOOKUP($A153,FoodRev[],4,0),0)</f>
        <v>0</v>
      </c>
      <c r="BG153" s="41">
        <f>IFERROR(VLOOKUP($A153,FoodRev[],5,0),0)</f>
        <v>109921.49</v>
      </c>
      <c r="BH153" s="41">
        <f>IFERROR(VLOOKUP($A153,FoodRev[],6,0),0)</f>
        <v>0</v>
      </c>
      <c r="BI153" s="41">
        <f>IFERROR(VLOOKUP($A153,FoodRev[],7,0),0)</f>
        <v>0</v>
      </c>
      <c r="BJ153" s="41">
        <f>IFERROR(VLOOKUP($A153,FoodRev[],8,0),0)</f>
        <v>21129.5</v>
      </c>
      <c r="BK153" s="41">
        <f>IFERROR(VLOOKUP($A153,FoodRev[],9,0),0)</f>
        <v>0</v>
      </c>
      <c r="BL153" s="41">
        <f>IFERROR(VLOOKUP($A153,FoodRev[],10,0),0)</f>
        <v>0</v>
      </c>
      <c r="BM153" s="41">
        <f t="shared" si="45"/>
        <v>328875.25</v>
      </c>
      <c r="BN153" s="42">
        <f t="shared" si="33"/>
        <v>124453.44</v>
      </c>
      <c r="BO153" s="78">
        <f t="shared" si="40"/>
        <v>124453.44</v>
      </c>
      <c r="BP153" s="78">
        <f t="shared" si="41"/>
        <v>0</v>
      </c>
    </row>
    <row r="154" spans="1:68" x14ac:dyDescent="0.25">
      <c r="A154" s="40" t="s">
        <v>340</v>
      </c>
      <c r="B154" s="40" t="s">
        <v>839</v>
      </c>
      <c r="D154" s="203">
        <f t="shared" si="42"/>
        <v>-1.862645149230957E-9</v>
      </c>
      <c r="E154" s="41">
        <f>IFERROR(VLOOKUP(A154,Items[],5,0),0)</f>
        <v>16189271.24</v>
      </c>
      <c r="F154" s="42">
        <f t="shared" si="43"/>
        <v>16189271.240000002</v>
      </c>
      <c r="G154" s="41">
        <v>0</v>
      </c>
      <c r="H154" s="41">
        <f>IFERROR(VLOOKUP(A154,Items[],4,0),0)</f>
        <v>17821254.690000001</v>
      </c>
      <c r="I154" s="41">
        <f>IFERROR(VLOOKUP(A154,Community[],4,0),0)</f>
        <v>0</v>
      </c>
      <c r="J154" s="41">
        <f>IFERROR(VLOOKUP(A154,Community[],5,0),0)</f>
        <v>0</v>
      </c>
      <c r="K154" s="41">
        <f>IFERROR(VLOOKUP(A154,Community[],6,0),0)</f>
        <v>270815.53999999998</v>
      </c>
      <c r="L154" s="41">
        <f>IFERROR(VLOOKUP(A154,Community[],7,0),0)</f>
        <v>0</v>
      </c>
      <c r="M154" s="41">
        <f>IFERROR(VLOOKUP(A154,Debt[],3,0),0)</f>
        <v>0</v>
      </c>
      <c r="N154" s="41">
        <f>IFERROR(VLOOKUP(A154,Debt[],4,0),0)</f>
        <v>18084</v>
      </c>
      <c r="O154" s="41">
        <f>IFERROR(VLOOKUP(A154,Debt[],5,0),0)</f>
        <v>0</v>
      </c>
      <c r="P154" s="41">
        <f>IFERROR(VLOOKUP(A154,Items[],3,0),0)</f>
        <v>25341</v>
      </c>
      <c r="Q154" s="41">
        <f>IFERROR(VLOOKUP($A154,Federal[],2,0),0)</f>
        <v>8105.46</v>
      </c>
      <c r="R154" s="41">
        <f>IFERROR(VLOOKUP($A154,Federal[],4,0),0)</f>
        <v>1426591.79</v>
      </c>
      <c r="S154" s="41"/>
      <c r="T154" s="47">
        <f>IFERROR(VLOOKUP($A154,Program[],3,0),0)</f>
        <v>0</v>
      </c>
      <c r="U154" s="47"/>
      <c r="V154" s="41">
        <f>IFERROR(VLOOKUP($A154,Program[],4,0),0)</f>
        <v>0</v>
      </c>
      <c r="W154" s="41">
        <f>IFERROR(VLOOKUP($A154,Program[],5,0),0)</f>
        <v>0</v>
      </c>
      <c r="X154" s="41"/>
      <c r="Y154" s="41"/>
      <c r="Z154" s="41"/>
      <c r="AA154" s="41">
        <f>IFERROR(VLOOKUP($A154,Program[],6,0),0)</f>
        <v>0</v>
      </c>
      <c r="AB154" s="41"/>
      <c r="AC154" s="41"/>
      <c r="AD154" s="41">
        <f>IFERROR(VLOOKUP($A154,Program[],7,0),0)</f>
        <v>0</v>
      </c>
      <c r="AE154" s="41">
        <f>IFERROR(VLOOKUP($A154,Program[],8,0),0)</f>
        <v>0</v>
      </c>
      <c r="AF154" s="41">
        <f>IFERROR(VLOOKUP($A154,Program[],9,0),0)</f>
        <v>0</v>
      </c>
      <c r="AG154" s="41">
        <f>IFERROR(VLOOKUP($A154,Program[],10,0),0)</f>
        <v>0</v>
      </c>
      <c r="AH154" s="41">
        <f>IFERROR(VLOOKUP($A154,Program[],11,0),0)</f>
        <v>0</v>
      </c>
      <c r="AI154" s="41">
        <f>IFERROR(VLOOKUP($A154,Program[],12,0),0)</f>
        <v>0</v>
      </c>
      <c r="AJ154" s="41"/>
      <c r="AK154" s="41">
        <f>IFERROR(VLOOKUP($A154,Program[],13,0),0)</f>
        <v>0</v>
      </c>
      <c r="AL154" s="41"/>
      <c r="AM154" s="41"/>
      <c r="AN154" s="41"/>
      <c r="AO154" s="41"/>
      <c r="AP154" s="41"/>
      <c r="AQ154" s="41"/>
      <c r="AR154" s="41"/>
      <c r="AS154" s="41">
        <f>IFERROR(VLOOKUP($A154,Program[],14,0),0)</f>
        <v>0</v>
      </c>
      <c r="AT154" s="41"/>
      <c r="AU154" s="41"/>
      <c r="AV154" s="41">
        <f>IFERROR(VLOOKUP($A154,Program[],15,0),0)</f>
        <v>0</v>
      </c>
      <c r="AW154" s="41"/>
      <c r="AX154" s="41">
        <f>IFERROR(VLOOKUP($A154,Program[],16,0),0)</f>
        <v>0</v>
      </c>
      <c r="AY154" s="41">
        <f>IFERROR(VLOOKUP($A154,Program[],17,0),0)</f>
        <v>0</v>
      </c>
      <c r="AZ154" s="41">
        <f>IFERROR(VLOOKUP($A154,Program[],18,0),0)</f>
        <v>0</v>
      </c>
      <c r="BA154" s="41">
        <f>IFERROR(VLOOKUP($A154,Program[],19,0),0)</f>
        <v>23613.33</v>
      </c>
      <c r="BB154" s="77">
        <f t="shared" si="44"/>
        <v>0</v>
      </c>
      <c r="BC154" s="41">
        <f>IFERROR(VLOOKUP(A154,Food[],3,0),0)</f>
        <v>640790.89999999991</v>
      </c>
      <c r="BD154" s="41">
        <f>IFERROR(VLOOKUP($A154,FoodRev[],2,0),0)</f>
        <v>3659.05</v>
      </c>
      <c r="BE154" s="41">
        <f>IFERROR(VLOOKUP($A154,FoodRev[],3,0),0)</f>
        <v>65830.210000000006</v>
      </c>
      <c r="BF154" s="41">
        <f>IFERROR(VLOOKUP($A154,FoodRev[],4,0),0)</f>
        <v>0</v>
      </c>
      <c r="BG154" s="41">
        <f>IFERROR(VLOOKUP($A154,FoodRev[],5,0),0)</f>
        <v>687101.5</v>
      </c>
      <c r="BH154" s="41">
        <f>IFERROR(VLOOKUP($A154,FoodRev[],6,0),0)</f>
        <v>0</v>
      </c>
      <c r="BI154" s="41">
        <f>IFERROR(VLOOKUP($A154,FoodRev[],7,0),0)</f>
        <v>0</v>
      </c>
      <c r="BJ154" s="41">
        <f>IFERROR(VLOOKUP($A154,FoodRev[],8,0),0)</f>
        <v>47030.41</v>
      </c>
      <c r="BK154" s="41">
        <f>IFERROR(VLOOKUP($A154,FoodRev[],9,0),0)</f>
        <v>0</v>
      </c>
      <c r="BL154" s="41">
        <f>IFERROR(VLOOKUP($A154,FoodRev[],10,0),0)</f>
        <v>0</v>
      </c>
      <c r="BM154" s="41">
        <f t="shared" si="45"/>
        <v>803621.17</v>
      </c>
      <c r="BN154" s="42">
        <f t="shared" si="33"/>
        <v>-162830.27000000011</v>
      </c>
      <c r="BO154" s="78">
        <f t="shared" si="40"/>
        <v>0</v>
      </c>
      <c r="BP154" s="78">
        <f t="shared" si="41"/>
        <v>-162830.27000000011</v>
      </c>
    </row>
    <row r="155" spans="1:68" x14ac:dyDescent="0.25">
      <c r="A155" s="40" t="s">
        <v>526</v>
      </c>
      <c r="B155" s="40" t="s">
        <v>840</v>
      </c>
      <c r="D155" s="203">
        <f t="shared" si="42"/>
        <v>0</v>
      </c>
      <c r="E155" s="41">
        <f>IFERROR(VLOOKUP(A155,Items[],5,0),0)</f>
        <v>4896632.43</v>
      </c>
      <c r="F155" s="42">
        <f t="shared" si="43"/>
        <v>4896632.43</v>
      </c>
      <c r="G155" s="41">
        <v>0</v>
      </c>
      <c r="H155" s="41">
        <f>IFERROR(VLOOKUP(A155,Items[],4,0),0)</f>
        <v>5170477.26</v>
      </c>
      <c r="I155" s="41">
        <f>IFERROR(VLOOKUP(A155,Community[],4,0),0)</f>
        <v>0</v>
      </c>
      <c r="J155" s="41">
        <f>IFERROR(VLOOKUP(A155,Community[],5,0),0)</f>
        <v>0</v>
      </c>
      <c r="K155" s="41">
        <f>IFERROR(VLOOKUP(A155,Community[],6,0),0)</f>
        <v>49124.59</v>
      </c>
      <c r="L155" s="41">
        <f>IFERROR(VLOOKUP(A155,Community[],7,0),0)</f>
        <v>0</v>
      </c>
      <c r="M155" s="41">
        <f>IFERROR(VLOOKUP(A155,Debt[],3,0),0)</f>
        <v>0</v>
      </c>
      <c r="N155" s="41">
        <f>IFERROR(VLOOKUP(A155,Debt[],4,0),0)</f>
        <v>0</v>
      </c>
      <c r="O155" s="41">
        <f>IFERROR(VLOOKUP(A155,Debt[],5,0),0)</f>
        <v>0</v>
      </c>
      <c r="P155" s="41">
        <f>IFERROR(VLOOKUP(A155,Items[],3,0),0)</f>
        <v>0</v>
      </c>
      <c r="Q155" s="41">
        <f>IFERROR(VLOOKUP($A155,Federal[],2,0),0)</f>
        <v>988.36</v>
      </c>
      <c r="R155" s="41">
        <f>IFERROR(VLOOKUP($A155,Federal[],4,0),0)</f>
        <v>174047.47</v>
      </c>
      <c r="S155" s="41"/>
      <c r="T155" s="47">
        <f>IFERROR(VLOOKUP($A155,Program[],3,0),0)</f>
        <v>0</v>
      </c>
      <c r="U155" s="47"/>
      <c r="V155" s="41">
        <f>IFERROR(VLOOKUP($A155,Program[],4,0),0)</f>
        <v>0</v>
      </c>
      <c r="W155" s="41">
        <f>IFERROR(VLOOKUP($A155,Program[],5,0),0)</f>
        <v>0</v>
      </c>
      <c r="X155" s="41"/>
      <c r="Y155" s="41"/>
      <c r="Z155" s="41"/>
      <c r="AA155" s="41">
        <f>IFERROR(VLOOKUP($A155,Program[],6,0),0)</f>
        <v>0</v>
      </c>
      <c r="AB155" s="41"/>
      <c r="AC155" s="41"/>
      <c r="AD155" s="41">
        <f>IFERROR(VLOOKUP($A155,Program[],7,0),0)</f>
        <v>0</v>
      </c>
      <c r="AE155" s="41">
        <f>IFERROR(VLOOKUP($A155,Program[],8,0),0)</f>
        <v>0</v>
      </c>
      <c r="AF155" s="41">
        <f>IFERROR(VLOOKUP($A155,Program[],9,0),0)</f>
        <v>0</v>
      </c>
      <c r="AG155" s="41">
        <f>IFERROR(VLOOKUP($A155,Program[],10,0),0)</f>
        <v>0</v>
      </c>
      <c r="AH155" s="41">
        <f>IFERROR(VLOOKUP($A155,Program[],11,0),0)</f>
        <v>0</v>
      </c>
      <c r="AI155" s="41">
        <f>IFERROR(VLOOKUP($A155,Program[],12,0),0)</f>
        <v>0</v>
      </c>
      <c r="AJ155" s="41"/>
      <c r="AK155" s="41">
        <f>IFERROR(VLOOKUP($A155,Program[],13,0),0)</f>
        <v>0</v>
      </c>
      <c r="AL155" s="41"/>
      <c r="AM155" s="41"/>
      <c r="AN155" s="41"/>
      <c r="AO155" s="41"/>
      <c r="AP155" s="41"/>
      <c r="AQ155" s="41"/>
      <c r="AR155" s="41"/>
      <c r="AS155" s="41">
        <f>IFERROR(VLOOKUP($A155,Program[],14,0),0)</f>
        <v>0</v>
      </c>
      <c r="AT155" s="41"/>
      <c r="AU155" s="41"/>
      <c r="AV155" s="41">
        <f>IFERROR(VLOOKUP($A155,Program[],15,0),0)</f>
        <v>0</v>
      </c>
      <c r="AW155" s="41"/>
      <c r="AX155" s="41">
        <f>IFERROR(VLOOKUP($A155,Program[],16,0),0)</f>
        <v>0</v>
      </c>
      <c r="AY155" s="41">
        <f>IFERROR(VLOOKUP($A155,Program[],17,0),0)</f>
        <v>0</v>
      </c>
      <c r="AZ155" s="41">
        <f>IFERROR(VLOOKUP($A155,Program[],18,0),0)</f>
        <v>0</v>
      </c>
      <c r="BA155" s="41">
        <f>IFERROR(VLOOKUP($A155,Program[],19,0),0)</f>
        <v>0</v>
      </c>
      <c r="BB155" s="77">
        <f t="shared" si="44"/>
        <v>27603.57999999998</v>
      </c>
      <c r="BC155" s="41">
        <f>IFERROR(VLOOKUP(A155,Food[],3,0),0)</f>
        <v>116606.48999999999</v>
      </c>
      <c r="BD155" s="41">
        <f>IFERROR(VLOOKUP($A155,FoodRev[],2,0),0)</f>
        <v>740.5</v>
      </c>
      <c r="BE155" s="41">
        <f>IFERROR(VLOOKUP($A155,FoodRev[],3,0),0)</f>
        <v>47056.66</v>
      </c>
      <c r="BF155" s="41">
        <f>IFERROR(VLOOKUP($A155,FoodRev[],4,0),0)</f>
        <v>1887.25</v>
      </c>
      <c r="BG155" s="41">
        <f>IFERROR(VLOOKUP($A155,FoodRev[],5,0),0)</f>
        <v>29046.240000000002</v>
      </c>
      <c r="BH155" s="41">
        <f>IFERROR(VLOOKUP($A155,FoodRev[],6,0),0)</f>
        <v>0</v>
      </c>
      <c r="BI155" s="41">
        <f>IFERROR(VLOOKUP($A155,FoodRev[],7,0),0)</f>
        <v>6645.33</v>
      </c>
      <c r="BJ155" s="41">
        <f>IFERROR(VLOOKUP($A155,FoodRev[],8,0),0)</f>
        <v>3626.93</v>
      </c>
      <c r="BK155" s="41">
        <f>IFERROR(VLOOKUP($A155,FoodRev[],9,0),0)</f>
        <v>0</v>
      </c>
      <c r="BL155" s="41">
        <f>IFERROR(VLOOKUP($A155,FoodRev[],10,0),0)</f>
        <v>0</v>
      </c>
      <c r="BM155" s="41">
        <f t="shared" si="45"/>
        <v>89002.91</v>
      </c>
      <c r="BN155" s="42">
        <f t="shared" si="33"/>
        <v>27603.57999999998</v>
      </c>
      <c r="BO155" s="78">
        <f t="shared" si="40"/>
        <v>27603.57999999998</v>
      </c>
      <c r="BP155" s="78">
        <f t="shared" si="41"/>
        <v>0</v>
      </c>
    </row>
    <row r="156" spans="1:68" x14ac:dyDescent="0.25">
      <c r="A156" s="40" t="s">
        <v>330</v>
      </c>
      <c r="B156" s="40" t="s">
        <v>841</v>
      </c>
      <c r="D156" s="203">
        <f t="shared" si="42"/>
        <v>0</v>
      </c>
      <c r="E156" s="41">
        <f>IFERROR(VLOOKUP(A156,Items[],5,0),0)</f>
        <v>14556563.039999999</v>
      </c>
      <c r="F156" s="42">
        <f t="shared" si="43"/>
        <v>14556563.039999999</v>
      </c>
      <c r="G156" s="41">
        <v>0</v>
      </c>
      <c r="H156" s="41">
        <f>IFERROR(VLOOKUP(A156,Items[],4,0),0)</f>
        <v>15661876.59</v>
      </c>
      <c r="I156" s="41">
        <f>IFERROR(VLOOKUP(A156,Community[],4,0),0)</f>
        <v>0</v>
      </c>
      <c r="J156" s="41">
        <f>IFERROR(VLOOKUP(A156,Community[],5,0),0)</f>
        <v>0</v>
      </c>
      <c r="K156" s="41">
        <f>IFERROR(VLOOKUP(A156,Community[],6,0),0)</f>
        <v>0</v>
      </c>
      <c r="L156" s="41">
        <f>IFERROR(VLOOKUP(A156,Community[],7,0),0)</f>
        <v>0</v>
      </c>
      <c r="M156" s="41">
        <f>IFERROR(VLOOKUP(A156,Debt[],3,0),0)</f>
        <v>80.52</v>
      </c>
      <c r="N156" s="41">
        <f>IFERROR(VLOOKUP(A156,Debt[],4,0),0)</f>
        <v>32208</v>
      </c>
      <c r="O156" s="41">
        <f>IFERROR(VLOOKUP(A156,Debt[],5,0),0)</f>
        <v>0</v>
      </c>
      <c r="P156" s="41">
        <f>IFERROR(VLOOKUP(A156,Items[],3,0),0)</f>
        <v>0</v>
      </c>
      <c r="Q156" s="41">
        <f>IFERROR(VLOOKUP($A156,Federal[],2,0),0)</f>
        <v>9943.3799999999992</v>
      </c>
      <c r="R156" s="41">
        <f>IFERROR(VLOOKUP($A156,Federal[],4,0),0)</f>
        <v>856721.14</v>
      </c>
      <c r="S156" s="41"/>
      <c r="T156" s="47">
        <f>IFERROR(VLOOKUP($A156,Program[],3,0),0)</f>
        <v>0</v>
      </c>
      <c r="U156" s="47"/>
      <c r="V156" s="41">
        <f>IFERROR(VLOOKUP($A156,Program[],4,0),0)</f>
        <v>0</v>
      </c>
      <c r="W156" s="41">
        <f>IFERROR(VLOOKUP($A156,Program[],5,0),0)</f>
        <v>0</v>
      </c>
      <c r="X156" s="41"/>
      <c r="Y156" s="41"/>
      <c r="Z156" s="41"/>
      <c r="AA156" s="41">
        <f>IFERROR(VLOOKUP($A156,Program[],6,0),0)</f>
        <v>0</v>
      </c>
      <c r="AB156" s="41"/>
      <c r="AC156" s="41"/>
      <c r="AD156" s="41">
        <f>IFERROR(VLOOKUP($A156,Program[],7,0),0)</f>
        <v>0</v>
      </c>
      <c r="AE156" s="41">
        <f>IFERROR(VLOOKUP($A156,Program[],8,0),0)</f>
        <v>0</v>
      </c>
      <c r="AF156" s="41">
        <f>IFERROR(VLOOKUP($A156,Program[],9,0),0)</f>
        <v>0</v>
      </c>
      <c r="AG156" s="41">
        <f>IFERROR(VLOOKUP($A156,Program[],10,0),0)</f>
        <v>0</v>
      </c>
      <c r="AH156" s="41">
        <f>IFERROR(VLOOKUP($A156,Program[],11,0),0)</f>
        <v>0</v>
      </c>
      <c r="AI156" s="41">
        <f>IFERROR(VLOOKUP($A156,Program[],12,0),0)</f>
        <v>0</v>
      </c>
      <c r="AJ156" s="41"/>
      <c r="AK156" s="41">
        <f>IFERROR(VLOOKUP($A156,Program[],13,0),0)</f>
        <v>0</v>
      </c>
      <c r="AL156" s="41"/>
      <c r="AM156" s="41"/>
      <c r="AN156" s="41"/>
      <c r="AO156" s="41"/>
      <c r="AP156" s="41"/>
      <c r="AQ156" s="41"/>
      <c r="AR156" s="41"/>
      <c r="AS156" s="41">
        <f>IFERROR(VLOOKUP($A156,Program[],14,0),0)</f>
        <v>0</v>
      </c>
      <c r="AT156" s="41"/>
      <c r="AU156" s="41"/>
      <c r="AV156" s="41">
        <f>IFERROR(VLOOKUP($A156,Program[],15,0),0)</f>
        <v>0</v>
      </c>
      <c r="AW156" s="41"/>
      <c r="AX156" s="41">
        <f>IFERROR(VLOOKUP($A156,Program[],16,0),0)</f>
        <v>0</v>
      </c>
      <c r="AY156" s="41">
        <f>IFERROR(VLOOKUP($A156,Program[],17,0),0)</f>
        <v>0</v>
      </c>
      <c r="AZ156" s="41">
        <f>IFERROR(VLOOKUP($A156,Program[],18,0),0)</f>
        <v>0</v>
      </c>
      <c r="BA156" s="41">
        <f>IFERROR(VLOOKUP($A156,Program[],19,0),0)</f>
        <v>0</v>
      </c>
      <c r="BB156" s="77">
        <f t="shared" si="44"/>
        <v>11544.41999999994</v>
      </c>
      <c r="BC156" s="41">
        <f>IFERROR(VLOOKUP(A156,Food[],3,0),0)</f>
        <v>592758.81999999995</v>
      </c>
      <c r="BD156" s="41">
        <f>IFERROR(VLOOKUP($A156,FoodRev[],2,0),0)</f>
        <v>1773.65</v>
      </c>
      <c r="BE156" s="41">
        <f>IFERROR(VLOOKUP($A156,FoodRev[],3,0),0)</f>
        <v>204586.86</v>
      </c>
      <c r="BF156" s="41">
        <f>IFERROR(VLOOKUP($A156,FoodRev[],4,0),0)</f>
        <v>0</v>
      </c>
      <c r="BG156" s="41">
        <f>IFERROR(VLOOKUP($A156,FoodRev[],5,0),0)</f>
        <v>339287.75</v>
      </c>
      <c r="BH156" s="41">
        <f>IFERROR(VLOOKUP($A156,FoodRev[],6,0),0)</f>
        <v>0</v>
      </c>
      <c r="BI156" s="41">
        <f>IFERROR(VLOOKUP($A156,FoodRev[],7,0),0)</f>
        <v>0</v>
      </c>
      <c r="BJ156" s="41">
        <f>IFERROR(VLOOKUP($A156,FoodRev[],8,0),0)</f>
        <v>35566.14</v>
      </c>
      <c r="BK156" s="41">
        <f>IFERROR(VLOOKUP($A156,FoodRev[],9,0),0)</f>
        <v>0</v>
      </c>
      <c r="BL156" s="41">
        <f>IFERROR(VLOOKUP($A156,FoodRev[],10,0),0)</f>
        <v>0</v>
      </c>
      <c r="BM156" s="41">
        <f t="shared" si="45"/>
        <v>581214.4</v>
      </c>
      <c r="BN156" s="42">
        <f t="shared" si="33"/>
        <v>11544.41999999994</v>
      </c>
      <c r="BO156" s="78">
        <f t="shared" si="40"/>
        <v>11544.41999999994</v>
      </c>
      <c r="BP156" s="78">
        <f t="shared" si="41"/>
        <v>0</v>
      </c>
    </row>
    <row r="157" spans="1:68" x14ac:dyDescent="0.25">
      <c r="A157" s="40" t="s">
        <v>324</v>
      </c>
      <c r="B157" s="40" t="s">
        <v>842</v>
      </c>
      <c r="D157" s="203">
        <f t="shared" si="42"/>
        <v>0</v>
      </c>
      <c r="E157" s="41">
        <f>IFERROR(VLOOKUP(A157,Items[],5,0),0)</f>
        <v>13807514.029999999</v>
      </c>
      <c r="F157" s="42">
        <f t="shared" si="43"/>
        <v>13807514.029999999</v>
      </c>
      <c r="G157" s="41">
        <v>0</v>
      </c>
      <c r="H157" s="41">
        <f>IFERROR(VLOOKUP(A157,Items[],4,0),0)</f>
        <v>15345477.73</v>
      </c>
      <c r="I157" s="41">
        <f>IFERROR(VLOOKUP(A157,Community[],4,0),0)</f>
        <v>0</v>
      </c>
      <c r="J157" s="41">
        <f>IFERROR(VLOOKUP(A157,Community[],5,0),0)</f>
        <v>0</v>
      </c>
      <c r="K157" s="41">
        <f>IFERROR(VLOOKUP(A157,Community[],6,0),0)</f>
        <v>219176.88999999998</v>
      </c>
      <c r="L157" s="41">
        <f>IFERROR(VLOOKUP(A157,Community[],7,0),0)</f>
        <v>0</v>
      </c>
      <c r="M157" s="41">
        <f>IFERROR(VLOOKUP(A157,Debt[],3,0),0)</f>
        <v>0</v>
      </c>
      <c r="N157" s="41">
        <f>IFERROR(VLOOKUP(A157,Debt[],4,0),0)</f>
        <v>0</v>
      </c>
      <c r="O157" s="41">
        <f>IFERROR(VLOOKUP(A157,Debt[],5,0),0)</f>
        <v>0</v>
      </c>
      <c r="P157" s="41">
        <f>IFERROR(VLOOKUP(A157,Items[],3,0),0)</f>
        <v>29527.360000000001</v>
      </c>
      <c r="Q157" s="41">
        <f>IFERROR(VLOOKUP($A157,Federal[],2,0),0)</f>
        <v>9430.86</v>
      </c>
      <c r="R157" s="41">
        <f>IFERROR(VLOOKUP($A157,Federal[],4,0),0)</f>
        <v>1200945.6200000001</v>
      </c>
      <c r="S157" s="41"/>
      <c r="T157" s="47">
        <f>IFERROR(VLOOKUP($A157,Program[],3,0),0)</f>
        <v>0</v>
      </c>
      <c r="U157" s="47"/>
      <c r="V157" s="41">
        <f>IFERROR(VLOOKUP($A157,Program[],4,0),0)</f>
        <v>0</v>
      </c>
      <c r="W157" s="41">
        <f>IFERROR(VLOOKUP($A157,Program[],5,0),0)</f>
        <v>0</v>
      </c>
      <c r="X157" s="41"/>
      <c r="Y157" s="41"/>
      <c r="Z157" s="41"/>
      <c r="AA157" s="41">
        <f>IFERROR(VLOOKUP($A157,Program[],6,0),0)</f>
        <v>0</v>
      </c>
      <c r="AB157" s="41"/>
      <c r="AC157" s="41"/>
      <c r="AD157" s="41">
        <f>IFERROR(VLOOKUP($A157,Program[],7,0),0)</f>
        <v>0</v>
      </c>
      <c r="AE157" s="41">
        <f>IFERROR(VLOOKUP($A157,Program[],8,0),0)</f>
        <v>0</v>
      </c>
      <c r="AF157" s="41">
        <f>IFERROR(VLOOKUP($A157,Program[],9,0),0)</f>
        <v>0</v>
      </c>
      <c r="AG157" s="41">
        <f>IFERROR(VLOOKUP($A157,Program[],10,0),0)</f>
        <v>0</v>
      </c>
      <c r="AH157" s="41">
        <f>IFERROR(VLOOKUP($A157,Program[],11,0),0)</f>
        <v>0</v>
      </c>
      <c r="AI157" s="41">
        <f>IFERROR(VLOOKUP($A157,Program[],12,0),0)</f>
        <v>0</v>
      </c>
      <c r="AJ157" s="41"/>
      <c r="AK157" s="41">
        <f>IFERROR(VLOOKUP($A157,Program[],13,0),0)</f>
        <v>0</v>
      </c>
      <c r="AL157" s="41"/>
      <c r="AM157" s="41"/>
      <c r="AN157" s="41"/>
      <c r="AO157" s="41"/>
      <c r="AP157" s="41"/>
      <c r="AQ157" s="41"/>
      <c r="AR157" s="41"/>
      <c r="AS157" s="41">
        <f>IFERROR(VLOOKUP($A157,Program[],14,0),0)</f>
        <v>0</v>
      </c>
      <c r="AT157" s="41"/>
      <c r="AU157" s="41"/>
      <c r="AV157" s="41">
        <f>IFERROR(VLOOKUP($A157,Program[],15,0),0)</f>
        <v>0</v>
      </c>
      <c r="AW157" s="41"/>
      <c r="AX157" s="41">
        <f>IFERROR(VLOOKUP($A157,Program[],16,0),0)</f>
        <v>0</v>
      </c>
      <c r="AY157" s="41">
        <f>IFERROR(VLOOKUP($A157,Program[],17,0),0)</f>
        <v>10879.35</v>
      </c>
      <c r="AZ157" s="41">
        <f>IFERROR(VLOOKUP($A157,Program[],18,0),0)</f>
        <v>0</v>
      </c>
      <c r="BA157" s="41">
        <f>IFERROR(VLOOKUP($A157,Program[],19,0),0)</f>
        <v>0</v>
      </c>
      <c r="BB157" s="77">
        <f t="shared" si="44"/>
        <v>0</v>
      </c>
      <c r="BC157" s="41">
        <f>IFERROR(VLOOKUP(A157,Food[],3,0),0)</f>
        <v>624838.75000000012</v>
      </c>
      <c r="BD157" s="41">
        <f>IFERROR(VLOOKUP($A157,FoodRev[],2,0),0)</f>
        <v>10972.32</v>
      </c>
      <c r="BE157" s="41">
        <f>IFERROR(VLOOKUP($A157,FoodRev[],3,0),0)</f>
        <v>192154.71</v>
      </c>
      <c r="BF157" s="41">
        <f>IFERROR(VLOOKUP($A157,FoodRev[],4,0),0)</f>
        <v>0</v>
      </c>
      <c r="BG157" s="41">
        <f>IFERROR(VLOOKUP($A157,FoodRev[],5,0),0)</f>
        <v>445426.18</v>
      </c>
      <c r="BH157" s="41">
        <f>IFERROR(VLOOKUP($A157,FoodRev[],6,0),0)</f>
        <v>0</v>
      </c>
      <c r="BI157" s="41">
        <f>IFERROR(VLOOKUP($A157,FoodRev[],7,0),0)</f>
        <v>0</v>
      </c>
      <c r="BJ157" s="41">
        <f>IFERROR(VLOOKUP($A157,FoodRev[],8,0),0)</f>
        <v>89650.25</v>
      </c>
      <c r="BK157" s="41">
        <f>IFERROR(VLOOKUP($A157,FoodRev[],9,0),0)</f>
        <v>0</v>
      </c>
      <c r="BL157" s="41">
        <f>IFERROR(VLOOKUP($A157,FoodRev[],10,0),0)</f>
        <v>0</v>
      </c>
      <c r="BM157" s="41">
        <f t="shared" si="45"/>
        <v>738203.46</v>
      </c>
      <c r="BN157" s="42">
        <f t="shared" si="33"/>
        <v>-113364.70999999979</v>
      </c>
      <c r="BO157" s="78">
        <f t="shared" si="40"/>
        <v>0</v>
      </c>
      <c r="BP157" s="78">
        <f t="shared" si="41"/>
        <v>-113364.70999999979</v>
      </c>
    </row>
    <row r="158" spans="1:68" x14ac:dyDescent="0.25">
      <c r="A158" s="40" t="s">
        <v>436</v>
      </c>
      <c r="B158" s="40" t="s">
        <v>843</v>
      </c>
      <c r="D158" s="203">
        <f t="shared" si="42"/>
        <v>-9.3132257461547852E-10</v>
      </c>
      <c r="E158" s="41">
        <f>IFERROR(VLOOKUP(A158,Items[],5,0),0)</f>
        <v>5721058.5099999998</v>
      </c>
      <c r="F158" s="42">
        <f t="shared" si="43"/>
        <v>5721058.5100000007</v>
      </c>
      <c r="G158" s="41">
        <v>0</v>
      </c>
      <c r="H158" s="41">
        <f>IFERROR(VLOOKUP(A158,Items[],4,0),0)</f>
        <v>6170592.5300000003</v>
      </c>
      <c r="I158" s="41">
        <f>IFERROR(VLOOKUP(A158,Community[],4,0),0)</f>
        <v>0</v>
      </c>
      <c r="J158" s="41">
        <f>IFERROR(VLOOKUP(A158,Community[],5,0),0)</f>
        <v>0</v>
      </c>
      <c r="K158" s="41">
        <f>IFERROR(VLOOKUP(A158,Community[],6,0),0)</f>
        <v>0</v>
      </c>
      <c r="L158" s="41">
        <f>IFERROR(VLOOKUP(A158,Community[],7,0),0)</f>
        <v>0</v>
      </c>
      <c r="M158" s="41">
        <f>IFERROR(VLOOKUP(A158,Debt[],3,0),0)</f>
        <v>0</v>
      </c>
      <c r="N158" s="41">
        <f>IFERROR(VLOOKUP(A158,Debt[],4,0),0)</f>
        <v>0</v>
      </c>
      <c r="O158" s="41">
        <f>IFERROR(VLOOKUP(A158,Debt[],5,0),0)</f>
        <v>0</v>
      </c>
      <c r="P158" s="41">
        <f>IFERROR(VLOOKUP(A158,Items[],3,0),0)</f>
        <v>0</v>
      </c>
      <c r="Q158" s="41">
        <f>IFERROR(VLOOKUP($A158,Federal[],2,0),0)</f>
        <v>2954.55</v>
      </c>
      <c r="R158" s="41">
        <f>IFERROR(VLOOKUP($A158,Federal[],4,0),0)</f>
        <v>397231</v>
      </c>
      <c r="S158" s="41"/>
      <c r="T158" s="47">
        <f>IFERROR(VLOOKUP($A158,Program[],3,0),0)</f>
        <v>0</v>
      </c>
      <c r="U158" s="47"/>
      <c r="V158" s="41">
        <f>IFERROR(VLOOKUP($A158,Program[],4,0),0)</f>
        <v>0</v>
      </c>
      <c r="W158" s="41">
        <f>IFERROR(VLOOKUP($A158,Program[],5,0),0)</f>
        <v>0</v>
      </c>
      <c r="X158" s="41"/>
      <c r="Y158" s="41"/>
      <c r="Z158" s="41"/>
      <c r="AA158" s="41">
        <f>IFERROR(VLOOKUP($A158,Program[],6,0),0)</f>
        <v>0</v>
      </c>
      <c r="AB158" s="41"/>
      <c r="AC158" s="41"/>
      <c r="AD158" s="41">
        <f>IFERROR(VLOOKUP($A158,Program[],7,0),0)</f>
        <v>0</v>
      </c>
      <c r="AE158" s="41">
        <f>IFERROR(VLOOKUP($A158,Program[],8,0),0)</f>
        <v>0</v>
      </c>
      <c r="AF158" s="41">
        <f>IFERROR(VLOOKUP($A158,Program[],9,0),0)</f>
        <v>0</v>
      </c>
      <c r="AG158" s="41">
        <f>IFERROR(VLOOKUP($A158,Program[],10,0),0)</f>
        <v>0</v>
      </c>
      <c r="AH158" s="41">
        <f>IFERROR(VLOOKUP($A158,Program[],11,0),0)</f>
        <v>0</v>
      </c>
      <c r="AI158" s="41">
        <f>IFERROR(VLOOKUP($A158,Program[],12,0),0)</f>
        <v>0</v>
      </c>
      <c r="AJ158" s="41"/>
      <c r="AK158" s="41">
        <f>IFERROR(VLOOKUP($A158,Program[],13,0),0)</f>
        <v>0</v>
      </c>
      <c r="AL158" s="41"/>
      <c r="AM158" s="41"/>
      <c r="AN158" s="41"/>
      <c r="AO158" s="41"/>
      <c r="AP158" s="41"/>
      <c r="AQ158" s="41"/>
      <c r="AR158" s="41"/>
      <c r="AS158" s="41">
        <f>IFERROR(VLOOKUP($A158,Program[],14,0),0)</f>
        <v>0</v>
      </c>
      <c r="AT158" s="41"/>
      <c r="AU158" s="41"/>
      <c r="AV158" s="41">
        <f>IFERROR(VLOOKUP($A158,Program[],15,0),0)</f>
        <v>0</v>
      </c>
      <c r="AW158" s="41"/>
      <c r="AX158" s="41">
        <f>IFERROR(VLOOKUP($A158,Program[],16,0),0)</f>
        <v>0</v>
      </c>
      <c r="AY158" s="41">
        <f>IFERROR(VLOOKUP($A158,Program[],17,0),0)</f>
        <v>0</v>
      </c>
      <c r="AZ158" s="41">
        <f>IFERROR(VLOOKUP($A158,Program[],18,0),0)</f>
        <v>0</v>
      </c>
      <c r="BA158" s="41">
        <f>IFERROR(VLOOKUP($A158,Program[],19,0),0)</f>
        <v>0</v>
      </c>
      <c r="BB158" s="77">
        <f t="shared" si="44"/>
        <v>0</v>
      </c>
      <c r="BC158" s="41">
        <f>IFERROR(VLOOKUP(A158,Food[],3,0),0)</f>
        <v>240713.62999999998</v>
      </c>
      <c r="BD158" s="41">
        <f>IFERROR(VLOOKUP($A158,FoodRev[],2,0),0)</f>
        <v>4034.55</v>
      </c>
      <c r="BE158" s="41">
        <f>IFERROR(VLOOKUP($A158,FoodRev[],3,0),0)</f>
        <v>56135.14</v>
      </c>
      <c r="BF158" s="41">
        <f>IFERROR(VLOOKUP($A158,FoodRev[],4,0),0)</f>
        <v>2534.0300000000002</v>
      </c>
      <c r="BG158" s="41">
        <f>IFERROR(VLOOKUP($A158,FoodRev[],5,0),0)</f>
        <v>162212.04</v>
      </c>
      <c r="BH158" s="41">
        <f>IFERROR(VLOOKUP($A158,FoodRev[],6,0),0)</f>
        <v>0</v>
      </c>
      <c r="BI158" s="41">
        <f>IFERROR(VLOOKUP($A158,FoodRev[],7,0),0)</f>
        <v>15850.93</v>
      </c>
      <c r="BJ158" s="41">
        <f>IFERROR(VLOOKUP($A158,FoodRev[],8,0),0)</f>
        <v>13302.19</v>
      </c>
      <c r="BK158" s="41">
        <f>IFERROR(VLOOKUP($A158,FoodRev[],9,0),0)</f>
        <v>0</v>
      </c>
      <c r="BL158" s="41">
        <f>IFERROR(VLOOKUP($A158,FoodRev[],10,0),0)</f>
        <v>0</v>
      </c>
      <c r="BM158" s="41">
        <f t="shared" si="45"/>
        <v>254068.88</v>
      </c>
      <c r="BN158" s="42">
        <f t="shared" si="33"/>
        <v>-13355.250000000005</v>
      </c>
      <c r="BO158" s="78">
        <f t="shared" si="40"/>
        <v>0</v>
      </c>
      <c r="BP158" s="78">
        <f t="shared" si="41"/>
        <v>-13355.250000000005</v>
      </c>
    </row>
    <row r="159" spans="1:68" x14ac:dyDescent="0.25">
      <c r="A159" s="40" t="s">
        <v>178</v>
      </c>
      <c r="B159" s="40" t="s">
        <v>844</v>
      </c>
      <c r="D159" s="203">
        <f t="shared" si="42"/>
        <v>-1.4901161193847656E-8</v>
      </c>
      <c r="E159" s="41">
        <f>IFERROR(VLOOKUP(A159,Items[],5,0),0)</f>
        <v>51448440.909999996</v>
      </c>
      <c r="F159" s="42">
        <f t="shared" si="43"/>
        <v>51448440.910000011</v>
      </c>
      <c r="G159" s="41">
        <v>0</v>
      </c>
      <c r="H159" s="41">
        <f>IFERROR(VLOOKUP(A159,Items[],4,0),0)</f>
        <v>56506283.039999999</v>
      </c>
      <c r="I159" s="41">
        <f>IFERROR(VLOOKUP(A159,Community[],4,0),0)</f>
        <v>0</v>
      </c>
      <c r="J159" s="41">
        <f>IFERROR(VLOOKUP(A159,Community[],5,0),0)</f>
        <v>0</v>
      </c>
      <c r="K159" s="41">
        <f>IFERROR(VLOOKUP(A159,Community[],6,0),0)</f>
        <v>0</v>
      </c>
      <c r="L159" s="41">
        <f>IFERROR(VLOOKUP(A159,Community[],7,0),0)</f>
        <v>169128.22000000003</v>
      </c>
      <c r="M159" s="41">
        <f>IFERROR(VLOOKUP(A159,Debt[],3,0),0)</f>
        <v>12460.68</v>
      </c>
      <c r="N159" s="41">
        <f>IFERROR(VLOOKUP(A159,Debt[],4,0),0)</f>
        <v>57119.040000000001</v>
      </c>
      <c r="O159" s="41">
        <f>IFERROR(VLOOKUP(A159,Debt[],5,0),0)</f>
        <v>0</v>
      </c>
      <c r="P159" s="41">
        <f>IFERROR(VLOOKUP(A159,Items[],3,0),0)</f>
        <v>530110.77</v>
      </c>
      <c r="Q159" s="41">
        <f>IFERROR(VLOOKUP($A159,Federal[],2,0),0)</f>
        <v>32426.48</v>
      </c>
      <c r="R159" s="41">
        <f>IFERROR(VLOOKUP($A159,Federal[],4,0),0)</f>
        <v>4127573.3</v>
      </c>
      <c r="S159" s="47"/>
      <c r="T159" s="47">
        <f>IFERROR(VLOOKUP($A159,Program[],3,0),0)</f>
        <v>0</v>
      </c>
      <c r="U159" s="47"/>
      <c r="V159" s="41">
        <f>IFERROR(VLOOKUP($A159,Program[],4,0),0)</f>
        <v>0</v>
      </c>
      <c r="W159" s="41">
        <f>IFERROR(VLOOKUP($A159,Program[],5,0),0)</f>
        <v>0</v>
      </c>
      <c r="X159" s="41"/>
      <c r="Y159" s="41"/>
      <c r="Z159" s="41"/>
      <c r="AA159" s="41">
        <f>IFERROR(VLOOKUP($A159,Program[],6,0),0)</f>
        <v>0</v>
      </c>
      <c r="AB159" s="41"/>
      <c r="AC159" s="41"/>
      <c r="AD159" s="41">
        <f>IFERROR(VLOOKUP($A159,Program[],7,0),0)</f>
        <v>70598.3</v>
      </c>
      <c r="AE159" s="41">
        <f>IFERROR(VLOOKUP($A159,Program[],8,0),0)</f>
        <v>0</v>
      </c>
      <c r="AF159" s="41">
        <f>IFERROR(VLOOKUP($A159,Program[],9,0),0)</f>
        <v>0</v>
      </c>
      <c r="AG159" s="41">
        <f>IFERROR(VLOOKUP($A159,Program[],10,0),0)</f>
        <v>0</v>
      </c>
      <c r="AH159" s="41">
        <f>IFERROR(VLOOKUP($A159,Program[],11,0),0)</f>
        <v>0</v>
      </c>
      <c r="AI159" s="41">
        <f>IFERROR(VLOOKUP($A159,Program[],12,0),0)</f>
        <v>0</v>
      </c>
      <c r="AJ159" s="41"/>
      <c r="AK159" s="41">
        <f>IFERROR(VLOOKUP($A159,Program[],13,0),0)</f>
        <v>49510.5</v>
      </c>
      <c r="AL159" s="41"/>
      <c r="AM159" s="41"/>
      <c r="AN159" s="41"/>
      <c r="AO159" s="41"/>
      <c r="AP159" s="41"/>
      <c r="AQ159" s="41"/>
      <c r="AR159" s="41"/>
      <c r="AS159" s="41">
        <f>IFERROR(VLOOKUP($A159,Program[],14,0),0)</f>
        <v>79599.490000000005</v>
      </c>
      <c r="AT159" s="41"/>
      <c r="AU159" s="41"/>
      <c r="AV159" s="41">
        <f>IFERROR(VLOOKUP($A159,Program[],15,0),0)</f>
        <v>150243.35</v>
      </c>
      <c r="AW159" s="41"/>
      <c r="AX159" s="41">
        <f>IFERROR(VLOOKUP($A159,Program[],16,0),0)</f>
        <v>0</v>
      </c>
      <c r="AY159" s="41">
        <f>IFERROR(VLOOKUP($A159,Program[],17,0),0)</f>
        <v>0</v>
      </c>
      <c r="AZ159" s="41">
        <f>IFERROR(VLOOKUP($A159,Program[],18,0),0)</f>
        <v>0</v>
      </c>
      <c r="BA159" s="41">
        <f>IFERROR(VLOOKUP($A159,Program[],19,0),0)</f>
        <v>0</v>
      </c>
      <c r="BB159" s="77">
        <f t="shared" si="44"/>
        <v>16695.850000000079</v>
      </c>
      <c r="BC159" s="41">
        <f>IFERROR(VLOOKUP(A159,Food[],3,0),0)</f>
        <v>1613474.3599999999</v>
      </c>
      <c r="BD159" s="41">
        <f>IFERROR(VLOOKUP($A159,FoodRev[],2,0),0)</f>
        <v>105431.89</v>
      </c>
      <c r="BE159" s="41">
        <f>IFERROR(VLOOKUP($A159,FoodRev[],3,0),0)</f>
        <v>373543.39</v>
      </c>
      <c r="BF159" s="41">
        <f>IFERROR(VLOOKUP($A159,FoodRev[],4,0),0)</f>
        <v>0</v>
      </c>
      <c r="BG159" s="41">
        <f>IFERROR(VLOOKUP($A159,FoodRev[],5,0),0)</f>
        <v>1009889.49</v>
      </c>
      <c r="BH159" s="41">
        <f>IFERROR(VLOOKUP($A159,FoodRev[],6,0),0)</f>
        <v>0</v>
      </c>
      <c r="BI159" s="41">
        <f>IFERROR(VLOOKUP($A159,FoodRev[],7,0),0)</f>
        <v>0</v>
      </c>
      <c r="BJ159" s="41">
        <f>IFERROR(VLOOKUP($A159,FoodRev[],8,0),0)</f>
        <v>107913.74</v>
      </c>
      <c r="BK159" s="41">
        <f>IFERROR(VLOOKUP($A159,FoodRev[],9,0),0)</f>
        <v>0</v>
      </c>
      <c r="BL159" s="41">
        <f>IFERROR(VLOOKUP($A159,FoodRev[],10,0),0)</f>
        <v>0</v>
      </c>
      <c r="BM159" s="41">
        <f t="shared" si="45"/>
        <v>1596778.51</v>
      </c>
      <c r="BN159" s="42">
        <f t="shared" si="33"/>
        <v>16695.850000000079</v>
      </c>
      <c r="BO159" s="79">
        <f t="shared" si="40"/>
        <v>16695.850000000079</v>
      </c>
      <c r="BP159" s="79">
        <f t="shared" si="41"/>
        <v>0</v>
      </c>
    </row>
    <row r="160" spans="1:68" x14ac:dyDescent="0.25">
      <c r="A160" s="40" t="s">
        <v>400</v>
      </c>
      <c r="B160" s="40" t="s">
        <v>845</v>
      </c>
      <c r="D160" s="203">
        <f t="shared" si="42"/>
        <v>0</v>
      </c>
      <c r="E160" s="41">
        <f>IFERROR(VLOOKUP(A160,Items[],5,0),0)</f>
        <v>7063108.4100000001</v>
      </c>
      <c r="F160" s="42">
        <f t="shared" si="43"/>
        <v>7063108.4100000001</v>
      </c>
      <c r="G160" s="41">
        <v>0</v>
      </c>
      <c r="H160" s="41">
        <f>IFERROR(VLOOKUP(A160,Items[],4,0),0)</f>
        <v>7976805</v>
      </c>
      <c r="I160" s="41">
        <f>IFERROR(VLOOKUP(A160,Community[],4,0),0)</f>
        <v>0</v>
      </c>
      <c r="J160" s="41">
        <f>IFERROR(VLOOKUP(A160,Community[],5,0),0)</f>
        <v>0</v>
      </c>
      <c r="K160" s="41">
        <f>IFERROR(VLOOKUP(A160,Community[],6,0),0)</f>
        <v>148286.23000000001</v>
      </c>
      <c r="L160" s="41">
        <f>IFERROR(VLOOKUP(A160,Community[],7,0),0)</f>
        <v>0</v>
      </c>
      <c r="M160" s="41">
        <f>IFERROR(VLOOKUP(A160,Debt[],3,0),0)</f>
        <v>0</v>
      </c>
      <c r="N160" s="41">
        <f>IFERROR(VLOOKUP(A160,Debt[],4,0),0)</f>
        <v>1162.27</v>
      </c>
      <c r="O160" s="41">
        <f>IFERROR(VLOOKUP(A160,Debt[],5,0),0)</f>
        <v>0</v>
      </c>
      <c r="P160" s="41">
        <f>IFERROR(VLOOKUP(A160,Items[],3,0),0)</f>
        <v>11130.96</v>
      </c>
      <c r="Q160" s="41">
        <f>IFERROR(VLOOKUP($A160,Federal[],2,0),0)</f>
        <v>3775.24</v>
      </c>
      <c r="R160" s="41">
        <f>IFERROR(VLOOKUP($A160,Federal[],4,0),0)</f>
        <v>718211.56</v>
      </c>
      <c r="S160" s="41"/>
      <c r="T160" s="47">
        <f>IFERROR(VLOOKUP($A160,Program[],3,0),0)</f>
        <v>0</v>
      </c>
      <c r="U160" s="47"/>
      <c r="V160" s="41">
        <f>IFERROR(VLOOKUP($A160,Program[],4,0),0)</f>
        <v>0</v>
      </c>
      <c r="W160" s="41">
        <f>IFERROR(VLOOKUP($A160,Program[],5,0),0)</f>
        <v>0</v>
      </c>
      <c r="X160" s="41"/>
      <c r="Y160" s="41"/>
      <c r="Z160" s="41"/>
      <c r="AA160" s="41">
        <f>IFERROR(VLOOKUP($A160,Program[],6,0),0)</f>
        <v>0</v>
      </c>
      <c r="AB160" s="41"/>
      <c r="AC160" s="41"/>
      <c r="AD160" s="41">
        <f>IFERROR(VLOOKUP($A160,Program[],7,0),0)</f>
        <v>0</v>
      </c>
      <c r="AE160" s="41">
        <f>IFERROR(VLOOKUP($A160,Program[],8,0),0)</f>
        <v>0</v>
      </c>
      <c r="AF160" s="41">
        <f>IFERROR(VLOOKUP($A160,Program[],9,0),0)</f>
        <v>0</v>
      </c>
      <c r="AG160" s="41">
        <f>IFERROR(VLOOKUP($A160,Program[],10,0),0)</f>
        <v>0</v>
      </c>
      <c r="AH160" s="41">
        <f>IFERROR(VLOOKUP($A160,Program[],11,0),0)</f>
        <v>0</v>
      </c>
      <c r="AI160" s="41">
        <f>IFERROR(VLOOKUP($A160,Program[],12,0),0)</f>
        <v>0</v>
      </c>
      <c r="AJ160" s="41"/>
      <c r="AK160" s="41">
        <f>IFERROR(VLOOKUP($A160,Program[],13,0),0)</f>
        <v>0</v>
      </c>
      <c r="AL160" s="41"/>
      <c r="AM160" s="41"/>
      <c r="AN160" s="41"/>
      <c r="AO160" s="41"/>
      <c r="AP160" s="41"/>
      <c r="AQ160" s="41"/>
      <c r="AR160" s="41"/>
      <c r="AS160" s="41">
        <f>IFERROR(VLOOKUP($A160,Program[],14,0),0)</f>
        <v>0</v>
      </c>
      <c r="AT160" s="41"/>
      <c r="AU160" s="41"/>
      <c r="AV160" s="41">
        <f>IFERROR(VLOOKUP($A160,Program[],15,0),0)</f>
        <v>0</v>
      </c>
      <c r="AW160" s="41"/>
      <c r="AX160" s="41">
        <f>IFERROR(VLOOKUP($A160,Program[],16,0),0)</f>
        <v>0</v>
      </c>
      <c r="AY160" s="41">
        <f>IFERROR(VLOOKUP($A160,Program[],17,0),0)</f>
        <v>0</v>
      </c>
      <c r="AZ160" s="41">
        <f>IFERROR(VLOOKUP($A160,Program[],18,0),0)</f>
        <v>0</v>
      </c>
      <c r="BA160" s="41">
        <f>IFERROR(VLOOKUP($A160,Program[],19,0),0)</f>
        <v>0</v>
      </c>
      <c r="BB160" s="77">
        <f t="shared" si="44"/>
        <v>11516.910000000084</v>
      </c>
      <c r="BC160" s="41">
        <f>IFERROR(VLOOKUP(A160,Food[],3,0),0)</f>
        <v>330798.67000000004</v>
      </c>
      <c r="BD160" s="41">
        <f>IFERROR(VLOOKUP($A160,FoodRev[],2,0),0)</f>
        <v>954.8</v>
      </c>
      <c r="BE160" s="41">
        <f>IFERROR(VLOOKUP($A160,FoodRev[],3,0),0)</f>
        <v>30175.53</v>
      </c>
      <c r="BF160" s="41">
        <f>IFERROR(VLOOKUP($A160,FoodRev[],4,0),0)</f>
        <v>0</v>
      </c>
      <c r="BG160" s="41">
        <f>IFERROR(VLOOKUP($A160,FoodRev[],5,0),0)</f>
        <v>263102</v>
      </c>
      <c r="BH160" s="41">
        <f>IFERROR(VLOOKUP($A160,FoodRev[],6,0),0)</f>
        <v>0</v>
      </c>
      <c r="BI160" s="41">
        <f>IFERROR(VLOOKUP($A160,FoodRev[],7,0),0)</f>
        <v>0</v>
      </c>
      <c r="BJ160" s="41">
        <f>IFERROR(VLOOKUP($A160,FoodRev[],8,0),0)</f>
        <v>25049.43</v>
      </c>
      <c r="BK160" s="41">
        <f>IFERROR(VLOOKUP($A160,FoodRev[],9,0),0)</f>
        <v>0</v>
      </c>
      <c r="BL160" s="41">
        <f>IFERROR(VLOOKUP($A160,FoodRev[],10,0),0)</f>
        <v>0</v>
      </c>
      <c r="BM160" s="41">
        <f t="shared" si="45"/>
        <v>319281.76</v>
      </c>
      <c r="BN160" s="42">
        <f t="shared" si="33"/>
        <v>11516.910000000084</v>
      </c>
      <c r="BO160" s="78">
        <f t="shared" si="40"/>
        <v>11516.910000000084</v>
      </c>
      <c r="BP160" s="78">
        <f t="shared" si="41"/>
        <v>0</v>
      </c>
    </row>
    <row r="161" spans="1:68" x14ac:dyDescent="0.25">
      <c r="A161" s="40" t="s">
        <v>158</v>
      </c>
      <c r="B161" s="40" t="s">
        <v>846</v>
      </c>
      <c r="D161" s="203">
        <f t="shared" si="42"/>
        <v>7.4505805969238281E-9</v>
      </c>
      <c r="E161" s="41">
        <f>IFERROR(VLOOKUP(A161,Items[],5,0),0)</f>
        <v>53804051.240000002</v>
      </c>
      <c r="F161" s="42">
        <f t="shared" si="43"/>
        <v>53804051.239999995</v>
      </c>
      <c r="G161" s="41">
        <v>0</v>
      </c>
      <c r="H161" s="41">
        <f>IFERROR(VLOOKUP(A161,Items[],4,0),0)</f>
        <v>60348894.609999999</v>
      </c>
      <c r="I161" s="41">
        <f>IFERROR(VLOOKUP(A161,Community[],4,0),0)</f>
        <v>0</v>
      </c>
      <c r="J161" s="41">
        <f>IFERROR(VLOOKUP(A161,Community[],5,0),0)</f>
        <v>0</v>
      </c>
      <c r="K161" s="41">
        <f>IFERROR(VLOOKUP(A161,Community[],6,0),0)</f>
        <v>0</v>
      </c>
      <c r="L161" s="41">
        <f>IFERROR(VLOOKUP(A161,Community[],7,0),0)</f>
        <v>443956.01999999996</v>
      </c>
      <c r="M161" s="41">
        <f>IFERROR(VLOOKUP(A161,Debt[],3,0),0)</f>
        <v>3575.93</v>
      </c>
      <c r="N161" s="41">
        <f>IFERROR(VLOOKUP(A161,Debt[],4,0),0)</f>
        <v>43380.28</v>
      </c>
      <c r="O161" s="41">
        <f>IFERROR(VLOOKUP(A161,Debt[],5,0),0)</f>
        <v>0</v>
      </c>
      <c r="P161" s="41">
        <f>IFERROR(VLOOKUP(A161,Items[],3,0),0)</f>
        <v>0</v>
      </c>
      <c r="Q161" s="41">
        <f>IFERROR(VLOOKUP($A161,Federal[],2,0),0)</f>
        <v>35626.15</v>
      </c>
      <c r="R161" s="41">
        <f>IFERROR(VLOOKUP($A161,Federal[],4,0),0)</f>
        <v>5922496.1699999999</v>
      </c>
      <c r="S161" s="41"/>
      <c r="T161" s="47">
        <f>IFERROR(VLOOKUP($A161,Program[],3,0),0)</f>
        <v>0</v>
      </c>
      <c r="U161" s="47"/>
      <c r="V161" s="41">
        <f>IFERROR(VLOOKUP($A161,Program[],4,0),0)</f>
        <v>0</v>
      </c>
      <c r="W161" s="41">
        <f>IFERROR(VLOOKUP($A161,Program[],5,0),0)</f>
        <v>0</v>
      </c>
      <c r="X161" s="41"/>
      <c r="Y161" s="41"/>
      <c r="Z161" s="41"/>
      <c r="AA161" s="41">
        <f>IFERROR(VLOOKUP($A161,Program[],6,0),0)</f>
        <v>0</v>
      </c>
      <c r="AB161" s="41"/>
      <c r="AC161" s="41"/>
      <c r="AD161" s="41">
        <f>IFERROR(VLOOKUP($A161,Program[],7,0),0)</f>
        <v>0</v>
      </c>
      <c r="AE161" s="41">
        <f>IFERROR(VLOOKUP($A161,Program[],8,0),0)</f>
        <v>0</v>
      </c>
      <c r="AF161" s="41">
        <f>IFERROR(VLOOKUP($A161,Program[],9,0),0)</f>
        <v>0</v>
      </c>
      <c r="AG161" s="41">
        <f>IFERROR(VLOOKUP($A161,Program[],10,0),0)</f>
        <v>0</v>
      </c>
      <c r="AH161" s="41">
        <f>IFERROR(VLOOKUP($A161,Program[],11,0),0)</f>
        <v>0</v>
      </c>
      <c r="AI161" s="41">
        <f>IFERROR(VLOOKUP($A161,Program[],12,0),0)</f>
        <v>0</v>
      </c>
      <c r="AJ161" s="41"/>
      <c r="AK161" s="41">
        <f>IFERROR(VLOOKUP($A161,Program[],13,0),0)</f>
        <v>0</v>
      </c>
      <c r="AL161" s="41"/>
      <c r="AM161" s="41"/>
      <c r="AN161" s="41"/>
      <c r="AO161" s="41"/>
      <c r="AP161" s="41"/>
      <c r="AQ161" s="41"/>
      <c r="AR161" s="41"/>
      <c r="AS161" s="41">
        <f>IFERROR(VLOOKUP($A161,Program[],14,0),0)</f>
        <v>0</v>
      </c>
      <c r="AT161" s="41"/>
      <c r="AU161" s="41"/>
      <c r="AV161" s="41">
        <f>IFERROR(VLOOKUP($A161,Program[],15,0),0)</f>
        <v>0</v>
      </c>
      <c r="AW161" s="41"/>
      <c r="AX161" s="41">
        <f>IFERROR(VLOOKUP($A161,Program[],16,0),0)</f>
        <v>0</v>
      </c>
      <c r="AY161" s="41">
        <f>IFERROR(VLOOKUP($A161,Program[],17,0),0)</f>
        <v>0</v>
      </c>
      <c r="AZ161" s="41">
        <f>IFERROR(VLOOKUP($A161,Program[],18,0),0)</f>
        <v>0</v>
      </c>
      <c r="BA161" s="41">
        <f>IFERROR(VLOOKUP($A161,Program[],19,0),0)</f>
        <v>0</v>
      </c>
      <c r="BB161" s="77">
        <f t="shared" si="44"/>
        <v>15454.169999999751</v>
      </c>
      <c r="BC161" s="41">
        <f>IFERROR(VLOOKUP(A161,Food[],3,0),0)</f>
        <v>2479880.4099999997</v>
      </c>
      <c r="BD161" s="41">
        <f>IFERROR(VLOOKUP($A161,FoodRev[],2,0),0)</f>
        <v>0</v>
      </c>
      <c r="BE161" s="41">
        <f>IFERROR(VLOOKUP($A161,FoodRev[],3,0),0)</f>
        <v>95808.82</v>
      </c>
      <c r="BF161" s="41">
        <f>IFERROR(VLOOKUP($A161,FoodRev[],4,0),0)</f>
        <v>0</v>
      </c>
      <c r="BG161" s="41">
        <f>IFERROR(VLOOKUP($A161,FoodRev[],5,0),0)</f>
        <v>2207900.37</v>
      </c>
      <c r="BH161" s="41">
        <f>IFERROR(VLOOKUP($A161,FoodRev[],6,0),0)</f>
        <v>0</v>
      </c>
      <c r="BI161" s="41">
        <f>IFERROR(VLOOKUP($A161,FoodRev[],7,0),0)</f>
        <v>0</v>
      </c>
      <c r="BJ161" s="41">
        <f>IFERROR(VLOOKUP($A161,FoodRev[],8,0),0)</f>
        <v>160717.04999999999</v>
      </c>
      <c r="BK161" s="41">
        <f>IFERROR(VLOOKUP($A161,FoodRev[],9,0),0)</f>
        <v>0</v>
      </c>
      <c r="BL161" s="41">
        <f>IFERROR(VLOOKUP($A161,FoodRev[],10,0),0)</f>
        <v>0</v>
      </c>
      <c r="BM161" s="41">
        <f t="shared" si="45"/>
        <v>2464426.2399999998</v>
      </c>
      <c r="BN161" s="42">
        <f t="shared" si="33"/>
        <v>15454.169999999751</v>
      </c>
      <c r="BO161" s="78">
        <f t="shared" si="40"/>
        <v>15454.169999999751</v>
      </c>
      <c r="BP161" s="78">
        <f t="shared" si="41"/>
        <v>0</v>
      </c>
    </row>
    <row r="162" spans="1:68" x14ac:dyDescent="0.25">
      <c r="A162" s="40" t="s">
        <v>550</v>
      </c>
      <c r="B162" s="40" t="s">
        <v>847</v>
      </c>
      <c r="D162" s="203">
        <f t="shared" si="42"/>
        <v>-4.6566128730773926E-10</v>
      </c>
      <c r="E162" s="41">
        <f>IFERROR(VLOOKUP(A162,Items[],5,0),0)</f>
        <v>2665302.0099999998</v>
      </c>
      <c r="F162" s="42">
        <f t="shared" si="43"/>
        <v>2665302.0100000002</v>
      </c>
      <c r="G162" s="41">
        <v>0</v>
      </c>
      <c r="H162" s="41">
        <f>IFERROR(VLOOKUP(A162,Items[],4,0),0)</f>
        <v>2817774.72</v>
      </c>
      <c r="I162" s="41">
        <f>IFERROR(VLOOKUP(A162,Community[],4,0),0)</f>
        <v>0</v>
      </c>
      <c r="J162" s="41">
        <f>IFERROR(VLOOKUP(A162,Community[],5,0),0)</f>
        <v>0</v>
      </c>
      <c r="K162" s="41">
        <f>IFERROR(VLOOKUP(A162,Community[],6,0),0)</f>
        <v>0</v>
      </c>
      <c r="L162" s="41">
        <f>IFERROR(VLOOKUP(A162,Community[],7,0),0)</f>
        <v>0</v>
      </c>
      <c r="M162" s="41">
        <f>IFERROR(VLOOKUP(A162,Debt[],3,0),0)</f>
        <v>0</v>
      </c>
      <c r="N162" s="41">
        <f>IFERROR(VLOOKUP(A162,Debt[],4,0),0)</f>
        <v>0</v>
      </c>
      <c r="O162" s="41">
        <f>IFERROR(VLOOKUP(A162,Debt[],5,0),0)</f>
        <v>0</v>
      </c>
      <c r="P162" s="41">
        <f>IFERROR(VLOOKUP(A162,Items[],3,0),0)</f>
        <v>7740.84</v>
      </c>
      <c r="Q162" s="41">
        <f>IFERROR(VLOOKUP($A162,Federal[],2,0),0)</f>
        <v>0</v>
      </c>
      <c r="R162" s="41">
        <f>IFERROR(VLOOKUP($A162,Federal[],4,0),0)</f>
        <v>136212.04</v>
      </c>
      <c r="S162" s="41"/>
      <c r="T162" s="47">
        <f>IFERROR(VLOOKUP($A162,Program[],3,0),0)</f>
        <v>0</v>
      </c>
      <c r="U162" s="47"/>
      <c r="V162" s="41">
        <f>IFERROR(VLOOKUP($A162,Program[],4,0),0)</f>
        <v>0</v>
      </c>
      <c r="W162" s="41">
        <f>IFERROR(VLOOKUP($A162,Program[],5,0),0)</f>
        <v>0</v>
      </c>
      <c r="X162" s="41"/>
      <c r="Y162" s="41"/>
      <c r="Z162" s="41"/>
      <c r="AA162" s="41">
        <f>IFERROR(VLOOKUP($A162,Program[],6,0),0)</f>
        <v>0</v>
      </c>
      <c r="AB162" s="41"/>
      <c r="AC162" s="41"/>
      <c r="AD162" s="41">
        <f>IFERROR(VLOOKUP($A162,Program[],7,0),0)</f>
        <v>0</v>
      </c>
      <c r="AE162" s="41">
        <f>IFERROR(VLOOKUP($A162,Program[],8,0),0)</f>
        <v>0</v>
      </c>
      <c r="AF162" s="41">
        <f>IFERROR(VLOOKUP($A162,Program[],9,0),0)</f>
        <v>0</v>
      </c>
      <c r="AG162" s="41">
        <f>IFERROR(VLOOKUP($A162,Program[],10,0),0)</f>
        <v>0</v>
      </c>
      <c r="AH162" s="41">
        <f>IFERROR(VLOOKUP($A162,Program[],11,0),0)</f>
        <v>0</v>
      </c>
      <c r="AI162" s="41">
        <f>IFERROR(VLOOKUP($A162,Program[],12,0),0)</f>
        <v>0</v>
      </c>
      <c r="AJ162" s="41"/>
      <c r="AK162" s="41">
        <f>IFERROR(VLOOKUP($A162,Program[],13,0),0)</f>
        <v>0</v>
      </c>
      <c r="AL162" s="41"/>
      <c r="AM162" s="41"/>
      <c r="AN162" s="41"/>
      <c r="AO162" s="41"/>
      <c r="AP162" s="41"/>
      <c r="AQ162" s="41"/>
      <c r="AR162" s="41"/>
      <c r="AS162" s="41">
        <f>IFERROR(VLOOKUP($A162,Program[],14,0),0)</f>
        <v>0</v>
      </c>
      <c r="AT162" s="41"/>
      <c r="AU162" s="41"/>
      <c r="AV162" s="41">
        <f>IFERROR(VLOOKUP($A162,Program[],15,0),0)</f>
        <v>0</v>
      </c>
      <c r="AW162" s="41"/>
      <c r="AX162" s="41">
        <f>IFERROR(VLOOKUP($A162,Program[],16,0),0)</f>
        <v>0</v>
      </c>
      <c r="AY162" s="41">
        <f>IFERROR(VLOOKUP($A162,Program[],17,0),0)</f>
        <v>0</v>
      </c>
      <c r="AZ162" s="41">
        <f>IFERROR(VLOOKUP($A162,Program[],18,0),0)</f>
        <v>0</v>
      </c>
      <c r="BA162" s="41">
        <f>IFERROR(VLOOKUP($A162,Program[],19,0),0)</f>
        <v>7740.84</v>
      </c>
      <c r="BB162" s="77">
        <f t="shared" si="44"/>
        <v>53498.659999999989</v>
      </c>
      <c r="BC162" s="41">
        <f>IFERROR(VLOOKUP(A162,Food[],3,0),0)</f>
        <v>108505.99999999999</v>
      </c>
      <c r="BD162" s="41">
        <f>IFERROR(VLOOKUP($A162,FoodRev[],2,0),0)</f>
        <v>2486.4499999999998</v>
      </c>
      <c r="BE162" s="41">
        <f>IFERROR(VLOOKUP($A162,FoodRev[],3,0),0)</f>
        <v>13774.22</v>
      </c>
      <c r="BF162" s="41">
        <f>IFERROR(VLOOKUP($A162,FoodRev[],4,0),0)</f>
        <v>0</v>
      </c>
      <c r="BG162" s="41">
        <f>IFERROR(VLOOKUP($A162,FoodRev[],5,0),0)</f>
        <v>33114.86</v>
      </c>
      <c r="BH162" s="41">
        <f>IFERROR(VLOOKUP($A162,FoodRev[],6,0),0)</f>
        <v>0</v>
      </c>
      <c r="BI162" s="41">
        <f>IFERROR(VLOOKUP($A162,FoodRev[],7,0),0)</f>
        <v>0</v>
      </c>
      <c r="BJ162" s="41">
        <f>IFERROR(VLOOKUP($A162,FoodRev[],8,0),0)</f>
        <v>5631.81</v>
      </c>
      <c r="BK162" s="41">
        <f>IFERROR(VLOOKUP($A162,FoodRev[],9,0),0)</f>
        <v>0</v>
      </c>
      <c r="BL162" s="41">
        <f>IFERROR(VLOOKUP($A162,FoodRev[],10,0),0)</f>
        <v>0</v>
      </c>
      <c r="BM162" s="41">
        <f t="shared" si="45"/>
        <v>55007.34</v>
      </c>
      <c r="BN162" s="42">
        <f t="shared" si="33"/>
        <v>53498.659999999989</v>
      </c>
      <c r="BO162" s="78">
        <f t="shared" si="40"/>
        <v>53498.659999999989</v>
      </c>
      <c r="BP162" s="78">
        <f t="shared" si="41"/>
        <v>0</v>
      </c>
    </row>
    <row r="163" spans="1:68" x14ac:dyDescent="0.25">
      <c r="A163" s="40" t="s">
        <v>376</v>
      </c>
      <c r="B163" s="40" t="s">
        <v>1015</v>
      </c>
      <c r="D163" s="203">
        <f t="shared" si="42"/>
        <v>0</v>
      </c>
      <c r="E163" s="41">
        <f>IFERROR(VLOOKUP(A163,Items[],5,0),0)</f>
        <v>11823008.01</v>
      </c>
      <c r="F163" s="42">
        <f t="shared" si="43"/>
        <v>11823008.01</v>
      </c>
      <c r="G163" s="41">
        <v>0</v>
      </c>
      <c r="H163" s="41">
        <f>IFERROR(VLOOKUP(A163,Items[],4,0),0)</f>
        <v>12855588.66</v>
      </c>
      <c r="I163" s="41">
        <f>IFERROR(VLOOKUP(A163,Community[],4,0),0)</f>
        <v>0</v>
      </c>
      <c r="J163" s="41">
        <f>IFERROR(VLOOKUP(A163,Community[],5,0),0)</f>
        <v>0</v>
      </c>
      <c r="K163" s="41">
        <f>IFERROR(VLOOKUP(A163,Community[],6,0),0)</f>
        <v>283.27999999999997</v>
      </c>
      <c r="L163" s="41">
        <f>IFERROR(VLOOKUP(A163,Community[],7,0),0)</f>
        <v>25974.5</v>
      </c>
      <c r="M163" s="41">
        <f>IFERROR(VLOOKUP(A163,Debt[],3,0),0)</f>
        <v>0</v>
      </c>
      <c r="N163" s="41">
        <f>IFERROR(VLOOKUP(A163,Debt[],4,0),0)</f>
        <v>0</v>
      </c>
      <c r="O163" s="41">
        <f>IFERROR(VLOOKUP(A163,Debt[],5,0),0)</f>
        <v>0</v>
      </c>
      <c r="P163" s="41">
        <f>IFERROR(VLOOKUP(A163,Items[],3,0),0)</f>
        <v>38215.629999999997</v>
      </c>
      <c r="Q163" s="41">
        <f>IFERROR(VLOOKUP($A163,Federal[],2,0),0)</f>
        <v>0</v>
      </c>
      <c r="R163" s="41">
        <f>IFERROR(VLOOKUP($A163,Federal[],4,0),0)</f>
        <v>806604.21</v>
      </c>
      <c r="S163" s="41"/>
      <c r="T163" s="47">
        <f>IFERROR(VLOOKUP($A163,Program[],3,0),0)</f>
        <v>0</v>
      </c>
      <c r="U163" s="47"/>
      <c r="V163" s="41">
        <f>IFERROR(VLOOKUP($A163,Program[],4,0),0)</f>
        <v>0</v>
      </c>
      <c r="W163" s="41">
        <f>IFERROR(VLOOKUP($A163,Program[],5,0),0)</f>
        <v>0</v>
      </c>
      <c r="X163" s="41"/>
      <c r="Y163" s="41"/>
      <c r="Z163" s="41"/>
      <c r="AA163" s="41">
        <f>IFERROR(VLOOKUP($A163,Program[],6,0),0)</f>
        <v>0</v>
      </c>
      <c r="AB163" s="41"/>
      <c r="AC163" s="41"/>
      <c r="AD163" s="41">
        <f>IFERROR(VLOOKUP($A163,Program[],7,0),0)</f>
        <v>0</v>
      </c>
      <c r="AE163" s="41">
        <f>IFERROR(VLOOKUP($A163,Program[],8,0),0)</f>
        <v>0</v>
      </c>
      <c r="AF163" s="41">
        <f>IFERROR(VLOOKUP($A163,Program[],9,0),0)</f>
        <v>0</v>
      </c>
      <c r="AG163" s="41">
        <f>IFERROR(VLOOKUP($A163,Program[],10,0),0)</f>
        <v>0</v>
      </c>
      <c r="AH163" s="41">
        <f>IFERROR(VLOOKUP($A163,Program[],11,0),0)</f>
        <v>0</v>
      </c>
      <c r="AI163" s="41">
        <f>IFERROR(VLOOKUP($A163,Program[],12,0),0)</f>
        <v>0</v>
      </c>
      <c r="AJ163" s="41"/>
      <c r="AK163" s="41">
        <f>IFERROR(VLOOKUP($A163,Program[],13,0),0)</f>
        <v>0</v>
      </c>
      <c r="AL163" s="41"/>
      <c r="AM163" s="41"/>
      <c r="AN163" s="41"/>
      <c r="AO163" s="41"/>
      <c r="AP163" s="41"/>
      <c r="AQ163" s="41"/>
      <c r="AR163" s="41"/>
      <c r="AS163" s="41">
        <f>IFERROR(VLOOKUP($A163,Program[],14,0),0)</f>
        <v>0</v>
      </c>
      <c r="AT163" s="41"/>
      <c r="AU163" s="41"/>
      <c r="AV163" s="41">
        <f>IFERROR(VLOOKUP($A163,Program[],15,0),0)</f>
        <v>0</v>
      </c>
      <c r="AW163" s="41"/>
      <c r="AX163" s="41">
        <f>IFERROR(VLOOKUP($A163,Program[],16,0),0)</f>
        <v>0</v>
      </c>
      <c r="AY163" s="41">
        <f>IFERROR(VLOOKUP($A163,Program[],17,0),0)</f>
        <v>0</v>
      </c>
      <c r="AZ163" s="41">
        <f>IFERROR(VLOOKUP($A163,Program[],18,0),0)</f>
        <v>0</v>
      </c>
      <c r="BA163" s="41">
        <f>IFERROR(VLOOKUP($A163,Program[],19,0),0)</f>
        <v>0</v>
      </c>
      <c r="BB163" s="77">
        <f t="shared" si="44"/>
        <v>45267.259999999922</v>
      </c>
      <c r="BC163" s="41">
        <f>IFERROR(VLOOKUP(A163,Food[],3,0),0)</f>
        <v>384130.70999999996</v>
      </c>
      <c r="BD163" s="41">
        <f>IFERROR(VLOOKUP($A163,FoodRev[],2,0),0)</f>
        <v>35453.760000000002</v>
      </c>
      <c r="BE163" s="41">
        <f>IFERROR(VLOOKUP($A163,FoodRev[],3,0),0)</f>
        <v>126049.27</v>
      </c>
      <c r="BF163" s="41">
        <f>IFERROR(VLOOKUP($A163,FoodRev[],4,0),0)</f>
        <v>0</v>
      </c>
      <c r="BG163" s="41">
        <f>IFERROR(VLOOKUP($A163,FoodRev[],5,0),0)</f>
        <v>177360.42</v>
      </c>
      <c r="BH163" s="41">
        <f>IFERROR(VLOOKUP($A163,FoodRev[],6,0),0)</f>
        <v>0</v>
      </c>
      <c r="BI163" s="41">
        <f>IFERROR(VLOOKUP($A163,FoodRev[],7,0),0)</f>
        <v>0</v>
      </c>
      <c r="BJ163" s="41">
        <f>IFERROR(VLOOKUP($A163,FoodRev[],8,0),0)</f>
        <v>0</v>
      </c>
      <c r="BK163" s="41">
        <f>IFERROR(VLOOKUP($A163,FoodRev[],9,0),0)</f>
        <v>0</v>
      </c>
      <c r="BL163" s="41">
        <f>IFERROR(VLOOKUP($A163,FoodRev[],10,0),0)</f>
        <v>0</v>
      </c>
      <c r="BM163" s="41">
        <f t="shared" si="45"/>
        <v>338863.45</v>
      </c>
      <c r="BN163" s="42">
        <f t="shared" si="33"/>
        <v>45267.259999999922</v>
      </c>
      <c r="BO163" s="78">
        <f t="shared" si="40"/>
        <v>45267.259999999922</v>
      </c>
      <c r="BP163" s="78">
        <f t="shared" si="41"/>
        <v>0</v>
      </c>
    </row>
    <row r="164" spans="1:68" x14ac:dyDescent="0.25">
      <c r="A164" s="40" t="s">
        <v>542</v>
      </c>
      <c r="B164" s="40" t="s">
        <v>848</v>
      </c>
      <c r="D164" s="203">
        <f t="shared" si="42"/>
        <v>0</v>
      </c>
      <c r="E164" s="41">
        <f>IFERROR(VLOOKUP(A164,Items[],5,0),0)</f>
        <v>3043422.31</v>
      </c>
      <c r="F164" s="42">
        <f t="shared" si="43"/>
        <v>3043422.31</v>
      </c>
      <c r="G164" s="41">
        <v>0</v>
      </c>
      <c r="H164" s="41">
        <f>IFERROR(VLOOKUP(A164,Items[],4,0),0)</f>
        <v>3290991.64</v>
      </c>
      <c r="I164" s="41">
        <f>IFERROR(VLOOKUP(A164,Community[],4,0),0)</f>
        <v>0</v>
      </c>
      <c r="J164" s="41">
        <f>IFERROR(VLOOKUP(A164,Community[],5,0),0)</f>
        <v>0</v>
      </c>
      <c r="K164" s="41">
        <f>IFERROR(VLOOKUP(A164,Community[],6,0),0)</f>
        <v>0</v>
      </c>
      <c r="L164" s="41">
        <f>IFERROR(VLOOKUP(A164,Community[],7,0),0)</f>
        <v>71985.929999999993</v>
      </c>
      <c r="M164" s="41">
        <f>IFERROR(VLOOKUP(A164,Debt[],3,0),0)</f>
        <v>0</v>
      </c>
      <c r="N164" s="41">
        <f>IFERROR(VLOOKUP(A164,Debt[],4,0),0)</f>
        <v>0</v>
      </c>
      <c r="O164" s="41">
        <f>IFERROR(VLOOKUP(A164,Debt[],5,0),0)</f>
        <v>0</v>
      </c>
      <c r="P164" s="41">
        <f>IFERROR(VLOOKUP(A164,Items[],3,0),0)</f>
        <v>16011.25</v>
      </c>
      <c r="Q164" s="41">
        <f>IFERROR(VLOOKUP($A164,Federal[],2,0),0)</f>
        <v>0</v>
      </c>
      <c r="R164" s="41">
        <f>IFERROR(VLOOKUP($A164,Federal[],4,0),0)</f>
        <v>92060.78</v>
      </c>
      <c r="S164" s="41"/>
      <c r="T164" s="47">
        <f>IFERROR(VLOOKUP($A164,Program[],3,0),0)</f>
        <v>0</v>
      </c>
      <c r="U164" s="47"/>
      <c r="V164" s="41">
        <f>IFERROR(VLOOKUP($A164,Program[],4,0),0)</f>
        <v>0</v>
      </c>
      <c r="W164" s="41">
        <f>IFERROR(VLOOKUP($A164,Program[],5,0),0)</f>
        <v>0</v>
      </c>
      <c r="X164" s="41"/>
      <c r="Y164" s="41"/>
      <c r="Z164" s="41"/>
      <c r="AA164" s="41">
        <f>IFERROR(VLOOKUP($A164,Program[],6,0),0)</f>
        <v>0</v>
      </c>
      <c r="AB164" s="41"/>
      <c r="AC164" s="41"/>
      <c r="AD164" s="41">
        <f>IFERROR(VLOOKUP($A164,Program[],7,0),0)</f>
        <v>0</v>
      </c>
      <c r="AE164" s="41">
        <f>IFERROR(VLOOKUP($A164,Program[],8,0),0)</f>
        <v>0</v>
      </c>
      <c r="AF164" s="41">
        <f>IFERROR(VLOOKUP($A164,Program[],9,0),0)</f>
        <v>0</v>
      </c>
      <c r="AG164" s="41">
        <f>IFERROR(VLOOKUP($A164,Program[],10,0),0)</f>
        <v>0</v>
      </c>
      <c r="AH164" s="41">
        <f>IFERROR(VLOOKUP($A164,Program[],11,0),0)</f>
        <v>0</v>
      </c>
      <c r="AI164" s="41">
        <f>IFERROR(VLOOKUP($A164,Program[],12,0),0)</f>
        <v>0</v>
      </c>
      <c r="AJ164" s="41"/>
      <c r="AK164" s="41">
        <f>IFERROR(VLOOKUP($A164,Program[],13,0),0)</f>
        <v>0</v>
      </c>
      <c r="AL164" s="41"/>
      <c r="AM164" s="41"/>
      <c r="AN164" s="41"/>
      <c r="AO164" s="41"/>
      <c r="AP164" s="41"/>
      <c r="AQ164" s="41"/>
      <c r="AR164" s="41"/>
      <c r="AS164" s="41">
        <f>IFERROR(VLOOKUP($A164,Program[],14,0),0)</f>
        <v>0</v>
      </c>
      <c r="AT164" s="41"/>
      <c r="AU164" s="41"/>
      <c r="AV164" s="41">
        <f>IFERROR(VLOOKUP($A164,Program[],15,0),0)</f>
        <v>0</v>
      </c>
      <c r="AW164" s="41"/>
      <c r="AX164" s="41">
        <f>IFERROR(VLOOKUP($A164,Program[],16,0),0)</f>
        <v>0</v>
      </c>
      <c r="AY164" s="41">
        <f>IFERROR(VLOOKUP($A164,Program[],17,0),0)</f>
        <v>0</v>
      </c>
      <c r="AZ164" s="41">
        <f>IFERROR(VLOOKUP($A164,Program[],18,0),0)</f>
        <v>0</v>
      </c>
      <c r="BA164" s="41">
        <f>IFERROR(VLOOKUP($A164,Program[],19,0),0)</f>
        <v>0</v>
      </c>
      <c r="BB164" s="77">
        <f t="shared" si="44"/>
        <v>81471.070000000036</v>
      </c>
      <c r="BC164" s="41">
        <f>IFERROR(VLOOKUP(A164,Food[],3,0),0)</f>
        <v>189567.29</v>
      </c>
      <c r="BD164" s="41">
        <f>IFERROR(VLOOKUP($A164,FoodRev[],2,0),0)</f>
        <v>1290.8</v>
      </c>
      <c r="BE164" s="41">
        <f>IFERROR(VLOOKUP($A164,FoodRev[],3,0),0)</f>
        <v>54333.9</v>
      </c>
      <c r="BF164" s="41">
        <f>IFERROR(VLOOKUP($A164,FoodRev[],4,0),0)</f>
        <v>11886.67</v>
      </c>
      <c r="BG164" s="41">
        <f>IFERROR(VLOOKUP($A164,FoodRev[],5,0),0)</f>
        <v>40584.85</v>
      </c>
      <c r="BH164" s="41">
        <f>IFERROR(VLOOKUP($A164,FoodRev[],6,0),0)</f>
        <v>0</v>
      </c>
      <c r="BI164" s="41">
        <f>IFERROR(VLOOKUP($A164,FoodRev[],7,0),0)</f>
        <v>0</v>
      </c>
      <c r="BJ164" s="41">
        <f>IFERROR(VLOOKUP($A164,FoodRev[],8,0),0)</f>
        <v>0</v>
      </c>
      <c r="BK164" s="41">
        <f>IFERROR(VLOOKUP($A164,FoodRev[],9,0),0)</f>
        <v>0</v>
      </c>
      <c r="BL164" s="41">
        <f>IFERROR(VLOOKUP($A164,FoodRev[],10,0),0)</f>
        <v>0</v>
      </c>
      <c r="BM164" s="41">
        <f t="shared" si="45"/>
        <v>108096.22</v>
      </c>
      <c r="BN164" s="42">
        <f t="shared" si="33"/>
        <v>81471.070000000036</v>
      </c>
      <c r="BO164" s="78">
        <f t="shared" ref="BO164:BO196" si="46">IF(BN164&lt;0,0,BN164)</f>
        <v>81471.070000000036</v>
      </c>
      <c r="BP164" s="78">
        <f t="shared" ref="BP164:BP196" si="47">IF(BN164&lt;0,BN164,0)</f>
        <v>0</v>
      </c>
    </row>
    <row r="165" spans="1:68" x14ac:dyDescent="0.25">
      <c r="A165" s="40" t="s">
        <v>530</v>
      </c>
      <c r="B165" s="40" t="s">
        <v>849</v>
      </c>
      <c r="D165" s="203">
        <f t="shared" si="42"/>
        <v>0</v>
      </c>
      <c r="E165" s="41">
        <f>IFERROR(VLOOKUP(A165,Items[],5,0),0)</f>
        <v>3557372.51</v>
      </c>
      <c r="F165" s="42">
        <f t="shared" si="43"/>
        <v>3557372.51</v>
      </c>
      <c r="G165" s="41">
        <v>0</v>
      </c>
      <c r="H165" s="41">
        <f>IFERROR(VLOOKUP(A165,Items[],4,0),0)</f>
        <v>3737309.91</v>
      </c>
      <c r="I165" s="41">
        <f>IFERROR(VLOOKUP(A165,Community[],4,0),0)</f>
        <v>0</v>
      </c>
      <c r="J165" s="41">
        <f>IFERROR(VLOOKUP(A165,Community[],5,0),0)</f>
        <v>0</v>
      </c>
      <c r="K165" s="41">
        <f>IFERROR(VLOOKUP(A165,Community[],6,0),0)</f>
        <v>0</v>
      </c>
      <c r="L165" s="41">
        <f>IFERROR(VLOOKUP(A165,Community[],7,0),0)</f>
        <v>0</v>
      </c>
      <c r="M165" s="41">
        <f>IFERROR(VLOOKUP(A165,Debt[],3,0),0)</f>
        <v>0</v>
      </c>
      <c r="N165" s="41">
        <f>IFERROR(VLOOKUP(A165,Debt[],4,0),0)</f>
        <v>0</v>
      </c>
      <c r="O165" s="41">
        <f>IFERROR(VLOOKUP(A165,Debt[],5,0),0)</f>
        <v>0</v>
      </c>
      <c r="P165" s="41">
        <f>IFERROR(VLOOKUP(A165,Items[],3,0),0)</f>
        <v>0</v>
      </c>
      <c r="Q165" s="41">
        <f>IFERROR(VLOOKUP($A165,Federal[],2,0),0)</f>
        <v>0</v>
      </c>
      <c r="R165" s="41">
        <f>IFERROR(VLOOKUP($A165,Federal[],4,0),0)</f>
        <v>160447.67999999999</v>
      </c>
      <c r="S165" s="41"/>
      <c r="T165" s="47">
        <f>IFERROR(VLOOKUP($A165,Program[],3,0),0)</f>
        <v>0</v>
      </c>
      <c r="U165" s="47"/>
      <c r="V165" s="41">
        <f>IFERROR(VLOOKUP($A165,Program[],4,0),0)</f>
        <v>0</v>
      </c>
      <c r="W165" s="41">
        <f>IFERROR(VLOOKUP($A165,Program[],5,0),0)</f>
        <v>0</v>
      </c>
      <c r="X165" s="41"/>
      <c r="Y165" s="41"/>
      <c r="Z165" s="41"/>
      <c r="AA165" s="41">
        <f>IFERROR(VLOOKUP($A165,Program[],6,0),0)</f>
        <v>0</v>
      </c>
      <c r="AB165" s="41"/>
      <c r="AC165" s="41"/>
      <c r="AD165" s="41">
        <f>IFERROR(VLOOKUP($A165,Program[],7,0),0)</f>
        <v>0</v>
      </c>
      <c r="AE165" s="41">
        <f>IFERROR(VLOOKUP($A165,Program[],8,0),0)</f>
        <v>0</v>
      </c>
      <c r="AF165" s="41">
        <f>IFERROR(VLOOKUP($A165,Program[],9,0),0)</f>
        <v>0</v>
      </c>
      <c r="AG165" s="41">
        <f>IFERROR(VLOOKUP($A165,Program[],10,0),0)</f>
        <v>0</v>
      </c>
      <c r="AH165" s="41">
        <f>IFERROR(VLOOKUP($A165,Program[],11,0),0)</f>
        <v>0</v>
      </c>
      <c r="AI165" s="41">
        <f>IFERROR(VLOOKUP($A165,Program[],12,0),0)</f>
        <v>0</v>
      </c>
      <c r="AJ165" s="41"/>
      <c r="AK165" s="41">
        <f>IFERROR(VLOOKUP($A165,Program[],13,0),0)</f>
        <v>0</v>
      </c>
      <c r="AL165" s="41"/>
      <c r="AM165" s="41"/>
      <c r="AN165" s="41"/>
      <c r="AO165" s="41"/>
      <c r="AP165" s="41"/>
      <c r="AQ165" s="41"/>
      <c r="AR165" s="41"/>
      <c r="AS165" s="41">
        <f>IFERROR(VLOOKUP($A165,Program[],14,0),0)</f>
        <v>0</v>
      </c>
      <c r="AT165" s="41"/>
      <c r="AU165" s="41"/>
      <c r="AV165" s="41">
        <f>IFERROR(VLOOKUP($A165,Program[],15,0),0)</f>
        <v>0</v>
      </c>
      <c r="AW165" s="41"/>
      <c r="AX165" s="41">
        <f>IFERROR(VLOOKUP($A165,Program[],16,0),0)</f>
        <v>0</v>
      </c>
      <c r="AY165" s="41">
        <f>IFERROR(VLOOKUP($A165,Program[],17,0),0)</f>
        <v>0</v>
      </c>
      <c r="AZ165" s="41">
        <f>IFERROR(VLOOKUP($A165,Program[],18,0),0)</f>
        <v>0</v>
      </c>
      <c r="BA165" s="41">
        <f>IFERROR(VLOOKUP($A165,Program[],19,0),0)</f>
        <v>0</v>
      </c>
      <c r="BB165" s="77">
        <f t="shared" si="44"/>
        <v>76526.679999999978</v>
      </c>
      <c r="BC165" s="41">
        <f>IFERROR(VLOOKUP(A165,Food[],3,0),0)</f>
        <v>151725.13999999998</v>
      </c>
      <c r="BD165" s="41">
        <f>IFERROR(VLOOKUP($A165,FoodRev[],2,0),0)</f>
        <v>12324.85</v>
      </c>
      <c r="BE165" s="41">
        <f>IFERROR(VLOOKUP($A165,FoodRev[],3,0),0)</f>
        <v>7164.87</v>
      </c>
      <c r="BF165" s="41">
        <f>IFERROR(VLOOKUP($A165,FoodRev[],4,0),0)</f>
        <v>0</v>
      </c>
      <c r="BG165" s="41">
        <f>IFERROR(VLOOKUP($A165,FoodRev[],5,0),0)</f>
        <v>47848.11</v>
      </c>
      <c r="BH165" s="41">
        <f>IFERROR(VLOOKUP($A165,FoodRev[],6,0),0)</f>
        <v>0</v>
      </c>
      <c r="BI165" s="41">
        <f>IFERROR(VLOOKUP($A165,FoodRev[],7,0),0)</f>
        <v>0</v>
      </c>
      <c r="BJ165" s="41">
        <f>IFERROR(VLOOKUP($A165,FoodRev[],8,0),0)</f>
        <v>7860.63</v>
      </c>
      <c r="BK165" s="41">
        <f>IFERROR(VLOOKUP($A165,FoodRev[],9,0),0)</f>
        <v>0</v>
      </c>
      <c r="BL165" s="41">
        <f>IFERROR(VLOOKUP($A165,FoodRev[],10,0),0)</f>
        <v>0</v>
      </c>
      <c r="BM165" s="41">
        <f t="shared" si="45"/>
        <v>75198.460000000006</v>
      </c>
      <c r="BN165" s="42">
        <f t="shared" si="33"/>
        <v>76526.679999999978</v>
      </c>
      <c r="BO165" s="78">
        <f t="shared" si="46"/>
        <v>76526.679999999978</v>
      </c>
      <c r="BP165" s="78">
        <f t="shared" si="47"/>
        <v>0</v>
      </c>
    </row>
    <row r="166" spans="1:68" x14ac:dyDescent="0.25">
      <c r="A166" s="40" t="s">
        <v>446</v>
      </c>
      <c r="B166" s="40" t="s">
        <v>850</v>
      </c>
      <c r="D166" s="203">
        <f t="shared" si="42"/>
        <v>9.3132257461547852E-10</v>
      </c>
      <c r="E166" s="41">
        <f>IFERROR(VLOOKUP(A166,Items[],5,0),0)</f>
        <v>4950915.8899999997</v>
      </c>
      <c r="F166" s="42">
        <f t="shared" si="43"/>
        <v>4950915.8899999987</v>
      </c>
      <c r="G166" s="41">
        <v>0</v>
      </c>
      <c r="H166" s="41">
        <f>IFERROR(VLOOKUP(A166,Items[],4,0),0)</f>
        <v>5349889.8899999997</v>
      </c>
      <c r="I166" s="41">
        <f>IFERROR(VLOOKUP(A166,Community[],4,0),0)</f>
        <v>0</v>
      </c>
      <c r="J166" s="41">
        <f>IFERROR(VLOOKUP(A166,Community[],5,0),0)</f>
        <v>0</v>
      </c>
      <c r="K166" s="41">
        <f>IFERROR(VLOOKUP(A166,Community[],6,0),0)</f>
        <v>0</v>
      </c>
      <c r="L166" s="41">
        <f>IFERROR(VLOOKUP(A166,Community[],7,0),0)</f>
        <v>0</v>
      </c>
      <c r="M166" s="41">
        <f>IFERROR(VLOOKUP(A166,Debt[],3,0),0)</f>
        <v>0</v>
      </c>
      <c r="N166" s="41">
        <f>IFERROR(VLOOKUP(A166,Debt[],4,0),0)</f>
        <v>0</v>
      </c>
      <c r="O166" s="41">
        <f>IFERROR(VLOOKUP(A166,Debt[],5,0),0)</f>
        <v>0</v>
      </c>
      <c r="P166" s="41">
        <f>IFERROR(VLOOKUP(A166,Items[],3,0),0)</f>
        <v>57473</v>
      </c>
      <c r="Q166" s="41">
        <f>IFERROR(VLOOKUP($A166,Federal[],2,0),0)</f>
        <v>0</v>
      </c>
      <c r="R166" s="41">
        <f>IFERROR(VLOOKUP($A166,Federal[],4,0),0)</f>
        <v>257401.03</v>
      </c>
      <c r="S166" s="41"/>
      <c r="T166" s="47">
        <f>IFERROR(VLOOKUP($A166,Program[],3,0),0)</f>
        <v>0</v>
      </c>
      <c r="U166" s="47"/>
      <c r="V166" s="41">
        <f>IFERROR(VLOOKUP($A166,Program[],4,0),0)</f>
        <v>0</v>
      </c>
      <c r="W166" s="41">
        <f>IFERROR(VLOOKUP($A166,Program[],5,0),0)</f>
        <v>0</v>
      </c>
      <c r="X166" s="41"/>
      <c r="Y166" s="41"/>
      <c r="Z166" s="41"/>
      <c r="AA166" s="41">
        <f>IFERROR(VLOOKUP($A166,Program[],6,0),0)</f>
        <v>0</v>
      </c>
      <c r="AB166" s="41"/>
      <c r="AC166" s="41"/>
      <c r="AD166" s="41">
        <f>IFERROR(VLOOKUP($A166,Program[],7,0),0)</f>
        <v>0</v>
      </c>
      <c r="AE166" s="41">
        <f>IFERROR(VLOOKUP($A166,Program[],8,0),0)</f>
        <v>0</v>
      </c>
      <c r="AF166" s="41">
        <f>IFERROR(VLOOKUP($A166,Program[],9,0),0)</f>
        <v>0</v>
      </c>
      <c r="AG166" s="41">
        <f>IFERROR(VLOOKUP($A166,Program[],10,0),0)</f>
        <v>0</v>
      </c>
      <c r="AH166" s="41">
        <f>IFERROR(VLOOKUP($A166,Program[],11,0),0)</f>
        <v>0</v>
      </c>
      <c r="AI166" s="41">
        <f>IFERROR(VLOOKUP($A166,Program[],12,0),0)</f>
        <v>0</v>
      </c>
      <c r="AJ166" s="41"/>
      <c r="AK166" s="41">
        <f>IFERROR(VLOOKUP($A166,Program[],13,0),0)</f>
        <v>0</v>
      </c>
      <c r="AL166" s="41"/>
      <c r="AM166" s="41"/>
      <c r="AN166" s="41"/>
      <c r="AO166" s="41"/>
      <c r="AP166" s="41"/>
      <c r="AQ166" s="41"/>
      <c r="AR166" s="41"/>
      <c r="AS166" s="41">
        <f>IFERROR(VLOOKUP($A166,Program[],14,0),0)</f>
        <v>0</v>
      </c>
      <c r="AT166" s="41"/>
      <c r="AU166" s="41"/>
      <c r="AV166" s="41">
        <f>IFERROR(VLOOKUP($A166,Program[],15,0),0)</f>
        <v>0</v>
      </c>
      <c r="AW166" s="41"/>
      <c r="AX166" s="41">
        <f>IFERROR(VLOOKUP($A166,Program[],16,0),0)</f>
        <v>0</v>
      </c>
      <c r="AY166" s="41">
        <f>IFERROR(VLOOKUP($A166,Program[],17,0),0)</f>
        <v>0</v>
      </c>
      <c r="AZ166" s="41">
        <f>IFERROR(VLOOKUP($A166,Program[],18,0),0)</f>
        <v>0</v>
      </c>
      <c r="BA166" s="41">
        <f>IFERROR(VLOOKUP($A166,Program[],19,0),0)</f>
        <v>0</v>
      </c>
      <c r="BB166" s="77">
        <f t="shared" si="44"/>
        <v>10424.490000000013</v>
      </c>
      <c r="BC166" s="41">
        <f>IFERROR(VLOOKUP(A166,Food[],3,0),0)</f>
        <v>188605.03</v>
      </c>
      <c r="BD166" s="41">
        <f>IFERROR(VLOOKUP($A166,FoodRev[],2,0),0)</f>
        <v>26712.02</v>
      </c>
      <c r="BE166" s="41">
        <f>IFERROR(VLOOKUP($A166,FoodRev[],3,0),0)</f>
        <v>57387.95</v>
      </c>
      <c r="BF166" s="41">
        <f>IFERROR(VLOOKUP($A166,FoodRev[],4,0),0)</f>
        <v>0</v>
      </c>
      <c r="BG166" s="41">
        <f>IFERROR(VLOOKUP($A166,FoodRev[],5,0),0)</f>
        <v>83177.14</v>
      </c>
      <c r="BH166" s="41">
        <f>IFERROR(VLOOKUP($A166,FoodRev[],6,0),0)</f>
        <v>0</v>
      </c>
      <c r="BI166" s="41">
        <f>IFERROR(VLOOKUP($A166,FoodRev[],7,0),0)</f>
        <v>0</v>
      </c>
      <c r="BJ166" s="41">
        <f>IFERROR(VLOOKUP($A166,FoodRev[],8,0),0)</f>
        <v>10903.43</v>
      </c>
      <c r="BK166" s="41">
        <f>IFERROR(VLOOKUP($A166,FoodRev[],9,0),0)</f>
        <v>0</v>
      </c>
      <c r="BL166" s="41">
        <f>IFERROR(VLOOKUP($A166,FoodRev[],10,0),0)</f>
        <v>0</v>
      </c>
      <c r="BM166" s="41">
        <f t="shared" si="45"/>
        <v>178180.53999999998</v>
      </c>
      <c r="BN166" s="42">
        <f t="shared" si="33"/>
        <v>10424.490000000013</v>
      </c>
      <c r="BO166" s="78">
        <f t="shared" si="46"/>
        <v>10424.490000000013</v>
      </c>
      <c r="BP166" s="78">
        <f t="shared" si="47"/>
        <v>0</v>
      </c>
    </row>
    <row r="167" spans="1:68" x14ac:dyDescent="0.25">
      <c r="A167" s="40" t="s">
        <v>438</v>
      </c>
      <c r="B167" s="40" t="s">
        <v>851</v>
      </c>
      <c r="D167" s="203">
        <f t="shared" si="42"/>
        <v>9.3132257461547852E-10</v>
      </c>
      <c r="E167" s="41">
        <f>IFERROR(VLOOKUP(A167,Items[],5,0),0)</f>
        <v>4325085.16</v>
      </c>
      <c r="F167" s="42">
        <f t="shared" si="43"/>
        <v>4325085.1599999992</v>
      </c>
      <c r="G167" s="41">
        <v>0</v>
      </c>
      <c r="H167" s="41">
        <f>IFERROR(VLOOKUP(A167,Items[],4,0),0)</f>
        <v>4712181.7300000004</v>
      </c>
      <c r="I167" s="41">
        <f>IFERROR(VLOOKUP(A167,Community[],4,0),0)</f>
        <v>0</v>
      </c>
      <c r="J167" s="41">
        <f>IFERROR(VLOOKUP(A167,Community[],5,0),0)</f>
        <v>0</v>
      </c>
      <c r="K167" s="41">
        <f>IFERROR(VLOOKUP(A167,Community[],6,0),0)</f>
        <v>0</v>
      </c>
      <c r="L167" s="41">
        <f>IFERROR(VLOOKUP(A167,Community[],7,0),0)</f>
        <v>0</v>
      </c>
      <c r="M167" s="41">
        <f>IFERROR(VLOOKUP(A167,Debt[],3,0),0)</f>
        <v>0</v>
      </c>
      <c r="N167" s="41">
        <f>IFERROR(VLOOKUP(A167,Debt[],4,0),0)</f>
        <v>0</v>
      </c>
      <c r="O167" s="41">
        <f>IFERROR(VLOOKUP(A167,Debt[],5,0),0)</f>
        <v>0</v>
      </c>
      <c r="P167" s="41">
        <f>IFERROR(VLOOKUP(A167,Items[],3,0),0)</f>
        <v>8393.25</v>
      </c>
      <c r="Q167" s="41">
        <f>IFERROR(VLOOKUP($A167,Federal[],2,0),0)</f>
        <v>96871.65</v>
      </c>
      <c r="R167" s="41">
        <f>IFERROR(VLOOKUP($A167,Federal[],4,0),0)</f>
        <v>232235.49</v>
      </c>
      <c r="S167" s="41"/>
      <c r="T167" s="47">
        <f>IFERROR(VLOOKUP($A167,Program[],3,0),0)</f>
        <v>0</v>
      </c>
      <c r="U167" s="47"/>
      <c r="V167" s="41">
        <f>IFERROR(VLOOKUP($A167,Program[],4,0),0)</f>
        <v>0</v>
      </c>
      <c r="W167" s="41">
        <f>IFERROR(VLOOKUP($A167,Program[],5,0),0)</f>
        <v>0</v>
      </c>
      <c r="X167" s="41"/>
      <c r="Y167" s="41"/>
      <c r="Z167" s="41"/>
      <c r="AA167" s="41">
        <f>IFERROR(VLOOKUP($A167,Program[],6,0),0)</f>
        <v>0</v>
      </c>
      <c r="AB167" s="41"/>
      <c r="AC167" s="41"/>
      <c r="AD167" s="41">
        <f>IFERROR(VLOOKUP($A167,Program[],7,0),0)</f>
        <v>0</v>
      </c>
      <c r="AE167" s="41">
        <f>IFERROR(VLOOKUP($A167,Program[],8,0),0)</f>
        <v>0</v>
      </c>
      <c r="AF167" s="41">
        <f>IFERROR(VLOOKUP($A167,Program[],9,0),0)</f>
        <v>0</v>
      </c>
      <c r="AG167" s="41">
        <f>IFERROR(VLOOKUP($A167,Program[],10,0),0)</f>
        <v>0</v>
      </c>
      <c r="AH167" s="41">
        <f>IFERROR(VLOOKUP($A167,Program[],11,0),0)</f>
        <v>0</v>
      </c>
      <c r="AI167" s="41">
        <f>IFERROR(VLOOKUP($A167,Program[],12,0),0)</f>
        <v>0</v>
      </c>
      <c r="AJ167" s="41"/>
      <c r="AK167" s="41">
        <f>IFERROR(VLOOKUP($A167,Program[],13,0),0)</f>
        <v>0</v>
      </c>
      <c r="AL167" s="41"/>
      <c r="AM167" s="41"/>
      <c r="AN167" s="41"/>
      <c r="AO167" s="41"/>
      <c r="AP167" s="41"/>
      <c r="AQ167" s="41"/>
      <c r="AR167" s="41"/>
      <c r="AS167" s="41">
        <f>IFERROR(VLOOKUP($A167,Program[],14,0),0)</f>
        <v>0</v>
      </c>
      <c r="AT167" s="41"/>
      <c r="AU167" s="41"/>
      <c r="AV167" s="41">
        <f>IFERROR(VLOOKUP($A167,Program[],15,0),0)</f>
        <v>0</v>
      </c>
      <c r="AW167" s="41"/>
      <c r="AX167" s="41">
        <f>IFERROR(VLOOKUP($A167,Program[],16,0),0)</f>
        <v>0</v>
      </c>
      <c r="AY167" s="41">
        <f>IFERROR(VLOOKUP($A167,Program[],17,0),0)</f>
        <v>0</v>
      </c>
      <c r="AZ167" s="41">
        <f>IFERROR(VLOOKUP($A167,Program[],18,0),0)</f>
        <v>0</v>
      </c>
      <c r="BA167" s="41">
        <f>IFERROR(VLOOKUP($A167,Program[],19,0),0)</f>
        <v>0</v>
      </c>
      <c r="BB167" s="77">
        <f t="shared" si="44"/>
        <v>46522.85</v>
      </c>
      <c r="BC167" s="41">
        <f>IFERROR(VLOOKUP(A167,Food[],3,0),0)</f>
        <v>159302.87</v>
      </c>
      <c r="BD167" s="41">
        <f>IFERROR(VLOOKUP($A167,FoodRev[],2,0),0)</f>
        <v>8398.75</v>
      </c>
      <c r="BE167" s="41">
        <f>IFERROR(VLOOKUP($A167,FoodRev[],3,0),0)</f>
        <v>41197.43</v>
      </c>
      <c r="BF167" s="41">
        <f>IFERROR(VLOOKUP($A167,FoodRev[],4,0),0)</f>
        <v>0</v>
      </c>
      <c r="BG167" s="41">
        <f>IFERROR(VLOOKUP($A167,FoodRev[],5,0),0)</f>
        <v>56478.12</v>
      </c>
      <c r="BH167" s="41">
        <f>IFERROR(VLOOKUP($A167,FoodRev[],6,0),0)</f>
        <v>0</v>
      </c>
      <c r="BI167" s="41">
        <f>IFERROR(VLOOKUP($A167,FoodRev[],7,0),0)</f>
        <v>0</v>
      </c>
      <c r="BJ167" s="41">
        <f>IFERROR(VLOOKUP($A167,FoodRev[],8,0),0)</f>
        <v>6705.72</v>
      </c>
      <c r="BK167" s="41">
        <f>IFERROR(VLOOKUP($A167,FoodRev[],9,0),0)</f>
        <v>0</v>
      </c>
      <c r="BL167" s="41">
        <f>IFERROR(VLOOKUP($A167,FoodRev[],10,0),0)</f>
        <v>0</v>
      </c>
      <c r="BM167" s="41">
        <f t="shared" si="45"/>
        <v>112780.02</v>
      </c>
      <c r="BN167" s="42">
        <f t="shared" si="33"/>
        <v>46522.85</v>
      </c>
      <c r="BO167" s="78">
        <f t="shared" si="46"/>
        <v>46522.85</v>
      </c>
      <c r="BP167" s="78">
        <f t="shared" si="47"/>
        <v>0</v>
      </c>
    </row>
    <row r="168" spans="1:68" x14ac:dyDescent="0.25">
      <c r="A168" s="40" t="s">
        <v>518</v>
      </c>
      <c r="B168" s="40" t="s">
        <v>852</v>
      </c>
      <c r="D168" s="203">
        <f t="shared" si="42"/>
        <v>4.6566128730773926E-10</v>
      </c>
      <c r="E168" s="41">
        <f>IFERROR(VLOOKUP(A168,Items[],5,0),0)</f>
        <v>3665580.31</v>
      </c>
      <c r="F168" s="42">
        <f t="shared" si="43"/>
        <v>3665580.3099999996</v>
      </c>
      <c r="G168" s="41">
        <v>0</v>
      </c>
      <c r="H168" s="41">
        <f>IFERROR(VLOOKUP(A168,Items[],4,0),0)</f>
        <v>3991171.42</v>
      </c>
      <c r="I168" s="41">
        <f>IFERROR(VLOOKUP(A168,Community[],4,0),0)</f>
        <v>0</v>
      </c>
      <c r="J168" s="41">
        <f>IFERROR(VLOOKUP(A168,Community[],5,0),0)</f>
        <v>0</v>
      </c>
      <c r="K168" s="41">
        <f>IFERROR(VLOOKUP(A168,Community[],6,0),0)</f>
        <v>63022.22</v>
      </c>
      <c r="L168" s="41">
        <f>IFERROR(VLOOKUP(A168,Community[],7,0),0)</f>
        <v>0</v>
      </c>
      <c r="M168" s="41">
        <f>IFERROR(VLOOKUP(A168,Debt[],3,0),0)</f>
        <v>0</v>
      </c>
      <c r="N168" s="41">
        <f>IFERROR(VLOOKUP(A168,Debt[],4,0),0)</f>
        <v>0</v>
      </c>
      <c r="O168" s="41">
        <f>IFERROR(VLOOKUP(A168,Debt[],5,0),0)</f>
        <v>0</v>
      </c>
      <c r="P168" s="41">
        <f>IFERROR(VLOOKUP(A168,Items[],3,0),0)</f>
        <v>0</v>
      </c>
      <c r="Q168" s="41">
        <f>IFERROR(VLOOKUP($A168,Federal[],2,0),0)</f>
        <v>0</v>
      </c>
      <c r="R168" s="41">
        <f>IFERROR(VLOOKUP($A168,Federal[],4,0),0)</f>
        <v>242001.26</v>
      </c>
      <c r="S168" s="41"/>
      <c r="T168" s="47">
        <f>IFERROR(VLOOKUP($A168,Program[],3,0),0)</f>
        <v>0</v>
      </c>
      <c r="U168" s="47"/>
      <c r="V168" s="41">
        <f>IFERROR(VLOOKUP($A168,Program[],4,0),0)</f>
        <v>0</v>
      </c>
      <c r="W168" s="41">
        <f>IFERROR(VLOOKUP($A168,Program[],5,0),0)</f>
        <v>0</v>
      </c>
      <c r="X168" s="41"/>
      <c r="Y168" s="41"/>
      <c r="Z168" s="41"/>
      <c r="AA168" s="41">
        <f>IFERROR(VLOOKUP($A168,Program[],6,0),0)</f>
        <v>0</v>
      </c>
      <c r="AB168" s="41"/>
      <c r="AC168" s="41"/>
      <c r="AD168" s="41">
        <f>IFERROR(VLOOKUP($A168,Program[],7,0),0)</f>
        <v>0</v>
      </c>
      <c r="AE168" s="41">
        <f>IFERROR(VLOOKUP($A168,Program[],8,0),0)</f>
        <v>0</v>
      </c>
      <c r="AF168" s="41">
        <f>IFERROR(VLOOKUP($A168,Program[],9,0),0)</f>
        <v>0</v>
      </c>
      <c r="AG168" s="41">
        <f>IFERROR(VLOOKUP($A168,Program[],10,0),0)</f>
        <v>0</v>
      </c>
      <c r="AH168" s="41">
        <f>IFERROR(VLOOKUP($A168,Program[],11,0),0)</f>
        <v>0</v>
      </c>
      <c r="AI168" s="41">
        <f>IFERROR(VLOOKUP($A168,Program[],12,0),0)</f>
        <v>0</v>
      </c>
      <c r="AJ168" s="41"/>
      <c r="AK168" s="41">
        <f>IFERROR(VLOOKUP($A168,Program[],13,0),0)</f>
        <v>0</v>
      </c>
      <c r="AL168" s="41"/>
      <c r="AM168" s="41"/>
      <c r="AN168" s="41"/>
      <c r="AO168" s="41"/>
      <c r="AP168" s="41"/>
      <c r="AQ168" s="41"/>
      <c r="AR168" s="41"/>
      <c r="AS168" s="41">
        <f>IFERROR(VLOOKUP($A168,Program[],14,0),0)</f>
        <v>0</v>
      </c>
      <c r="AT168" s="41"/>
      <c r="AU168" s="41"/>
      <c r="AV168" s="41">
        <f>IFERROR(VLOOKUP($A168,Program[],15,0),0)</f>
        <v>0</v>
      </c>
      <c r="AW168" s="41"/>
      <c r="AX168" s="41">
        <f>IFERROR(VLOOKUP($A168,Program[],16,0),0)</f>
        <v>0</v>
      </c>
      <c r="AY168" s="41">
        <f>IFERROR(VLOOKUP($A168,Program[],17,0),0)</f>
        <v>0</v>
      </c>
      <c r="AZ168" s="41">
        <f>IFERROR(VLOOKUP($A168,Program[],18,0),0)</f>
        <v>0</v>
      </c>
      <c r="BA168" s="41">
        <f>IFERROR(VLOOKUP($A168,Program[],19,0),0)</f>
        <v>0</v>
      </c>
      <c r="BB168" s="77">
        <f t="shared" si="44"/>
        <v>89063.599999999991</v>
      </c>
      <c r="BC168" s="41">
        <f>IFERROR(VLOOKUP(A168,Food[],3,0),0)</f>
        <v>228323.33</v>
      </c>
      <c r="BD168" s="41">
        <f>IFERROR(VLOOKUP($A168,FoodRev[],2,0),0)</f>
        <v>1026.5</v>
      </c>
      <c r="BE168" s="41">
        <f>IFERROR(VLOOKUP($A168,FoodRev[],3,0),0)</f>
        <v>19541.13</v>
      </c>
      <c r="BF168" s="41">
        <f>IFERROR(VLOOKUP($A168,FoodRev[],4,0),0)</f>
        <v>0</v>
      </c>
      <c r="BG168" s="41">
        <f>IFERROR(VLOOKUP($A168,FoodRev[],5,0),0)</f>
        <v>74850.45</v>
      </c>
      <c r="BH168" s="41">
        <f>IFERROR(VLOOKUP($A168,FoodRev[],6,0),0)</f>
        <v>0</v>
      </c>
      <c r="BI168" s="41">
        <f>IFERROR(VLOOKUP($A168,FoodRev[],7,0),0)</f>
        <v>37917.94</v>
      </c>
      <c r="BJ168" s="41">
        <f>IFERROR(VLOOKUP($A168,FoodRev[],8,0),0)</f>
        <v>5923.71</v>
      </c>
      <c r="BK168" s="41">
        <f>IFERROR(VLOOKUP($A168,FoodRev[],9,0),0)</f>
        <v>0</v>
      </c>
      <c r="BL168" s="41">
        <f>IFERROR(VLOOKUP($A168,FoodRev[],10,0),0)</f>
        <v>0</v>
      </c>
      <c r="BM168" s="41">
        <f t="shared" si="45"/>
        <v>139259.73000000001</v>
      </c>
      <c r="BN168" s="42">
        <f t="shared" si="33"/>
        <v>89063.599999999991</v>
      </c>
      <c r="BO168" s="78">
        <f t="shared" si="46"/>
        <v>89063.599999999991</v>
      </c>
      <c r="BP168" s="78">
        <f t="shared" si="47"/>
        <v>0</v>
      </c>
    </row>
    <row r="169" spans="1:68" x14ac:dyDescent="0.25">
      <c r="A169" s="40" t="s">
        <v>368</v>
      </c>
      <c r="B169" s="40" t="s">
        <v>853</v>
      </c>
      <c r="D169" s="203">
        <f t="shared" si="42"/>
        <v>0</v>
      </c>
      <c r="E169" s="41">
        <f>IFERROR(VLOOKUP(A169,Items[],5,0),0)</f>
        <v>10159460.24</v>
      </c>
      <c r="F169" s="42">
        <f t="shared" si="43"/>
        <v>10159460.24</v>
      </c>
      <c r="G169" s="41">
        <v>0</v>
      </c>
      <c r="H169" s="41">
        <f>IFERROR(VLOOKUP(A169,Items[],4,0),0)</f>
        <v>10953871.810000001</v>
      </c>
      <c r="I169" s="41">
        <f>IFERROR(VLOOKUP(A169,Community[],4,0),0)</f>
        <v>0</v>
      </c>
      <c r="J169" s="41">
        <f>IFERROR(VLOOKUP(A169,Community[],5,0),0)</f>
        <v>0</v>
      </c>
      <c r="K169" s="41">
        <f>IFERROR(VLOOKUP(A169,Community[],6,0),0)</f>
        <v>0</v>
      </c>
      <c r="L169" s="41">
        <f>IFERROR(VLOOKUP(A169,Community[],7,0),0)</f>
        <v>0</v>
      </c>
      <c r="M169" s="41">
        <f>IFERROR(VLOOKUP(A169,Debt[],3,0),0)</f>
        <v>0</v>
      </c>
      <c r="N169" s="41">
        <f>IFERROR(VLOOKUP(A169,Debt[],4,0),0)</f>
        <v>0</v>
      </c>
      <c r="O169" s="41">
        <f>IFERROR(VLOOKUP(A169,Debt[],5,0),0)</f>
        <v>0</v>
      </c>
      <c r="P169" s="41">
        <f>IFERROR(VLOOKUP(A169,Items[],3,0),0)</f>
        <v>0</v>
      </c>
      <c r="Q169" s="41">
        <f>IFERROR(VLOOKUP($A169,Federal[],2,0),0)</f>
        <v>0</v>
      </c>
      <c r="R169" s="41">
        <f>IFERROR(VLOOKUP($A169,Federal[],4,0),0)</f>
        <v>654602.74</v>
      </c>
      <c r="S169" s="41"/>
      <c r="T169" s="47">
        <f>IFERROR(VLOOKUP($A169,Program[],3,0),0)</f>
        <v>0</v>
      </c>
      <c r="U169" s="47"/>
      <c r="V169" s="41">
        <f>IFERROR(VLOOKUP($A169,Program[],4,0),0)</f>
        <v>0</v>
      </c>
      <c r="W169" s="41">
        <f>IFERROR(VLOOKUP($A169,Program[],5,0),0)</f>
        <v>0</v>
      </c>
      <c r="X169" s="41"/>
      <c r="Y169" s="41"/>
      <c r="Z169" s="41"/>
      <c r="AA169" s="41">
        <f>IFERROR(VLOOKUP($A169,Program[],6,0),0)</f>
        <v>0</v>
      </c>
      <c r="AB169" s="41"/>
      <c r="AC169" s="41"/>
      <c r="AD169" s="41">
        <f>IFERROR(VLOOKUP($A169,Program[],7,0),0)</f>
        <v>0</v>
      </c>
      <c r="AE169" s="41">
        <f>IFERROR(VLOOKUP($A169,Program[],8,0),0)</f>
        <v>0</v>
      </c>
      <c r="AF169" s="41">
        <f>IFERROR(VLOOKUP($A169,Program[],9,0),0)</f>
        <v>0</v>
      </c>
      <c r="AG169" s="41">
        <f>IFERROR(VLOOKUP($A169,Program[],10,0),0)</f>
        <v>0</v>
      </c>
      <c r="AH169" s="41">
        <f>IFERROR(VLOOKUP($A169,Program[],11,0),0)</f>
        <v>0</v>
      </c>
      <c r="AI169" s="41">
        <f>IFERROR(VLOOKUP($A169,Program[],12,0),0)</f>
        <v>0</v>
      </c>
      <c r="AJ169" s="41"/>
      <c r="AK169" s="41">
        <f>IFERROR(VLOOKUP($A169,Program[],13,0),0)</f>
        <v>0</v>
      </c>
      <c r="AL169" s="41"/>
      <c r="AM169" s="41"/>
      <c r="AN169" s="41"/>
      <c r="AO169" s="41"/>
      <c r="AP169" s="41"/>
      <c r="AQ169" s="41"/>
      <c r="AR169" s="41"/>
      <c r="AS169" s="41">
        <f>IFERROR(VLOOKUP($A169,Program[],14,0),0)</f>
        <v>0</v>
      </c>
      <c r="AT169" s="41"/>
      <c r="AU169" s="41"/>
      <c r="AV169" s="41">
        <f>IFERROR(VLOOKUP($A169,Program[],15,0),0)</f>
        <v>0</v>
      </c>
      <c r="AW169" s="41"/>
      <c r="AX169" s="41">
        <f>IFERROR(VLOOKUP($A169,Program[],16,0),0)</f>
        <v>0</v>
      </c>
      <c r="AY169" s="41">
        <f>IFERROR(VLOOKUP($A169,Program[],17,0),0)</f>
        <v>0</v>
      </c>
      <c r="AZ169" s="41">
        <f>IFERROR(VLOOKUP($A169,Program[],18,0),0)</f>
        <v>0</v>
      </c>
      <c r="BA169" s="41">
        <f>IFERROR(VLOOKUP($A169,Program[],19,0),0)</f>
        <v>0</v>
      </c>
      <c r="BB169" s="77">
        <f t="shared" si="44"/>
        <v>64161.860000000037</v>
      </c>
      <c r="BC169" s="41">
        <f>IFERROR(VLOOKUP(A169,Food[],3,0),0)</f>
        <v>429547.62</v>
      </c>
      <c r="BD169" s="41">
        <f>IFERROR(VLOOKUP($A169,FoodRev[],2,0),0)</f>
        <v>34762.800000000003</v>
      </c>
      <c r="BE169" s="41">
        <f>IFERROR(VLOOKUP($A169,FoodRev[],3,0),0)</f>
        <v>105046.03</v>
      </c>
      <c r="BF169" s="41">
        <f>IFERROR(VLOOKUP($A169,FoodRev[],4,0),0)</f>
        <v>0</v>
      </c>
      <c r="BG169" s="41">
        <f>IFERROR(VLOOKUP($A169,FoodRev[],5,0),0)</f>
        <v>199257.28</v>
      </c>
      <c r="BH169" s="41">
        <f>IFERROR(VLOOKUP($A169,FoodRev[],6,0),0)</f>
        <v>0</v>
      </c>
      <c r="BI169" s="41">
        <f>IFERROR(VLOOKUP($A169,FoodRev[],7,0),0)</f>
        <v>0</v>
      </c>
      <c r="BJ169" s="41">
        <f>IFERROR(VLOOKUP($A169,FoodRev[],8,0),0)</f>
        <v>26319.65</v>
      </c>
      <c r="BK169" s="41">
        <f>IFERROR(VLOOKUP($A169,FoodRev[],9,0),0)</f>
        <v>0</v>
      </c>
      <c r="BL169" s="41">
        <f>IFERROR(VLOOKUP($A169,FoodRev[],10,0),0)</f>
        <v>0</v>
      </c>
      <c r="BM169" s="41">
        <f t="shared" si="45"/>
        <v>365385.76</v>
      </c>
      <c r="BN169" s="42">
        <f t="shared" si="33"/>
        <v>64161.860000000037</v>
      </c>
      <c r="BO169" s="78">
        <f t="shared" si="46"/>
        <v>64161.860000000037</v>
      </c>
      <c r="BP169" s="78">
        <f t="shared" si="47"/>
        <v>0</v>
      </c>
    </row>
    <row r="170" spans="1:68" x14ac:dyDescent="0.25">
      <c r="A170" s="40" t="s">
        <v>464</v>
      </c>
      <c r="B170" s="40" t="s">
        <v>854</v>
      </c>
      <c r="D170" s="203">
        <f t="shared" si="42"/>
        <v>-4.6566128730773926E-10</v>
      </c>
      <c r="E170" s="41">
        <f>IFERROR(VLOOKUP(A170,Items[],5,0),0)</f>
        <v>3790807.88</v>
      </c>
      <c r="F170" s="42">
        <f t="shared" si="43"/>
        <v>3790807.8800000004</v>
      </c>
      <c r="G170" s="41">
        <v>0</v>
      </c>
      <c r="H170" s="41">
        <f>IFERROR(VLOOKUP(A170,Items[],4,0),0)</f>
        <v>4320251.9000000004</v>
      </c>
      <c r="I170" s="41">
        <f>IFERROR(VLOOKUP(A170,Community[],4,0),0)</f>
        <v>0</v>
      </c>
      <c r="J170" s="41">
        <f>IFERROR(VLOOKUP(A170,Community[],5,0),0)</f>
        <v>0</v>
      </c>
      <c r="K170" s="41">
        <f>IFERROR(VLOOKUP(A170,Community[],6,0),0)</f>
        <v>0</v>
      </c>
      <c r="L170" s="41">
        <f>IFERROR(VLOOKUP(A170,Community[],7,0),0)</f>
        <v>0</v>
      </c>
      <c r="M170" s="41">
        <f>IFERROR(VLOOKUP(A170,Debt[],3,0),0)</f>
        <v>0</v>
      </c>
      <c r="N170" s="41">
        <f>IFERROR(VLOOKUP(A170,Debt[],4,0),0)</f>
        <v>0</v>
      </c>
      <c r="O170" s="41">
        <f>IFERROR(VLOOKUP(A170,Debt[],5,0),0)</f>
        <v>0</v>
      </c>
      <c r="P170" s="41">
        <f>IFERROR(VLOOKUP(A170,Items[],3,0),0)</f>
        <v>0</v>
      </c>
      <c r="Q170" s="41">
        <f>IFERROR(VLOOKUP($A170,Federal[],2,0),0)</f>
        <v>700.82</v>
      </c>
      <c r="R170" s="41">
        <f>IFERROR(VLOOKUP($A170,Federal[],4,0),0)</f>
        <v>468191.61</v>
      </c>
      <c r="S170" s="41"/>
      <c r="T170" s="47">
        <f>IFERROR(VLOOKUP($A170,Program[],3,0),0)</f>
        <v>0</v>
      </c>
      <c r="U170" s="47"/>
      <c r="V170" s="41">
        <f>IFERROR(VLOOKUP($A170,Program[],4,0),0)</f>
        <v>0</v>
      </c>
      <c r="W170" s="41">
        <f>IFERROR(VLOOKUP($A170,Program[],5,0),0)</f>
        <v>0</v>
      </c>
      <c r="X170" s="41"/>
      <c r="Y170" s="41"/>
      <c r="Z170" s="41"/>
      <c r="AA170" s="41">
        <f>IFERROR(VLOOKUP($A170,Program[],6,0),0)</f>
        <v>0</v>
      </c>
      <c r="AB170" s="41"/>
      <c r="AC170" s="41"/>
      <c r="AD170" s="41">
        <f>IFERROR(VLOOKUP($A170,Program[],7,0),0)</f>
        <v>0</v>
      </c>
      <c r="AE170" s="41">
        <f>IFERROR(VLOOKUP($A170,Program[],8,0),0)</f>
        <v>0</v>
      </c>
      <c r="AF170" s="41">
        <f>IFERROR(VLOOKUP($A170,Program[],9,0),0)</f>
        <v>0</v>
      </c>
      <c r="AG170" s="41">
        <f>IFERROR(VLOOKUP($A170,Program[],10,0),0)</f>
        <v>0</v>
      </c>
      <c r="AH170" s="41">
        <f>IFERROR(VLOOKUP($A170,Program[],11,0),0)</f>
        <v>0</v>
      </c>
      <c r="AI170" s="41">
        <f>IFERROR(VLOOKUP($A170,Program[],12,0),0)</f>
        <v>0</v>
      </c>
      <c r="AJ170" s="41"/>
      <c r="AK170" s="41">
        <f>IFERROR(VLOOKUP($A170,Program[],13,0),0)</f>
        <v>0</v>
      </c>
      <c r="AL170" s="41"/>
      <c r="AM170" s="41"/>
      <c r="AN170" s="41"/>
      <c r="AO170" s="41"/>
      <c r="AP170" s="41"/>
      <c r="AQ170" s="41"/>
      <c r="AR170" s="41"/>
      <c r="AS170" s="41">
        <f>IFERROR(VLOOKUP($A170,Program[],14,0),0)</f>
        <v>0</v>
      </c>
      <c r="AT170" s="41"/>
      <c r="AU170" s="41"/>
      <c r="AV170" s="41">
        <f>IFERROR(VLOOKUP($A170,Program[],15,0),0)</f>
        <v>0</v>
      </c>
      <c r="AW170" s="41"/>
      <c r="AX170" s="41">
        <f>IFERROR(VLOOKUP($A170,Program[],16,0),0)</f>
        <v>0</v>
      </c>
      <c r="AY170" s="41">
        <f>IFERROR(VLOOKUP($A170,Program[],17,0),0)</f>
        <v>0</v>
      </c>
      <c r="AZ170" s="41">
        <f>IFERROR(VLOOKUP($A170,Program[],18,0),0)</f>
        <v>0</v>
      </c>
      <c r="BA170" s="41">
        <f>IFERROR(VLOOKUP($A170,Program[],19,0),0)</f>
        <v>0</v>
      </c>
      <c r="BB170" s="77">
        <f t="shared" si="44"/>
        <v>15147.119999999995</v>
      </c>
      <c r="BC170" s="41">
        <f>IFERROR(VLOOKUP(A170,Food[],3,0),0)</f>
        <v>142529.74</v>
      </c>
      <c r="BD170" s="41">
        <f>IFERROR(VLOOKUP($A170,FoodRev[],2,0),0)</f>
        <v>5</v>
      </c>
      <c r="BE170" s="41">
        <f>IFERROR(VLOOKUP($A170,FoodRev[],3,0),0)</f>
        <v>60546.59</v>
      </c>
      <c r="BF170" s="41">
        <f>IFERROR(VLOOKUP($A170,FoodRev[],4,0),0)</f>
        <v>0</v>
      </c>
      <c r="BG170" s="41">
        <f>IFERROR(VLOOKUP($A170,FoodRev[],5,0),0)</f>
        <v>62448.28</v>
      </c>
      <c r="BH170" s="41">
        <f>IFERROR(VLOOKUP($A170,FoodRev[],6,0),0)</f>
        <v>0</v>
      </c>
      <c r="BI170" s="41">
        <f>IFERROR(VLOOKUP($A170,FoodRev[],7,0),0)</f>
        <v>0</v>
      </c>
      <c r="BJ170" s="41">
        <f>IFERROR(VLOOKUP($A170,FoodRev[],8,0),0)</f>
        <v>4382.75</v>
      </c>
      <c r="BK170" s="41">
        <f>IFERROR(VLOOKUP($A170,FoodRev[],9,0),0)</f>
        <v>0</v>
      </c>
      <c r="BL170" s="41">
        <f>IFERROR(VLOOKUP($A170,FoodRev[],10,0),0)</f>
        <v>0</v>
      </c>
      <c r="BM170" s="41">
        <f t="shared" si="45"/>
        <v>127382.62</v>
      </c>
      <c r="BN170" s="42">
        <f t="shared" si="33"/>
        <v>15147.119999999995</v>
      </c>
      <c r="BO170" s="78">
        <f t="shared" si="46"/>
        <v>15147.119999999995</v>
      </c>
      <c r="BP170" s="78">
        <f t="shared" si="47"/>
        <v>0</v>
      </c>
    </row>
    <row r="171" spans="1:68" x14ac:dyDescent="0.25">
      <c r="A171" s="40" t="s">
        <v>466</v>
      </c>
      <c r="B171" s="40" t="s">
        <v>855</v>
      </c>
      <c r="D171" s="203">
        <f t="shared" si="42"/>
        <v>0</v>
      </c>
      <c r="E171" s="41">
        <f>IFERROR(VLOOKUP(A171,Items[],5,0),0)</f>
        <v>4025788.5</v>
      </c>
      <c r="F171" s="42">
        <f t="shared" si="43"/>
        <v>4025788.5</v>
      </c>
      <c r="G171" s="41">
        <v>0</v>
      </c>
      <c r="H171" s="41">
        <f>IFERROR(VLOOKUP(A171,Items[],4,0),0)</f>
        <v>4348654.3600000003</v>
      </c>
      <c r="I171" s="41">
        <f>IFERROR(VLOOKUP(A171,Community[],4,0),0)</f>
        <v>0</v>
      </c>
      <c r="J171" s="41">
        <f>IFERROR(VLOOKUP(A171,Community[],5,0),0)</f>
        <v>0</v>
      </c>
      <c r="K171" s="41">
        <f>IFERROR(VLOOKUP(A171,Community[],6,0),0)</f>
        <v>0</v>
      </c>
      <c r="L171" s="41">
        <f>IFERROR(VLOOKUP(A171,Community[],7,0),0)</f>
        <v>0</v>
      </c>
      <c r="M171" s="41">
        <f>IFERROR(VLOOKUP(A171,Debt[],3,0),0)</f>
        <v>0</v>
      </c>
      <c r="N171" s="41">
        <f>IFERROR(VLOOKUP(A171,Debt[],4,0),0)</f>
        <v>0</v>
      </c>
      <c r="O171" s="41">
        <f>IFERROR(VLOOKUP(A171,Debt[],5,0),0)</f>
        <v>0</v>
      </c>
      <c r="P171" s="41">
        <f>IFERROR(VLOOKUP(A171,Items[],3,0),0)</f>
        <v>19464.38</v>
      </c>
      <c r="Q171" s="41">
        <f>IFERROR(VLOOKUP($A171,Federal[],2,0),0)</f>
        <v>695.49</v>
      </c>
      <c r="R171" s="41">
        <f>IFERROR(VLOOKUP($A171,Federal[],4,0),0)</f>
        <v>249726.24</v>
      </c>
      <c r="S171" s="41"/>
      <c r="T171" s="47">
        <f>IFERROR(VLOOKUP($A171,Program[],3,0),0)</f>
        <v>0</v>
      </c>
      <c r="U171" s="47"/>
      <c r="V171" s="41">
        <f>IFERROR(VLOOKUP($A171,Program[],4,0),0)</f>
        <v>0</v>
      </c>
      <c r="W171" s="41">
        <f>IFERROR(VLOOKUP($A171,Program[],5,0),0)</f>
        <v>0</v>
      </c>
      <c r="X171" s="41"/>
      <c r="Y171" s="41"/>
      <c r="Z171" s="41"/>
      <c r="AA171" s="41">
        <f>IFERROR(VLOOKUP($A171,Program[],6,0),0)</f>
        <v>0</v>
      </c>
      <c r="AB171" s="41"/>
      <c r="AC171" s="41"/>
      <c r="AD171" s="41">
        <f>IFERROR(VLOOKUP($A171,Program[],7,0),0)</f>
        <v>0</v>
      </c>
      <c r="AE171" s="41">
        <f>IFERROR(VLOOKUP($A171,Program[],8,0),0)</f>
        <v>0</v>
      </c>
      <c r="AF171" s="41">
        <f>IFERROR(VLOOKUP($A171,Program[],9,0),0)</f>
        <v>0</v>
      </c>
      <c r="AG171" s="41">
        <f>IFERROR(VLOOKUP($A171,Program[],10,0),0)</f>
        <v>0</v>
      </c>
      <c r="AH171" s="41">
        <f>IFERROR(VLOOKUP($A171,Program[],11,0),0)</f>
        <v>0</v>
      </c>
      <c r="AI171" s="41">
        <f>IFERROR(VLOOKUP($A171,Program[],12,0),0)</f>
        <v>0</v>
      </c>
      <c r="AJ171" s="41"/>
      <c r="AK171" s="41">
        <f>IFERROR(VLOOKUP($A171,Program[],13,0),0)</f>
        <v>0</v>
      </c>
      <c r="AL171" s="41"/>
      <c r="AM171" s="41"/>
      <c r="AN171" s="41"/>
      <c r="AO171" s="41"/>
      <c r="AP171" s="41"/>
      <c r="AQ171" s="41"/>
      <c r="AR171" s="41"/>
      <c r="AS171" s="41">
        <f>IFERROR(VLOOKUP($A171,Program[],14,0),0)</f>
        <v>0</v>
      </c>
      <c r="AT171" s="41"/>
      <c r="AU171" s="41"/>
      <c r="AV171" s="41">
        <f>IFERROR(VLOOKUP($A171,Program[],15,0),0)</f>
        <v>18260.59</v>
      </c>
      <c r="AW171" s="41"/>
      <c r="AX171" s="41">
        <f>IFERROR(VLOOKUP($A171,Program[],16,0),0)</f>
        <v>0</v>
      </c>
      <c r="AY171" s="41">
        <f>IFERROR(VLOOKUP($A171,Program[],17,0),0)</f>
        <v>0</v>
      </c>
      <c r="AZ171" s="41">
        <f>IFERROR(VLOOKUP($A171,Program[],18,0),0)</f>
        <v>0</v>
      </c>
      <c r="BA171" s="41">
        <f>IFERROR(VLOOKUP($A171,Program[],19,0),0)</f>
        <v>0</v>
      </c>
      <c r="BB171" s="77">
        <f t="shared" si="44"/>
        <v>48258.58</v>
      </c>
      <c r="BC171" s="41">
        <f>IFERROR(VLOOKUP(A171,Food[],3,0),0)</f>
        <v>202520.4</v>
      </c>
      <c r="BD171" s="41">
        <f>IFERROR(VLOOKUP($A171,FoodRev[],2,0),0)</f>
        <v>2153.84</v>
      </c>
      <c r="BE171" s="41">
        <f>IFERROR(VLOOKUP($A171,FoodRev[],3,0),0)</f>
        <v>69086.5</v>
      </c>
      <c r="BF171" s="41">
        <f>IFERROR(VLOOKUP($A171,FoodRev[],4,0),0)</f>
        <v>0</v>
      </c>
      <c r="BG171" s="41">
        <f>IFERROR(VLOOKUP($A171,FoodRev[],5,0),0)</f>
        <v>75347.95</v>
      </c>
      <c r="BH171" s="41">
        <f>IFERROR(VLOOKUP($A171,FoodRev[],6,0),0)</f>
        <v>0</v>
      </c>
      <c r="BI171" s="41">
        <f>IFERROR(VLOOKUP($A171,FoodRev[],7,0),0)</f>
        <v>0</v>
      </c>
      <c r="BJ171" s="41">
        <f>IFERROR(VLOOKUP($A171,FoodRev[],8,0),0)</f>
        <v>7673.53</v>
      </c>
      <c r="BK171" s="41">
        <f>IFERROR(VLOOKUP($A171,FoodRev[],9,0),0)</f>
        <v>0</v>
      </c>
      <c r="BL171" s="41">
        <f>IFERROR(VLOOKUP($A171,FoodRev[],10,0),0)</f>
        <v>0</v>
      </c>
      <c r="BM171" s="41">
        <f t="shared" si="45"/>
        <v>154261.81999999998</v>
      </c>
      <c r="BN171" s="42">
        <f t="shared" si="33"/>
        <v>48258.58</v>
      </c>
      <c r="BO171" s="78">
        <f t="shared" si="46"/>
        <v>48258.58</v>
      </c>
      <c r="BP171" s="78">
        <f t="shared" si="47"/>
        <v>0</v>
      </c>
    </row>
    <row r="172" spans="1:68" x14ac:dyDescent="0.25">
      <c r="A172" s="40" t="s">
        <v>130</v>
      </c>
      <c r="B172" s="40" t="s">
        <v>856</v>
      </c>
      <c r="D172" s="203">
        <f t="shared" si="42"/>
        <v>1.4901161193847656E-8</v>
      </c>
      <c r="E172" s="41">
        <f>IFERROR(VLOOKUP(A172,Items[],5,0),0)</f>
        <v>75462952.079999998</v>
      </c>
      <c r="F172" s="42">
        <f t="shared" si="43"/>
        <v>75462952.079999983</v>
      </c>
      <c r="G172" s="41">
        <v>0</v>
      </c>
      <c r="H172" s="41">
        <f>IFERROR(VLOOKUP(A172,Items[],4,0),0)</f>
        <v>82610303.950000003</v>
      </c>
      <c r="I172" s="41">
        <f>IFERROR(VLOOKUP(A172,Community[],4,0),0)</f>
        <v>0</v>
      </c>
      <c r="J172" s="41">
        <f>IFERROR(VLOOKUP(A172,Community[],5,0),0)</f>
        <v>0</v>
      </c>
      <c r="K172" s="41">
        <f>IFERROR(VLOOKUP(A172,Community[],6,0),0)</f>
        <v>0</v>
      </c>
      <c r="L172" s="41">
        <f>IFERROR(VLOOKUP(A172,Community[],7,0),0)</f>
        <v>184903.72</v>
      </c>
      <c r="M172" s="41">
        <f>IFERROR(VLOOKUP(A172,Debt[],3,0),0)</f>
        <v>2216.39</v>
      </c>
      <c r="N172" s="41">
        <f>IFERROR(VLOOKUP(A172,Debt[],4,0),0)</f>
        <v>71662.25</v>
      </c>
      <c r="O172" s="41">
        <f>IFERROR(VLOOKUP(A172,Debt[],5,0),0)</f>
        <v>0</v>
      </c>
      <c r="P172" s="41">
        <f>IFERROR(VLOOKUP(A172,Items[],3,0),0)</f>
        <v>145027.18</v>
      </c>
      <c r="Q172" s="41">
        <f>IFERROR(VLOOKUP($A172,Federal[],2,0),0)</f>
        <v>14018.83</v>
      </c>
      <c r="R172" s="41">
        <f>IFERROR(VLOOKUP($A172,Federal[],4,0),0)</f>
        <v>6730304.8399999999</v>
      </c>
      <c r="S172" s="41"/>
      <c r="T172" s="47">
        <f>IFERROR(VLOOKUP($A172,Program[],3,0),0)</f>
        <v>0</v>
      </c>
      <c r="U172" s="47"/>
      <c r="V172" s="41">
        <f>IFERROR(VLOOKUP($A172,Program[],4,0),0)</f>
        <v>0</v>
      </c>
      <c r="W172" s="41">
        <f>IFERROR(VLOOKUP($A172,Program[],5,0),0)</f>
        <v>0</v>
      </c>
      <c r="X172" s="41"/>
      <c r="Y172" s="41"/>
      <c r="Z172" s="41"/>
      <c r="AA172" s="41">
        <f>IFERROR(VLOOKUP($A172,Program[],6,0),0)</f>
        <v>0</v>
      </c>
      <c r="AB172" s="41"/>
      <c r="AC172" s="41"/>
      <c r="AD172" s="41">
        <f>IFERROR(VLOOKUP($A172,Program[],7,0),0)</f>
        <v>0</v>
      </c>
      <c r="AE172" s="41">
        <f>IFERROR(VLOOKUP($A172,Program[],8,0),0)</f>
        <v>0</v>
      </c>
      <c r="AF172" s="41">
        <f>IFERROR(VLOOKUP($A172,Program[],9,0),0)</f>
        <v>0</v>
      </c>
      <c r="AG172" s="41">
        <f>IFERROR(VLOOKUP($A172,Program[],10,0),0)</f>
        <v>0</v>
      </c>
      <c r="AH172" s="41">
        <f>IFERROR(VLOOKUP($A172,Program[],11,0),0)</f>
        <v>0</v>
      </c>
      <c r="AI172" s="41">
        <f>IFERROR(VLOOKUP($A172,Program[],12,0),0)</f>
        <v>0</v>
      </c>
      <c r="AJ172" s="41"/>
      <c r="AK172" s="41">
        <f>IFERROR(VLOOKUP($A172,Program[],13,0),0)</f>
        <v>0</v>
      </c>
      <c r="AL172" s="41"/>
      <c r="AM172" s="41"/>
      <c r="AN172" s="41"/>
      <c r="AO172" s="41"/>
      <c r="AP172" s="41"/>
      <c r="AQ172" s="41"/>
      <c r="AR172" s="41"/>
      <c r="AS172" s="41">
        <f>IFERROR(VLOOKUP($A172,Program[],14,0),0)</f>
        <v>0</v>
      </c>
      <c r="AT172" s="41"/>
      <c r="AU172" s="41"/>
      <c r="AV172" s="41">
        <f>IFERROR(VLOOKUP($A172,Program[],15,0),0)</f>
        <v>0</v>
      </c>
      <c r="AW172" s="41"/>
      <c r="AX172" s="41">
        <f>IFERROR(VLOOKUP($A172,Program[],16,0),0)</f>
        <v>0</v>
      </c>
      <c r="AY172" s="41">
        <f>IFERROR(VLOOKUP($A172,Program[],17,0),0)</f>
        <v>0</v>
      </c>
      <c r="AZ172" s="41">
        <f>IFERROR(VLOOKUP($A172,Program[],18,0),0)</f>
        <v>3634.46</v>
      </c>
      <c r="BA172" s="41">
        <f>IFERROR(VLOOKUP($A172,Program[],19,0),0)</f>
        <v>11232.38</v>
      </c>
      <c r="BB172" s="77">
        <f t="shared" si="44"/>
        <v>0</v>
      </c>
      <c r="BC172" s="41">
        <f>IFERROR(VLOOKUP(A172,Food[],3,0),0)</f>
        <v>2890339.7999999993</v>
      </c>
      <c r="BD172" s="41">
        <f>IFERROR(VLOOKUP($A172,FoodRev[],2,0),0)</f>
        <v>27071.65</v>
      </c>
      <c r="BE172" s="41">
        <f>IFERROR(VLOOKUP($A172,FoodRev[],3,0),0)</f>
        <v>274125.55</v>
      </c>
      <c r="BF172" s="41">
        <f>IFERROR(VLOOKUP($A172,FoodRev[],4,0),0)</f>
        <v>0</v>
      </c>
      <c r="BG172" s="41">
        <f>IFERROR(VLOOKUP($A172,FoodRev[],5,0),0)</f>
        <v>2674829.0499999998</v>
      </c>
      <c r="BH172" s="41">
        <f>IFERROR(VLOOKUP($A172,FoodRev[],6,0),0)</f>
        <v>0</v>
      </c>
      <c r="BI172" s="41">
        <f>IFERROR(VLOOKUP($A172,FoodRev[],7,0),0)</f>
        <v>0</v>
      </c>
      <c r="BJ172" s="41">
        <f>IFERROR(VLOOKUP($A172,FoodRev[],8,0),0)</f>
        <v>201425.25</v>
      </c>
      <c r="BK172" s="41">
        <f>IFERROR(VLOOKUP($A172,FoodRev[],9,0),0)</f>
        <v>100670</v>
      </c>
      <c r="BL172" s="41">
        <f>IFERROR(VLOOKUP($A172,FoodRev[],10,0),0)</f>
        <v>0</v>
      </c>
      <c r="BM172" s="41">
        <f t="shared" si="45"/>
        <v>3278121.5</v>
      </c>
      <c r="BN172" s="42">
        <f t="shared" si="33"/>
        <v>-387781.70000000019</v>
      </c>
      <c r="BO172" s="78">
        <f t="shared" si="46"/>
        <v>0</v>
      </c>
      <c r="BP172" s="78">
        <f t="shared" si="47"/>
        <v>-387781.70000000019</v>
      </c>
    </row>
    <row r="173" spans="1:68" x14ac:dyDescent="0.25">
      <c r="A173" s="40" t="s">
        <v>374</v>
      </c>
      <c r="B173" s="40" t="s">
        <v>1016</v>
      </c>
      <c r="D173" s="203">
        <f t="shared" si="42"/>
        <v>0</v>
      </c>
      <c r="E173" s="41">
        <f>IFERROR(VLOOKUP(A173,Items[],5,0),0)</f>
        <v>12539047.550000001</v>
      </c>
      <c r="F173" s="42">
        <f t="shared" si="43"/>
        <v>12539047.550000001</v>
      </c>
      <c r="G173" s="41">
        <v>0</v>
      </c>
      <c r="H173" s="41">
        <f>IFERROR(VLOOKUP(A173,Items[],4,0),0)</f>
        <v>13218603.17</v>
      </c>
      <c r="I173" s="41">
        <f>IFERROR(VLOOKUP(A173,Community[],4,0),0)</f>
        <v>0</v>
      </c>
      <c r="J173" s="41">
        <f>IFERROR(VLOOKUP(A173,Community[],5,0),0)</f>
        <v>0</v>
      </c>
      <c r="K173" s="41">
        <f>IFERROR(VLOOKUP(A173,Community[],6,0),0)</f>
        <v>0</v>
      </c>
      <c r="L173" s="41">
        <f>IFERROR(VLOOKUP(A173,Community[],7,0),0)</f>
        <v>0</v>
      </c>
      <c r="M173" s="41">
        <f>IFERROR(VLOOKUP(A173,Debt[],3,0),0)</f>
        <v>1238.58</v>
      </c>
      <c r="N173" s="41">
        <f>IFERROR(VLOOKUP(A173,Debt[],4,0),0)</f>
        <v>23257.24</v>
      </c>
      <c r="O173" s="41">
        <f>IFERROR(VLOOKUP(A173,Debt[],5,0),0)</f>
        <v>0</v>
      </c>
      <c r="P173" s="41">
        <f>IFERROR(VLOOKUP(A173,Items[],3,0),0)</f>
        <v>197340.86</v>
      </c>
      <c r="Q173" s="41">
        <f>IFERROR(VLOOKUP($A173,Federal[],2,0),0)</f>
        <v>644.67999999999995</v>
      </c>
      <c r="R173" s="41">
        <f>IFERROR(VLOOKUP($A173,Federal[],4,0),0)</f>
        <v>438407.11</v>
      </c>
      <c r="S173" s="41"/>
      <c r="T173" s="47">
        <f>IFERROR(VLOOKUP($A173,Program[],3,0),0)</f>
        <v>0</v>
      </c>
      <c r="U173" s="47"/>
      <c r="V173" s="41">
        <f>IFERROR(VLOOKUP($A173,Program[],4,0),0)</f>
        <v>0</v>
      </c>
      <c r="W173" s="41">
        <f>IFERROR(VLOOKUP($A173,Program[],5,0),0)</f>
        <v>0</v>
      </c>
      <c r="X173" s="41"/>
      <c r="Y173" s="41"/>
      <c r="Z173" s="41"/>
      <c r="AA173" s="41">
        <f>IFERROR(VLOOKUP($A173,Program[],6,0),0)</f>
        <v>0</v>
      </c>
      <c r="AB173" s="41"/>
      <c r="AC173" s="41"/>
      <c r="AD173" s="41">
        <f>IFERROR(VLOOKUP($A173,Program[],7,0),0)</f>
        <v>0</v>
      </c>
      <c r="AE173" s="41">
        <f>IFERROR(VLOOKUP($A173,Program[],8,0),0)</f>
        <v>0</v>
      </c>
      <c r="AF173" s="41">
        <f>IFERROR(VLOOKUP($A173,Program[],9,0),0)</f>
        <v>0</v>
      </c>
      <c r="AG173" s="41">
        <f>IFERROR(VLOOKUP($A173,Program[],10,0),0)</f>
        <v>0</v>
      </c>
      <c r="AH173" s="41">
        <f>IFERROR(VLOOKUP($A173,Program[],11,0),0)</f>
        <v>0</v>
      </c>
      <c r="AI173" s="41">
        <f>IFERROR(VLOOKUP($A173,Program[],12,0),0)</f>
        <v>0</v>
      </c>
      <c r="AJ173" s="41"/>
      <c r="AK173" s="41">
        <f>IFERROR(VLOOKUP($A173,Program[],13,0),0)</f>
        <v>0</v>
      </c>
      <c r="AL173" s="41"/>
      <c r="AM173" s="41"/>
      <c r="AN173" s="41"/>
      <c r="AO173" s="41"/>
      <c r="AP173" s="41"/>
      <c r="AQ173" s="41"/>
      <c r="AR173" s="41"/>
      <c r="AS173" s="41">
        <f>IFERROR(VLOOKUP($A173,Program[],14,0),0)</f>
        <v>0</v>
      </c>
      <c r="AT173" s="41"/>
      <c r="AU173" s="41"/>
      <c r="AV173" s="41">
        <f>IFERROR(VLOOKUP($A173,Program[],15,0),0)</f>
        <v>0</v>
      </c>
      <c r="AW173" s="41"/>
      <c r="AX173" s="41">
        <f>IFERROR(VLOOKUP($A173,Program[],16,0),0)</f>
        <v>0</v>
      </c>
      <c r="AY173" s="41">
        <f>IFERROR(VLOOKUP($A173,Program[],17,0),0)</f>
        <v>0</v>
      </c>
      <c r="AZ173" s="41">
        <f>IFERROR(VLOOKUP($A173,Program[],18,0),0)</f>
        <v>0</v>
      </c>
      <c r="BA173" s="41">
        <f>IFERROR(VLOOKUP($A173,Program[],19,0),0)</f>
        <v>0</v>
      </c>
      <c r="BB173" s="77">
        <f t="shared" si="44"/>
        <v>100508.08000000005</v>
      </c>
      <c r="BC173" s="41">
        <f>IFERROR(VLOOKUP(A173,Food[],3,0),0)</f>
        <v>286548.31</v>
      </c>
      <c r="BD173" s="41">
        <f>IFERROR(VLOOKUP($A173,FoodRev[],2,0),0)</f>
        <v>1736.22</v>
      </c>
      <c r="BE173" s="41">
        <f>IFERROR(VLOOKUP($A173,FoodRev[],3,0),0)</f>
        <v>16930.93</v>
      </c>
      <c r="BF173" s="41">
        <f>IFERROR(VLOOKUP($A173,FoodRev[],4,0),0)</f>
        <v>0</v>
      </c>
      <c r="BG173" s="41">
        <f>IFERROR(VLOOKUP($A173,FoodRev[],5,0),0)</f>
        <v>153046.60999999999</v>
      </c>
      <c r="BH173" s="41">
        <f>IFERROR(VLOOKUP($A173,FoodRev[],6,0),0)</f>
        <v>0</v>
      </c>
      <c r="BI173" s="41">
        <f>IFERROR(VLOOKUP($A173,FoodRev[],7,0),0)</f>
        <v>0</v>
      </c>
      <c r="BJ173" s="41">
        <f>IFERROR(VLOOKUP($A173,FoodRev[],8,0),0)</f>
        <v>14326.47</v>
      </c>
      <c r="BK173" s="41">
        <f>IFERROR(VLOOKUP($A173,FoodRev[],9,0),0)</f>
        <v>0</v>
      </c>
      <c r="BL173" s="41">
        <f>IFERROR(VLOOKUP($A173,FoodRev[],10,0),0)</f>
        <v>0</v>
      </c>
      <c r="BM173" s="41">
        <f t="shared" si="45"/>
        <v>186040.22999999998</v>
      </c>
      <c r="BN173" s="42">
        <f t="shared" si="33"/>
        <v>100508.08000000005</v>
      </c>
      <c r="BO173" s="78">
        <f t="shared" si="46"/>
        <v>100508.08000000005</v>
      </c>
      <c r="BP173" s="78">
        <f t="shared" si="47"/>
        <v>0</v>
      </c>
    </row>
    <row r="174" spans="1:68" x14ac:dyDescent="0.25">
      <c r="A174" s="40" t="s">
        <v>334</v>
      </c>
      <c r="B174" s="40" t="s">
        <v>857</v>
      </c>
      <c r="D174" s="203">
        <f t="shared" si="42"/>
        <v>-1.862645149230957E-9</v>
      </c>
      <c r="E174" s="41">
        <f>IFERROR(VLOOKUP(A174,Items[],5,0),0)</f>
        <v>12915092.01</v>
      </c>
      <c r="F174" s="42">
        <f t="shared" si="43"/>
        <v>12915092.010000002</v>
      </c>
      <c r="G174" s="41">
        <v>0</v>
      </c>
      <c r="H174" s="41">
        <f>IFERROR(VLOOKUP(A174,Items[],4,0),0)</f>
        <v>14184022.49</v>
      </c>
      <c r="I174" s="41">
        <f>IFERROR(VLOOKUP(A174,Community[],4,0),0)</f>
        <v>0</v>
      </c>
      <c r="J174" s="41">
        <f>IFERROR(VLOOKUP(A174,Community[],5,0),0)</f>
        <v>0</v>
      </c>
      <c r="K174" s="41">
        <f>IFERROR(VLOOKUP(A174,Community[],6,0),0)</f>
        <v>0</v>
      </c>
      <c r="L174" s="41">
        <f>IFERROR(VLOOKUP(A174,Community[],7,0),0)</f>
        <v>40078.76</v>
      </c>
      <c r="M174" s="41">
        <f>IFERROR(VLOOKUP(A174,Debt[],3,0),0)</f>
        <v>0</v>
      </c>
      <c r="N174" s="41">
        <f>IFERROR(VLOOKUP(A174,Debt[],4,0),0)</f>
        <v>16181.44</v>
      </c>
      <c r="O174" s="41">
        <f>IFERROR(VLOOKUP(A174,Debt[],5,0),0)</f>
        <v>0</v>
      </c>
      <c r="P174" s="41">
        <f>IFERROR(VLOOKUP(A174,Items[],3,0),0)</f>
        <v>2125</v>
      </c>
      <c r="Q174" s="41">
        <f>IFERROR(VLOOKUP($A174,Federal[],2,0),0)</f>
        <v>2399.14</v>
      </c>
      <c r="R174" s="41">
        <f>IFERROR(VLOOKUP($A174,Federal[],4,0),0)</f>
        <v>1122234.26</v>
      </c>
      <c r="S174" s="41"/>
      <c r="T174" s="47">
        <f>IFERROR(VLOOKUP($A174,Program[],3,0),0)</f>
        <v>0</v>
      </c>
      <c r="U174" s="47"/>
      <c r="V174" s="41">
        <f>IFERROR(VLOOKUP($A174,Program[],4,0),0)</f>
        <v>0</v>
      </c>
      <c r="W174" s="41">
        <f>IFERROR(VLOOKUP($A174,Program[],5,0),0)</f>
        <v>0</v>
      </c>
      <c r="X174" s="41"/>
      <c r="Y174" s="41"/>
      <c r="Z174" s="41"/>
      <c r="AA174" s="41">
        <f>IFERROR(VLOOKUP($A174,Program[],6,0),0)</f>
        <v>0</v>
      </c>
      <c r="AB174" s="41"/>
      <c r="AC174" s="41"/>
      <c r="AD174" s="41">
        <f>IFERROR(VLOOKUP($A174,Program[],7,0),0)</f>
        <v>0</v>
      </c>
      <c r="AE174" s="41">
        <f>IFERROR(VLOOKUP($A174,Program[],8,0),0)</f>
        <v>0</v>
      </c>
      <c r="AF174" s="41">
        <f>IFERROR(VLOOKUP($A174,Program[],9,0),0)</f>
        <v>0</v>
      </c>
      <c r="AG174" s="41">
        <f>IFERROR(VLOOKUP($A174,Program[],10,0),0)</f>
        <v>0</v>
      </c>
      <c r="AH174" s="41">
        <f>IFERROR(VLOOKUP($A174,Program[],11,0),0)</f>
        <v>0</v>
      </c>
      <c r="AI174" s="41">
        <f>IFERROR(VLOOKUP($A174,Program[],12,0),0)</f>
        <v>0</v>
      </c>
      <c r="AJ174" s="41"/>
      <c r="AK174" s="41">
        <f>IFERROR(VLOOKUP($A174,Program[],13,0),0)</f>
        <v>0</v>
      </c>
      <c r="AL174" s="41"/>
      <c r="AM174" s="41"/>
      <c r="AN174" s="41"/>
      <c r="AO174" s="41"/>
      <c r="AP174" s="41"/>
      <c r="AQ174" s="41"/>
      <c r="AR174" s="41"/>
      <c r="AS174" s="41">
        <f>IFERROR(VLOOKUP($A174,Program[],14,0),0)</f>
        <v>0</v>
      </c>
      <c r="AT174" s="41"/>
      <c r="AU174" s="41"/>
      <c r="AV174" s="41">
        <f>IFERROR(VLOOKUP($A174,Program[],15,0),0)</f>
        <v>0</v>
      </c>
      <c r="AW174" s="41"/>
      <c r="AX174" s="41">
        <f>IFERROR(VLOOKUP($A174,Program[],16,0),0)</f>
        <v>0</v>
      </c>
      <c r="AY174" s="41">
        <f>IFERROR(VLOOKUP($A174,Program[],17,0),0)</f>
        <v>0</v>
      </c>
      <c r="AZ174" s="41">
        <f>IFERROR(VLOOKUP($A174,Program[],18,0),0)</f>
        <v>0</v>
      </c>
      <c r="BA174" s="41">
        <f>IFERROR(VLOOKUP($A174,Program[],19,0),0)</f>
        <v>0</v>
      </c>
      <c r="BB174" s="77">
        <f t="shared" si="44"/>
        <v>0</v>
      </c>
      <c r="BC174" s="41">
        <f>IFERROR(VLOOKUP(A174,Food[],3,0),0)</f>
        <v>531436.53999999992</v>
      </c>
      <c r="BD174" s="41">
        <f>IFERROR(VLOOKUP($A174,FoodRev[],2,0),0)</f>
        <v>2386.5</v>
      </c>
      <c r="BE174" s="41">
        <f>IFERROR(VLOOKUP($A174,FoodRev[],3,0),0)</f>
        <v>119490.7</v>
      </c>
      <c r="BF174" s="41">
        <f>IFERROR(VLOOKUP($A174,FoodRev[],4,0),0)</f>
        <v>0</v>
      </c>
      <c r="BG174" s="41">
        <f>IFERROR(VLOOKUP($A174,FoodRev[],5,0),0)</f>
        <v>386000.68</v>
      </c>
      <c r="BH174" s="41">
        <f>IFERROR(VLOOKUP($A174,FoodRev[],6,0),0)</f>
        <v>0</v>
      </c>
      <c r="BI174" s="41">
        <f>IFERROR(VLOOKUP($A174,FoodRev[],7,0),0)</f>
        <v>20000</v>
      </c>
      <c r="BJ174" s="41">
        <f>IFERROR(VLOOKUP($A174,FoodRev[],8,0),0)</f>
        <v>39523.980000000003</v>
      </c>
      <c r="BK174" s="41">
        <f>IFERROR(VLOOKUP($A174,FoodRev[],9,0),0)</f>
        <v>0</v>
      </c>
      <c r="BL174" s="41">
        <f>IFERROR(VLOOKUP($A174,FoodRev[],10,0),0)</f>
        <v>0</v>
      </c>
      <c r="BM174" s="41">
        <f t="shared" si="45"/>
        <v>567401.86</v>
      </c>
      <c r="BN174" s="42">
        <f t="shared" si="33"/>
        <v>-35965.320000000087</v>
      </c>
      <c r="BO174" s="78">
        <f t="shared" si="46"/>
        <v>0</v>
      </c>
      <c r="BP174" s="78">
        <f t="shared" si="47"/>
        <v>-35965.320000000087</v>
      </c>
    </row>
    <row r="175" spans="1:68" x14ac:dyDescent="0.25">
      <c r="A175" s="40" t="s">
        <v>214</v>
      </c>
      <c r="B175" s="40" t="s">
        <v>858</v>
      </c>
      <c r="D175" s="203">
        <f t="shared" si="42"/>
        <v>-1.4901161193847656E-8</v>
      </c>
      <c r="E175" s="41">
        <f>IFERROR(VLOOKUP(A175,Items[],5,0),0)</f>
        <v>40001170.82</v>
      </c>
      <c r="F175" s="42">
        <f t="shared" si="43"/>
        <v>40001170.820000015</v>
      </c>
      <c r="G175" s="41">
        <v>0</v>
      </c>
      <c r="H175" s="41">
        <f>IFERROR(VLOOKUP(A175,Items[],4,0),0)</f>
        <v>43632825.700000003</v>
      </c>
      <c r="I175" s="41">
        <f>IFERROR(VLOOKUP(A175,Community[],4,0),0)</f>
        <v>0</v>
      </c>
      <c r="J175" s="41">
        <f>IFERROR(VLOOKUP(A175,Community[],5,0),0)</f>
        <v>0</v>
      </c>
      <c r="K175" s="41">
        <f>IFERROR(VLOOKUP(A175,Community[],6,0),0)</f>
        <v>0</v>
      </c>
      <c r="L175" s="41">
        <f>IFERROR(VLOOKUP(A175,Community[],7,0),0)</f>
        <v>219.28</v>
      </c>
      <c r="M175" s="41">
        <f>IFERROR(VLOOKUP(A175,Debt[],3,0),0)</f>
        <v>485.16</v>
      </c>
      <c r="N175" s="41">
        <f>IFERROR(VLOOKUP(A175,Debt[],4,0),0)</f>
        <v>24224.639999999999</v>
      </c>
      <c r="O175" s="41">
        <f>IFERROR(VLOOKUP(A175,Debt[],5,0),0)</f>
        <v>0</v>
      </c>
      <c r="P175" s="41">
        <f>IFERROR(VLOOKUP(A175,Items[],3,0),0)</f>
        <v>54086.26</v>
      </c>
      <c r="Q175" s="41">
        <f>IFERROR(VLOOKUP($A175,Federal[],2,0),0)</f>
        <v>82412.22</v>
      </c>
      <c r="R175" s="41">
        <f>IFERROR(VLOOKUP($A175,Federal[],4,0),0)</f>
        <v>2982240.22</v>
      </c>
      <c r="S175" s="41"/>
      <c r="T175" s="47">
        <f>IFERROR(VLOOKUP($A175,Program[],3,0),0)</f>
        <v>0</v>
      </c>
      <c r="U175" s="47"/>
      <c r="V175" s="41">
        <f>IFERROR(VLOOKUP($A175,Program[],4,0),0)</f>
        <v>0</v>
      </c>
      <c r="W175" s="41">
        <f>IFERROR(VLOOKUP($A175,Program[],5,0),0)</f>
        <v>0</v>
      </c>
      <c r="X175" s="41"/>
      <c r="Y175" s="41"/>
      <c r="Z175" s="41"/>
      <c r="AA175" s="41">
        <f>IFERROR(VLOOKUP($A175,Program[],6,0),0)</f>
        <v>0</v>
      </c>
      <c r="AB175" s="41"/>
      <c r="AC175" s="41"/>
      <c r="AD175" s="41">
        <f>IFERROR(VLOOKUP($A175,Program[],7,0),0)</f>
        <v>0</v>
      </c>
      <c r="AE175" s="41">
        <f>IFERROR(VLOOKUP($A175,Program[],8,0),0)</f>
        <v>0</v>
      </c>
      <c r="AF175" s="41">
        <f>IFERROR(VLOOKUP($A175,Program[],9,0),0)</f>
        <v>0</v>
      </c>
      <c r="AG175" s="41">
        <f>IFERROR(VLOOKUP($A175,Program[],10,0),0)</f>
        <v>0</v>
      </c>
      <c r="AH175" s="41">
        <f>IFERROR(VLOOKUP($A175,Program[],11,0),0)</f>
        <v>0</v>
      </c>
      <c r="AI175" s="41">
        <f>IFERROR(VLOOKUP($A175,Program[],12,0),0)</f>
        <v>0</v>
      </c>
      <c r="AJ175" s="41"/>
      <c r="AK175" s="41">
        <f>IFERROR(VLOOKUP($A175,Program[],13,0),0)</f>
        <v>0</v>
      </c>
      <c r="AL175" s="41"/>
      <c r="AM175" s="41"/>
      <c r="AN175" s="41"/>
      <c r="AO175" s="41"/>
      <c r="AP175" s="41"/>
      <c r="AQ175" s="41"/>
      <c r="AR175" s="41"/>
      <c r="AS175" s="41">
        <f>IFERROR(VLOOKUP($A175,Program[],14,0),0)</f>
        <v>0</v>
      </c>
      <c r="AT175" s="41"/>
      <c r="AU175" s="41"/>
      <c r="AV175" s="41">
        <f>IFERROR(VLOOKUP($A175,Program[],15,0),0)</f>
        <v>0</v>
      </c>
      <c r="AW175" s="41"/>
      <c r="AX175" s="41">
        <f>IFERROR(VLOOKUP($A175,Program[],16,0),0)</f>
        <v>0</v>
      </c>
      <c r="AY175" s="41">
        <f>IFERROR(VLOOKUP($A175,Program[],17,0),0)</f>
        <v>0</v>
      </c>
      <c r="AZ175" s="41">
        <f>IFERROR(VLOOKUP($A175,Program[],18,0),0)</f>
        <v>0</v>
      </c>
      <c r="BA175" s="41">
        <f>IFERROR(VLOOKUP($A175,Program[],19,0),0)</f>
        <v>0</v>
      </c>
      <c r="BB175" s="77">
        <f t="shared" si="44"/>
        <v>0</v>
      </c>
      <c r="BC175" s="41">
        <f>IFERROR(VLOOKUP(A175,Food[],3,0),0)</f>
        <v>1821032.23</v>
      </c>
      <c r="BD175" s="41">
        <f>IFERROR(VLOOKUP($A175,FoodRev[],2,0),0)</f>
        <v>6312.9</v>
      </c>
      <c r="BE175" s="41">
        <f>IFERROR(VLOOKUP($A175,FoodRev[],3,0),0)</f>
        <v>561481.57999999996</v>
      </c>
      <c r="BF175" s="41">
        <f>IFERROR(VLOOKUP($A175,FoodRev[],4,0),0)</f>
        <v>0</v>
      </c>
      <c r="BG175" s="41">
        <f>IFERROR(VLOOKUP($A175,FoodRev[],5,0),0)</f>
        <v>1184260.21</v>
      </c>
      <c r="BH175" s="41">
        <f>IFERROR(VLOOKUP($A175,FoodRev[],6,0),0)</f>
        <v>0</v>
      </c>
      <c r="BI175" s="41">
        <f>IFERROR(VLOOKUP($A175,FoodRev[],7,0),0)</f>
        <v>0</v>
      </c>
      <c r="BJ175" s="41">
        <f>IFERROR(VLOOKUP($A175,FoodRev[],8,0),0)</f>
        <v>148784.92000000001</v>
      </c>
      <c r="BK175" s="41">
        <f>IFERROR(VLOOKUP($A175,FoodRev[],9,0),0)</f>
        <v>0</v>
      </c>
      <c r="BL175" s="41">
        <f>IFERROR(VLOOKUP($A175,FoodRev[],10,0),0)</f>
        <v>0</v>
      </c>
      <c r="BM175" s="41">
        <f t="shared" si="45"/>
        <v>1900839.6099999999</v>
      </c>
      <c r="BN175" s="42">
        <f t="shared" si="33"/>
        <v>-79807.379999999976</v>
      </c>
      <c r="BO175" s="78">
        <f t="shared" si="46"/>
        <v>0</v>
      </c>
      <c r="BP175" s="78">
        <f t="shared" si="47"/>
        <v>-79807.379999999976</v>
      </c>
    </row>
    <row r="176" spans="1:68" x14ac:dyDescent="0.25">
      <c r="A176" s="40" t="s">
        <v>424</v>
      </c>
      <c r="B176" s="40" t="s">
        <v>859</v>
      </c>
      <c r="D176" s="203">
        <f t="shared" si="42"/>
        <v>0</v>
      </c>
      <c r="E176" s="41">
        <f>IFERROR(VLOOKUP(A176,Items[],5,0),0)</f>
        <v>7352960.3399999999</v>
      </c>
      <c r="F176" s="42">
        <f t="shared" si="43"/>
        <v>7352960.3399999999</v>
      </c>
      <c r="G176" s="41">
        <v>0</v>
      </c>
      <c r="H176" s="41">
        <f>IFERROR(VLOOKUP(A176,Items[],4,0),0)</f>
        <v>8830993.6500000004</v>
      </c>
      <c r="I176" s="41">
        <f>IFERROR(VLOOKUP(A176,Community[],4,0),0)</f>
        <v>0</v>
      </c>
      <c r="J176" s="41">
        <f>IFERROR(VLOOKUP(A176,Community[],5,0),0)</f>
        <v>0</v>
      </c>
      <c r="K176" s="41">
        <f>IFERROR(VLOOKUP(A176,Community[],6,0),0)</f>
        <v>0</v>
      </c>
      <c r="L176" s="41">
        <f>IFERROR(VLOOKUP(A176,Community[],7,0),0)</f>
        <v>0</v>
      </c>
      <c r="M176" s="41">
        <f>IFERROR(VLOOKUP(A176,Debt[],3,0),0)</f>
        <v>0</v>
      </c>
      <c r="N176" s="41">
        <f>IFERROR(VLOOKUP(A176,Debt[],4,0),0)</f>
        <v>0</v>
      </c>
      <c r="O176" s="41">
        <f>IFERROR(VLOOKUP(A176,Debt[],5,0),0)</f>
        <v>0</v>
      </c>
      <c r="P176" s="41">
        <f>IFERROR(VLOOKUP(A176,Items[],3,0),0)</f>
        <v>0</v>
      </c>
      <c r="Q176" s="41">
        <f>IFERROR(VLOOKUP($A176,Federal[],2,0),0)</f>
        <v>702363.26</v>
      </c>
      <c r="R176" s="41">
        <f>IFERROR(VLOOKUP($A176,Federal[],4,0),0)</f>
        <v>759496.86</v>
      </c>
      <c r="S176" s="41"/>
      <c r="T176" s="47">
        <f>IFERROR(VLOOKUP($A176,Program[],3,0),0)</f>
        <v>0</v>
      </c>
      <c r="U176" s="47"/>
      <c r="V176" s="41">
        <f>IFERROR(VLOOKUP($A176,Program[],4,0),0)</f>
        <v>0</v>
      </c>
      <c r="W176" s="41">
        <f>IFERROR(VLOOKUP($A176,Program[],5,0),0)</f>
        <v>0</v>
      </c>
      <c r="X176" s="41"/>
      <c r="Y176" s="41"/>
      <c r="Z176" s="41"/>
      <c r="AA176" s="41">
        <f>IFERROR(VLOOKUP($A176,Program[],6,0),0)</f>
        <v>0</v>
      </c>
      <c r="AB176" s="41"/>
      <c r="AC176" s="41"/>
      <c r="AD176" s="41">
        <f>IFERROR(VLOOKUP($A176,Program[],7,0),0)</f>
        <v>0</v>
      </c>
      <c r="AE176" s="41">
        <f>IFERROR(VLOOKUP($A176,Program[],8,0),0)</f>
        <v>0</v>
      </c>
      <c r="AF176" s="41">
        <f>IFERROR(VLOOKUP($A176,Program[],9,0),0)</f>
        <v>0</v>
      </c>
      <c r="AG176" s="41">
        <f>IFERROR(VLOOKUP($A176,Program[],10,0),0)</f>
        <v>0</v>
      </c>
      <c r="AH176" s="41">
        <f>IFERROR(VLOOKUP($A176,Program[],11,0),0)</f>
        <v>0</v>
      </c>
      <c r="AI176" s="41">
        <f>IFERROR(VLOOKUP($A176,Program[],12,0),0)</f>
        <v>0</v>
      </c>
      <c r="AJ176" s="41"/>
      <c r="AK176" s="41">
        <f>IFERROR(VLOOKUP($A176,Program[],13,0),0)</f>
        <v>0</v>
      </c>
      <c r="AL176" s="41"/>
      <c r="AM176" s="41"/>
      <c r="AN176" s="41"/>
      <c r="AO176" s="41"/>
      <c r="AP176" s="41"/>
      <c r="AQ176" s="41"/>
      <c r="AR176" s="41"/>
      <c r="AS176" s="41">
        <f>IFERROR(VLOOKUP($A176,Program[],14,0),0)</f>
        <v>0</v>
      </c>
      <c r="AT176" s="41"/>
      <c r="AU176" s="41"/>
      <c r="AV176" s="41">
        <f>IFERROR(VLOOKUP($A176,Program[],15,0),0)</f>
        <v>0</v>
      </c>
      <c r="AW176" s="41"/>
      <c r="AX176" s="41">
        <f>IFERROR(VLOOKUP($A176,Program[],16,0),0)</f>
        <v>0</v>
      </c>
      <c r="AY176" s="41">
        <f>IFERROR(VLOOKUP($A176,Program[],17,0),0)</f>
        <v>0</v>
      </c>
      <c r="AZ176" s="41">
        <f>IFERROR(VLOOKUP($A176,Program[],18,0),0)</f>
        <v>0</v>
      </c>
      <c r="BA176" s="41">
        <f>IFERROR(VLOOKUP($A176,Program[],19,0),0)</f>
        <v>0</v>
      </c>
      <c r="BB176" s="77">
        <f t="shared" si="44"/>
        <v>74241.019999999931</v>
      </c>
      <c r="BC176" s="41">
        <f>IFERROR(VLOOKUP(A176,Food[],3,0),0)</f>
        <v>396699.04999999993</v>
      </c>
      <c r="BD176" s="41">
        <f>IFERROR(VLOOKUP($A176,FoodRev[],2,0),0)</f>
        <v>2787.02</v>
      </c>
      <c r="BE176" s="41">
        <f>IFERROR(VLOOKUP($A176,FoodRev[],3,0),0)</f>
        <v>13386.17</v>
      </c>
      <c r="BF176" s="41">
        <f>IFERROR(VLOOKUP($A176,FoodRev[],4,0),0)</f>
        <v>0</v>
      </c>
      <c r="BG176" s="41">
        <f>IFERROR(VLOOKUP($A176,FoodRev[],5,0),0)</f>
        <v>289449.74</v>
      </c>
      <c r="BH176" s="41">
        <f>IFERROR(VLOOKUP($A176,FoodRev[],6,0),0)</f>
        <v>0</v>
      </c>
      <c r="BI176" s="41">
        <f>IFERROR(VLOOKUP($A176,FoodRev[],7,0),0)</f>
        <v>0</v>
      </c>
      <c r="BJ176" s="41">
        <f>IFERROR(VLOOKUP($A176,FoodRev[],8,0),0)</f>
        <v>16835.099999999999</v>
      </c>
      <c r="BK176" s="41">
        <f>IFERROR(VLOOKUP($A176,FoodRev[],9,0),0)</f>
        <v>0</v>
      </c>
      <c r="BL176" s="41">
        <f>IFERROR(VLOOKUP($A176,FoodRev[],10,0),0)</f>
        <v>0</v>
      </c>
      <c r="BM176" s="41">
        <f t="shared" si="45"/>
        <v>322458.02999999997</v>
      </c>
      <c r="BN176" s="42">
        <f t="shared" si="33"/>
        <v>74241.019999999931</v>
      </c>
      <c r="BO176" s="78">
        <f t="shared" si="46"/>
        <v>74241.019999999931</v>
      </c>
      <c r="BP176" s="78">
        <f t="shared" si="47"/>
        <v>0</v>
      </c>
    </row>
    <row r="177" spans="1:68" x14ac:dyDescent="0.25">
      <c r="A177" s="40" t="s">
        <v>512</v>
      </c>
      <c r="B177" s="40" t="s">
        <v>860</v>
      </c>
      <c r="D177" s="203">
        <f t="shared" si="42"/>
        <v>-4.6566128730773926E-10</v>
      </c>
      <c r="E177" s="41">
        <f>IFERROR(VLOOKUP(A177,Items[],5,0),0)</f>
        <v>3107898.51</v>
      </c>
      <c r="F177" s="42">
        <f t="shared" si="43"/>
        <v>3107898.5100000002</v>
      </c>
      <c r="G177" s="41">
        <v>0</v>
      </c>
      <c r="H177" s="41">
        <f>IFERROR(VLOOKUP(A177,Items[],4,0),0)</f>
        <v>5881904</v>
      </c>
      <c r="I177" s="41">
        <f>IFERROR(VLOOKUP(A177,Community[],4,0),0)</f>
        <v>0</v>
      </c>
      <c r="J177" s="41">
        <f>IFERROR(VLOOKUP(A177,Community[],5,0),0)</f>
        <v>0</v>
      </c>
      <c r="K177" s="41">
        <f>IFERROR(VLOOKUP(A177,Community[],6,0),0)</f>
        <v>0</v>
      </c>
      <c r="L177" s="41">
        <f>IFERROR(VLOOKUP(A177,Community[],7,0),0)</f>
        <v>0</v>
      </c>
      <c r="M177" s="41">
        <f>IFERROR(VLOOKUP(A177,Debt[],3,0),0)</f>
        <v>579.74</v>
      </c>
      <c r="N177" s="41">
        <f>IFERROR(VLOOKUP(A177,Debt[],4,0),0)</f>
        <v>5971.9</v>
      </c>
      <c r="O177" s="41">
        <f>IFERROR(VLOOKUP(A177,Debt[],5,0),0)</f>
        <v>0</v>
      </c>
      <c r="P177" s="41">
        <f>IFERROR(VLOOKUP(A177,Items[],3,0),0)</f>
        <v>16329.39</v>
      </c>
      <c r="Q177" s="41">
        <f>IFERROR(VLOOKUP($A177,Federal[],2,0),0)</f>
        <v>2152937.89</v>
      </c>
      <c r="R177" s="41">
        <f>IFERROR(VLOOKUP($A177,Federal[],4,0),0)</f>
        <v>589661.36</v>
      </c>
      <c r="S177" s="41"/>
      <c r="T177" s="47">
        <f>IFERROR(VLOOKUP($A177,Program[],3,0),0)</f>
        <v>0</v>
      </c>
      <c r="U177" s="47"/>
      <c r="V177" s="41">
        <f>IFERROR(VLOOKUP($A177,Program[],4,0),0)</f>
        <v>0</v>
      </c>
      <c r="W177" s="41">
        <f>IFERROR(VLOOKUP($A177,Program[],5,0),0)</f>
        <v>0</v>
      </c>
      <c r="X177" s="41"/>
      <c r="Y177" s="41"/>
      <c r="Z177" s="41"/>
      <c r="AA177" s="41">
        <f>IFERROR(VLOOKUP($A177,Program[],6,0),0)</f>
        <v>0</v>
      </c>
      <c r="AB177" s="41"/>
      <c r="AC177" s="41"/>
      <c r="AD177" s="41">
        <f>IFERROR(VLOOKUP($A177,Program[],7,0),0)</f>
        <v>0</v>
      </c>
      <c r="AE177" s="41">
        <f>IFERROR(VLOOKUP($A177,Program[],8,0),0)</f>
        <v>0</v>
      </c>
      <c r="AF177" s="41">
        <f>IFERROR(VLOOKUP($A177,Program[],9,0),0)</f>
        <v>0</v>
      </c>
      <c r="AG177" s="41">
        <f>IFERROR(VLOOKUP($A177,Program[],10,0),0)</f>
        <v>0</v>
      </c>
      <c r="AH177" s="41">
        <f>IFERROR(VLOOKUP($A177,Program[],11,0),0)</f>
        <v>0</v>
      </c>
      <c r="AI177" s="41">
        <f>IFERROR(VLOOKUP($A177,Program[],12,0),0)</f>
        <v>0</v>
      </c>
      <c r="AJ177" s="41"/>
      <c r="AK177" s="41">
        <f>IFERROR(VLOOKUP($A177,Program[],13,0),0)</f>
        <v>0</v>
      </c>
      <c r="AL177" s="41"/>
      <c r="AM177" s="41"/>
      <c r="AN177" s="41"/>
      <c r="AO177" s="41"/>
      <c r="AP177" s="41"/>
      <c r="AQ177" s="41"/>
      <c r="AR177" s="41"/>
      <c r="AS177" s="41">
        <f>IFERROR(VLOOKUP($A177,Program[],14,0),0)</f>
        <v>0</v>
      </c>
      <c r="AT177" s="41"/>
      <c r="AU177" s="41"/>
      <c r="AV177" s="41">
        <f>IFERROR(VLOOKUP($A177,Program[],15,0),0)</f>
        <v>0</v>
      </c>
      <c r="AW177" s="41"/>
      <c r="AX177" s="41">
        <f>IFERROR(VLOOKUP($A177,Program[],16,0),0)</f>
        <v>0</v>
      </c>
      <c r="AY177" s="41">
        <f>IFERROR(VLOOKUP($A177,Program[],17,0),0)</f>
        <v>0</v>
      </c>
      <c r="AZ177" s="41">
        <f>IFERROR(VLOOKUP($A177,Program[],18,0),0)</f>
        <v>0</v>
      </c>
      <c r="BA177" s="41">
        <f>IFERROR(VLOOKUP($A177,Program[],19,0),0)</f>
        <v>0</v>
      </c>
      <c r="BB177" s="77">
        <f t="shared" si="44"/>
        <v>80939.470000000016</v>
      </c>
      <c r="BC177" s="41">
        <f>IFERROR(VLOOKUP(A177,Food[],3,0),0)</f>
        <v>247479.32</v>
      </c>
      <c r="BD177" s="41">
        <f>IFERROR(VLOOKUP($A177,FoodRev[],2,0),0)</f>
        <v>4427</v>
      </c>
      <c r="BE177" s="41">
        <f>IFERROR(VLOOKUP($A177,FoodRev[],3,0),0)</f>
        <v>4098.21</v>
      </c>
      <c r="BF177" s="41">
        <f>IFERROR(VLOOKUP($A177,FoodRev[],4,0),0)</f>
        <v>0</v>
      </c>
      <c r="BG177" s="41">
        <f>IFERROR(VLOOKUP($A177,FoodRev[],5,0),0)</f>
        <v>155950.37</v>
      </c>
      <c r="BH177" s="41">
        <f>IFERROR(VLOOKUP($A177,FoodRev[],6,0),0)</f>
        <v>0</v>
      </c>
      <c r="BI177" s="41">
        <f>IFERROR(VLOOKUP($A177,FoodRev[],7,0),0)</f>
        <v>0</v>
      </c>
      <c r="BJ177" s="41">
        <f>IFERROR(VLOOKUP($A177,FoodRev[],8,0),0)</f>
        <v>2064.27</v>
      </c>
      <c r="BK177" s="41">
        <f>IFERROR(VLOOKUP($A177,FoodRev[],9,0),0)</f>
        <v>0</v>
      </c>
      <c r="BL177" s="41">
        <f>IFERROR(VLOOKUP($A177,FoodRev[],10,0),0)</f>
        <v>0</v>
      </c>
      <c r="BM177" s="41">
        <f t="shared" si="45"/>
        <v>166539.84999999998</v>
      </c>
      <c r="BN177" s="42">
        <f t="shared" si="33"/>
        <v>80939.470000000016</v>
      </c>
      <c r="BO177" s="78">
        <f t="shared" si="46"/>
        <v>80939.470000000016</v>
      </c>
      <c r="BP177" s="78">
        <f t="shared" si="47"/>
        <v>0</v>
      </c>
    </row>
    <row r="178" spans="1:68" x14ac:dyDescent="0.25">
      <c r="A178" s="40" t="s">
        <v>120</v>
      </c>
      <c r="B178" s="40" t="s">
        <v>861</v>
      </c>
      <c r="D178" s="203">
        <f t="shared" si="42"/>
        <v>1.4901161193847656E-8</v>
      </c>
      <c r="E178" s="41">
        <f>IFERROR(VLOOKUP(A178,Items[],5,0),0)</f>
        <v>86312682.310000002</v>
      </c>
      <c r="F178" s="42">
        <f t="shared" si="43"/>
        <v>86312682.309999987</v>
      </c>
      <c r="G178" s="41">
        <v>0</v>
      </c>
      <c r="H178" s="41">
        <f>IFERROR(VLOOKUP(A178,Items[],4,0),0)</f>
        <v>91299654.879999995</v>
      </c>
      <c r="I178" s="41">
        <f>IFERROR(VLOOKUP(A178,Community[],4,0),0)</f>
        <v>0</v>
      </c>
      <c r="J178" s="41">
        <f>IFERROR(VLOOKUP(A178,Community[],5,0),0)</f>
        <v>0</v>
      </c>
      <c r="K178" s="41">
        <f>IFERROR(VLOOKUP(A178,Community[],6,0),0)</f>
        <v>587616.37999999989</v>
      </c>
      <c r="L178" s="41">
        <f>IFERROR(VLOOKUP(A178,Community[],7,0),0)</f>
        <v>3414.29</v>
      </c>
      <c r="M178" s="41">
        <f>IFERROR(VLOOKUP(A178,Debt[],3,0),0)</f>
        <v>0</v>
      </c>
      <c r="N178" s="41">
        <f>IFERROR(VLOOKUP(A178,Debt[],4,0),0)</f>
        <v>0</v>
      </c>
      <c r="O178" s="41">
        <f>IFERROR(VLOOKUP(A178,Debt[],5,0),0)</f>
        <v>0</v>
      </c>
      <c r="P178" s="41">
        <f>IFERROR(VLOOKUP(A178,Items[],3,0),0)</f>
        <v>525015.62</v>
      </c>
      <c r="Q178" s="41">
        <f>IFERROR(VLOOKUP($A178,Federal[],2,0),0)</f>
        <v>65803.179999999993</v>
      </c>
      <c r="R178" s="41">
        <f>IFERROR(VLOOKUP($A178,Federal[],4,0),0)</f>
        <v>3763508.89</v>
      </c>
      <c r="S178" s="41"/>
      <c r="T178" s="47">
        <f>IFERROR(VLOOKUP($A178,Program[],3,0),0)</f>
        <v>0</v>
      </c>
      <c r="U178" s="47"/>
      <c r="V178" s="41">
        <f>IFERROR(VLOOKUP($A178,Program[],4,0),0)</f>
        <v>0</v>
      </c>
      <c r="W178" s="41">
        <f>IFERROR(VLOOKUP($A178,Program[],5,0),0)</f>
        <v>0</v>
      </c>
      <c r="X178" s="41"/>
      <c r="Y178" s="41"/>
      <c r="Z178" s="41"/>
      <c r="AA178" s="41">
        <f>IFERROR(VLOOKUP($A178,Program[],6,0),0)</f>
        <v>0</v>
      </c>
      <c r="AB178" s="41"/>
      <c r="AC178" s="41"/>
      <c r="AD178" s="41">
        <f>IFERROR(VLOOKUP($A178,Program[],7,0),0)</f>
        <v>0</v>
      </c>
      <c r="AE178" s="41">
        <f>IFERROR(VLOOKUP($A178,Program[],8,0),0)</f>
        <v>0</v>
      </c>
      <c r="AF178" s="41">
        <f>IFERROR(VLOOKUP($A178,Program[],9,0),0)</f>
        <v>0</v>
      </c>
      <c r="AG178" s="41">
        <f>IFERROR(VLOOKUP($A178,Program[],10,0),0)</f>
        <v>0</v>
      </c>
      <c r="AH178" s="41">
        <f>IFERROR(VLOOKUP($A178,Program[],11,0),0)</f>
        <v>0</v>
      </c>
      <c r="AI178" s="41">
        <f>IFERROR(VLOOKUP($A178,Program[],12,0),0)</f>
        <v>0</v>
      </c>
      <c r="AJ178" s="41"/>
      <c r="AK178" s="41">
        <f>IFERROR(VLOOKUP($A178,Program[],13,0),0)</f>
        <v>0</v>
      </c>
      <c r="AL178" s="41"/>
      <c r="AM178" s="41"/>
      <c r="AN178" s="41"/>
      <c r="AO178" s="41"/>
      <c r="AP178" s="41"/>
      <c r="AQ178" s="41"/>
      <c r="AR178" s="41"/>
      <c r="AS178" s="41">
        <f>IFERROR(VLOOKUP($A178,Program[],14,0),0)</f>
        <v>0</v>
      </c>
      <c r="AT178" s="41"/>
      <c r="AU178" s="41"/>
      <c r="AV178" s="41">
        <f>IFERROR(VLOOKUP($A178,Program[],15,0),0)</f>
        <v>0</v>
      </c>
      <c r="AW178" s="41"/>
      <c r="AX178" s="41">
        <f>IFERROR(VLOOKUP($A178,Program[],16,0),0)</f>
        <v>0</v>
      </c>
      <c r="AY178" s="41">
        <f>IFERROR(VLOOKUP($A178,Program[],17,0),0)</f>
        <v>0</v>
      </c>
      <c r="AZ178" s="41">
        <f>IFERROR(VLOOKUP($A178,Program[],18,0),0)</f>
        <v>0</v>
      </c>
      <c r="BA178" s="41">
        <f>IFERROR(VLOOKUP($A178,Program[],19,0),0)</f>
        <v>0</v>
      </c>
      <c r="BB178" s="77">
        <f t="shared" si="44"/>
        <v>27138.449999999935</v>
      </c>
      <c r="BC178" s="41">
        <f>IFERROR(VLOOKUP(A178,Food[],3,0),0)</f>
        <v>957095.66</v>
      </c>
      <c r="BD178" s="41">
        <f>IFERROR(VLOOKUP($A178,FoodRev[],2,0),0)</f>
        <v>780.28</v>
      </c>
      <c r="BE178" s="41">
        <f>IFERROR(VLOOKUP($A178,FoodRev[],3,0),0)</f>
        <v>40833.93</v>
      </c>
      <c r="BF178" s="41">
        <f>IFERROR(VLOOKUP($A178,FoodRev[],4,0),0)</f>
        <v>0</v>
      </c>
      <c r="BG178" s="41">
        <f>IFERROR(VLOOKUP($A178,FoodRev[],5,0),0)</f>
        <v>870990.77</v>
      </c>
      <c r="BH178" s="41">
        <f>IFERROR(VLOOKUP($A178,FoodRev[],6,0),0)</f>
        <v>0</v>
      </c>
      <c r="BI178" s="41">
        <f>IFERROR(VLOOKUP($A178,FoodRev[],7,0),0)</f>
        <v>0</v>
      </c>
      <c r="BJ178" s="41">
        <f>IFERROR(VLOOKUP($A178,FoodRev[],8,0),0)</f>
        <v>17352.23</v>
      </c>
      <c r="BK178" s="41">
        <f>IFERROR(VLOOKUP($A178,FoodRev[],9,0),0)</f>
        <v>0</v>
      </c>
      <c r="BL178" s="41">
        <f>IFERROR(VLOOKUP($A178,FoodRev[],10,0),0)</f>
        <v>0</v>
      </c>
      <c r="BM178" s="41">
        <f t="shared" si="45"/>
        <v>929957.21</v>
      </c>
      <c r="BN178" s="42">
        <f t="shared" si="33"/>
        <v>27138.449999999935</v>
      </c>
      <c r="BO178" s="78">
        <f t="shared" si="46"/>
        <v>27138.449999999935</v>
      </c>
      <c r="BP178" s="78">
        <f t="shared" si="47"/>
        <v>0</v>
      </c>
    </row>
    <row r="179" spans="1:68" x14ac:dyDescent="0.25">
      <c r="A179" s="40" t="s">
        <v>284</v>
      </c>
      <c r="B179" s="40" t="s">
        <v>862</v>
      </c>
      <c r="D179" s="203">
        <f t="shared" si="42"/>
        <v>3.7252902984619141E-9</v>
      </c>
      <c r="E179" s="41">
        <f>IFERROR(VLOOKUP(A179,Items[],5,0),0)</f>
        <v>17743796.09</v>
      </c>
      <c r="F179" s="42">
        <f t="shared" si="43"/>
        <v>17743796.089999996</v>
      </c>
      <c r="G179" s="41">
        <v>0</v>
      </c>
      <c r="H179" s="41">
        <f>IFERROR(VLOOKUP(A179,Items[],4,0),0)</f>
        <v>20086077.690000001</v>
      </c>
      <c r="I179" s="41">
        <f>IFERROR(VLOOKUP(A179,Community[],4,0),0)</f>
        <v>0</v>
      </c>
      <c r="J179" s="41">
        <f>IFERROR(VLOOKUP(A179,Community[],5,0),0)</f>
        <v>0</v>
      </c>
      <c r="K179" s="41">
        <f>IFERROR(VLOOKUP(A179,Community[],6,0),0)</f>
        <v>0</v>
      </c>
      <c r="L179" s="41">
        <f>IFERROR(VLOOKUP(A179,Community[],7,0),0)</f>
        <v>0</v>
      </c>
      <c r="M179" s="41">
        <f>IFERROR(VLOOKUP(A179,Debt[],3,0),0)</f>
        <v>670.98</v>
      </c>
      <c r="N179" s="41">
        <f>IFERROR(VLOOKUP(A179,Debt[],4,0),0)</f>
        <v>65634.320000000007</v>
      </c>
      <c r="O179" s="41">
        <f>IFERROR(VLOOKUP(A179,Debt[],5,0),0)</f>
        <v>0</v>
      </c>
      <c r="P179" s="41">
        <f>IFERROR(VLOOKUP(A179,Items[],3,0),0)</f>
        <v>175720.26</v>
      </c>
      <c r="Q179" s="41">
        <f>IFERROR(VLOOKUP($A179,Federal[],2,0),0)</f>
        <v>14002.39</v>
      </c>
      <c r="R179" s="41">
        <f>IFERROR(VLOOKUP($A179,Federal[],4,0),0)</f>
        <v>1837307.34</v>
      </c>
      <c r="S179" s="41"/>
      <c r="T179" s="47">
        <f>IFERROR(VLOOKUP($A179,Program[],3,0),0)</f>
        <v>0</v>
      </c>
      <c r="U179" s="47"/>
      <c r="V179" s="41">
        <f>IFERROR(VLOOKUP($A179,Program[],4,0),0)</f>
        <v>0</v>
      </c>
      <c r="W179" s="41">
        <f>IFERROR(VLOOKUP($A179,Program[],5,0),0)</f>
        <v>0</v>
      </c>
      <c r="X179" s="41"/>
      <c r="Y179" s="41"/>
      <c r="Z179" s="41"/>
      <c r="AA179" s="41">
        <f>IFERROR(VLOOKUP($A179,Program[],6,0),0)</f>
        <v>0</v>
      </c>
      <c r="AB179" s="41"/>
      <c r="AC179" s="41"/>
      <c r="AD179" s="41">
        <f>IFERROR(VLOOKUP($A179,Program[],7,0),0)</f>
        <v>0</v>
      </c>
      <c r="AE179" s="41">
        <f>IFERROR(VLOOKUP($A179,Program[],8,0),0)</f>
        <v>0</v>
      </c>
      <c r="AF179" s="41">
        <f>IFERROR(VLOOKUP($A179,Program[],9,0),0)</f>
        <v>0</v>
      </c>
      <c r="AG179" s="41">
        <f>IFERROR(VLOOKUP($A179,Program[],10,0),0)</f>
        <v>0</v>
      </c>
      <c r="AH179" s="41">
        <f>IFERROR(VLOOKUP($A179,Program[],11,0),0)</f>
        <v>0</v>
      </c>
      <c r="AI179" s="41">
        <f>IFERROR(VLOOKUP($A179,Program[],12,0),0)</f>
        <v>0</v>
      </c>
      <c r="AJ179" s="41"/>
      <c r="AK179" s="41">
        <f>IFERROR(VLOOKUP($A179,Program[],13,0),0)</f>
        <v>0</v>
      </c>
      <c r="AL179" s="41"/>
      <c r="AM179" s="41"/>
      <c r="AN179" s="41"/>
      <c r="AO179" s="41"/>
      <c r="AP179" s="41"/>
      <c r="AQ179" s="41"/>
      <c r="AR179" s="41"/>
      <c r="AS179" s="41">
        <f>IFERROR(VLOOKUP($A179,Program[],14,0),0)</f>
        <v>0</v>
      </c>
      <c r="AT179" s="41"/>
      <c r="AU179" s="41"/>
      <c r="AV179" s="41">
        <f>IFERROR(VLOOKUP($A179,Program[],15,0),0)</f>
        <v>0</v>
      </c>
      <c r="AW179" s="41"/>
      <c r="AX179" s="41">
        <f>IFERROR(VLOOKUP($A179,Program[],16,0),0)</f>
        <v>0</v>
      </c>
      <c r="AY179" s="41">
        <f>IFERROR(VLOOKUP($A179,Program[],17,0),0)</f>
        <v>0</v>
      </c>
      <c r="AZ179" s="41">
        <f>IFERROR(VLOOKUP($A179,Program[],18,0),0)</f>
        <v>0</v>
      </c>
      <c r="BA179" s="41">
        <f>IFERROR(VLOOKUP($A179,Program[],19,0),0)</f>
        <v>0</v>
      </c>
      <c r="BB179" s="77">
        <f t="shared" si="44"/>
        <v>24560.54</v>
      </c>
      <c r="BC179" s="41">
        <f>IFERROR(VLOOKUP(A179,Food[],3,0),0)</f>
        <v>717439.36</v>
      </c>
      <c r="BD179" s="41">
        <f>IFERROR(VLOOKUP($A179,FoodRev[],2,0),0)</f>
        <v>3592.75</v>
      </c>
      <c r="BE179" s="41">
        <f>IFERROR(VLOOKUP($A179,FoodRev[],3,0),0)</f>
        <v>245353.56</v>
      </c>
      <c r="BF179" s="41">
        <f>IFERROR(VLOOKUP($A179,FoodRev[],4,0),0)</f>
        <v>0</v>
      </c>
      <c r="BG179" s="41">
        <f>IFERROR(VLOOKUP($A179,FoodRev[],5,0),0)</f>
        <v>396362.11</v>
      </c>
      <c r="BH179" s="41">
        <f>IFERROR(VLOOKUP($A179,FoodRev[],6,0),0)</f>
        <v>0</v>
      </c>
      <c r="BI179" s="41">
        <f>IFERROR(VLOOKUP($A179,FoodRev[],7,0),0)</f>
        <v>0</v>
      </c>
      <c r="BJ179" s="41">
        <f>IFERROR(VLOOKUP($A179,FoodRev[],8,0),0)</f>
        <v>47570.400000000001</v>
      </c>
      <c r="BK179" s="41">
        <f>IFERROR(VLOOKUP($A179,FoodRev[],9,0),0)</f>
        <v>0</v>
      </c>
      <c r="BL179" s="41">
        <f>IFERROR(VLOOKUP($A179,FoodRev[],10,0),0)</f>
        <v>0</v>
      </c>
      <c r="BM179" s="41">
        <f t="shared" si="45"/>
        <v>692878.82</v>
      </c>
      <c r="BN179" s="42">
        <f t="shared" si="33"/>
        <v>24560.54</v>
      </c>
      <c r="BO179" s="78">
        <f t="shared" si="46"/>
        <v>24560.54</v>
      </c>
      <c r="BP179" s="78">
        <f t="shared" si="47"/>
        <v>0</v>
      </c>
    </row>
    <row r="180" spans="1:68" x14ac:dyDescent="0.25">
      <c r="A180" s="40" t="s">
        <v>296</v>
      </c>
      <c r="B180" s="40" t="s">
        <v>863</v>
      </c>
      <c r="D180" s="203">
        <f t="shared" si="42"/>
        <v>-1.862645149230957E-9</v>
      </c>
      <c r="E180" s="41">
        <f>IFERROR(VLOOKUP(A180,Items[],5,0),0)</f>
        <v>15334575.68</v>
      </c>
      <c r="F180" s="42">
        <f t="shared" si="43"/>
        <v>15334575.680000002</v>
      </c>
      <c r="G180" s="41">
        <v>0</v>
      </c>
      <c r="H180" s="41">
        <f>IFERROR(VLOOKUP(A180,Items[],4,0),0)</f>
        <v>17625315.719999999</v>
      </c>
      <c r="I180" s="41">
        <f>IFERROR(VLOOKUP(A180,Community[],4,0),0)</f>
        <v>0</v>
      </c>
      <c r="J180" s="41">
        <f>IFERROR(VLOOKUP(A180,Community[],5,0),0)</f>
        <v>0</v>
      </c>
      <c r="K180" s="41">
        <f>IFERROR(VLOOKUP(A180,Community[],6,0),0)</f>
        <v>0</v>
      </c>
      <c r="L180" s="41">
        <f>IFERROR(VLOOKUP(A180,Community[],7,0),0)</f>
        <v>2500</v>
      </c>
      <c r="M180" s="41">
        <f>IFERROR(VLOOKUP(A180,Debt[],3,0),0)</f>
        <v>380.38</v>
      </c>
      <c r="N180" s="41">
        <f>IFERROR(VLOOKUP(A180,Debt[],4,0),0)</f>
        <v>25348.09</v>
      </c>
      <c r="O180" s="41">
        <f>IFERROR(VLOOKUP(A180,Debt[],5,0),0)</f>
        <v>0</v>
      </c>
      <c r="P180" s="41">
        <f>IFERROR(VLOOKUP(A180,Items[],3,0),0)</f>
        <v>61638.91</v>
      </c>
      <c r="Q180" s="41">
        <f>IFERROR(VLOOKUP($A180,Federal[],2,0),0)</f>
        <v>12641.96</v>
      </c>
      <c r="R180" s="41">
        <f>IFERROR(VLOOKUP($A180,Federal[],4,0),0)</f>
        <v>2100670.9500000002</v>
      </c>
      <c r="S180" s="41"/>
      <c r="T180" s="47">
        <f>IFERROR(VLOOKUP($A180,Program[],3,0),0)</f>
        <v>0</v>
      </c>
      <c r="U180" s="47"/>
      <c r="V180" s="41">
        <f>IFERROR(VLOOKUP($A180,Program[],4,0),0)</f>
        <v>0</v>
      </c>
      <c r="W180" s="41">
        <f>IFERROR(VLOOKUP($A180,Program[],5,0),0)</f>
        <v>0</v>
      </c>
      <c r="X180" s="41"/>
      <c r="Y180" s="41"/>
      <c r="Z180" s="41"/>
      <c r="AA180" s="41">
        <f>IFERROR(VLOOKUP($A180,Program[],6,0),0)</f>
        <v>0</v>
      </c>
      <c r="AB180" s="41"/>
      <c r="AC180" s="41"/>
      <c r="AD180" s="41">
        <f>IFERROR(VLOOKUP($A180,Program[],7,0),0)</f>
        <v>0</v>
      </c>
      <c r="AE180" s="41">
        <f>IFERROR(VLOOKUP($A180,Program[],8,0),0)</f>
        <v>0</v>
      </c>
      <c r="AF180" s="41">
        <f>IFERROR(VLOOKUP($A180,Program[],9,0),0)</f>
        <v>0</v>
      </c>
      <c r="AG180" s="41">
        <f>IFERROR(VLOOKUP($A180,Program[],10,0),0)</f>
        <v>0</v>
      </c>
      <c r="AH180" s="41">
        <f>IFERROR(VLOOKUP($A180,Program[],11,0),0)</f>
        <v>0</v>
      </c>
      <c r="AI180" s="41">
        <f>IFERROR(VLOOKUP($A180,Program[],12,0),0)</f>
        <v>0</v>
      </c>
      <c r="AJ180" s="41"/>
      <c r="AK180" s="41">
        <f>IFERROR(VLOOKUP($A180,Program[],13,0),0)</f>
        <v>0</v>
      </c>
      <c r="AL180" s="41"/>
      <c r="AM180" s="41"/>
      <c r="AN180" s="41"/>
      <c r="AO180" s="41"/>
      <c r="AP180" s="41"/>
      <c r="AQ180" s="41"/>
      <c r="AR180" s="41"/>
      <c r="AS180" s="41">
        <f>IFERROR(VLOOKUP($A180,Program[],14,0),0)</f>
        <v>0</v>
      </c>
      <c r="AT180" s="41"/>
      <c r="AU180" s="41"/>
      <c r="AV180" s="41">
        <f>IFERROR(VLOOKUP($A180,Program[],15,0),0)</f>
        <v>0</v>
      </c>
      <c r="AW180" s="41"/>
      <c r="AX180" s="41">
        <f>IFERROR(VLOOKUP($A180,Program[],16,0),0)</f>
        <v>0</v>
      </c>
      <c r="AY180" s="41">
        <f>IFERROR(VLOOKUP($A180,Program[],17,0),0)</f>
        <v>0</v>
      </c>
      <c r="AZ180" s="41">
        <f>IFERROR(VLOOKUP($A180,Program[],18,0),0)</f>
        <v>0</v>
      </c>
      <c r="BA180" s="41">
        <f>IFERROR(VLOOKUP($A180,Program[],19,0),0)</f>
        <v>12851.71</v>
      </c>
      <c r="BB180" s="77">
        <f t="shared" si="44"/>
        <v>2174.7800000000861</v>
      </c>
      <c r="BC180" s="41">
        <f>IFERROR(VLOOKUP(A180,Food[],3,0),0)</f>
        <v>792086.77</v>
      </c>
      <c r="BD180" s="41">
        <f>IFERROR(VLOOKUP($A180,FoodRev[],2,0),0)</f>
        <v>2675</v>
      </c>
      <c r="BE180" s="41">
        <f>IFERROR(VLOOKUP($A180,FoodRev[],3,0),0)</f>
        <v>97736.46</v>
      </c>
      <c r="BF180" s="41">
        <f>IFERROR(VLOOKUP($A180,FoodRev[],4,0),0)</f>
        <v>0</v>
      </c>
      <c r="BG180" s="41">
        <f>IFERROR(VLOOKUP($A180,FoodRev[],5,0),0)</f>
        <v>631291.72</v>
      </c>
      <c r="BH180" s="41">
        <f>IFERROR(VLOOKUP($A180,FoodRev[],6,0),0)</f>
        <v>0</v>
      </c>
      <c r="BI180" s="41">
        <f>IFERROR(VLOOKUP($A180,FoodRev[],7,0),0)</f>
        <v>0</v>
      </c>
      <c r="BJ180" s="41">
        <f>IFERROR(VLOOKUP($A180,FoodRev[],8,0),0)</f>
        <v>58208.81</v>
      </c>
      <c r="BK180" s="41">
        <f>IFERROR(VLOOKUP($A180,FoodRev[],9,0),0)</f>
        <v>0</v>
      </c>
      <c r="BL180" s="41">
        <f>IFERROR(VLOOKUP($A180,FoodRev[],10,0),0)</f>
        <v>0</v>
      </c>
      <c r="BM180" s="41">
        <f t="shared" si="45"/>
        <v>789911.99</v>
      </c>
      <c r="BN180" s="42">
        <f t="shared" si="33"/>
        <v>2174.7800000000861</v>
      </c>
      <c r="BO180" s="78">
        <f t="shared" si="46"/>
        <v>2174.7800000000861</v>
      </c>
      <c r="BP180" s="78">
        <f t="shared" si="47"/>
        <v>0</v>
      </c>
    </row>
    <row r="181" spans="1:68" x14ac:dyDescent="0.25">
      <c r="A181" s="40" t="s">
        <v>428</v>
      </c>
      <c r="B181" s="40" t="s">
        <v>864</v>
      </c>
      <c r="D181" s="203">
        <f t="shared" si="42"/>
        <v>-9.3132257461547852E-10</v>
      </c>
      <c r="E181" s="41">
        <f>IFERROR(VLOOKUP(A181,Items[],5,0),0)</f>
        <v>4715664.3899999997</v>
      </c>
      <c r="F181" s="42">
        <f t="shared" si="43"/>
        <v>4715664.3900000006</v>
      </c>
      <c r="G181" s="41">
        <v>0</v>
      </c>
      <c r="H181" s="41">
        <f>IFERROR(VLOOKUP(A181,Items[],4,0),0)</f>
        <v>5342035.7300000004</v>
      </c>
      <c r="I181" s="41">
        <f>IFERROR(VLOOKUP(A181,Community[],4,0),0)</f>
        <v>0</v>
      </c>
      <c r="J181" s="41">
        <f>IFERROR(VLOOKUP(A181,Community[],5,0),0)</f>
        <v>0</v>
      </c>
      <c r="K181" s="41">
        <f>IFERROR(VLOOKUP(A181,Community[],6,0),0)</f>
        <v>0</v>
      </c>
      <c r="L181" s="41">
        <f>IFERROR(VLOOKUP(A181,Community[],7,0),0)</f>
        <v>0</v>
      </c>
      <c r="M181" s="41">
        <f>IFERROR(VLOOKUP(A181,Debt[],3,0),0)</f>
        <v>520</v>
      </c>
      <c r="N181" s="41">
        <f>IFERROR(VLOOKUP(A181,Debt[],4,0),0)</f>
        <v>5300</v>
      </c>
      <c r="O181" s="41">
        <f>IFERROR(VLOOKUP(A181,Debt[],5,0),0)</f>
        <v>0</v>
      </c>
      <c r="P181" s="41">
        <f>IFERROR(VLOOKUP(A181,Items[],3,0),0)</f>
        <v>117481.32</v>
      </c>
      <c r="Q181" s="41">
        <f>IFERROR(VLOOKUP($A181,Federal[],2,0),0)</f>
        <v>3132.5</v>
      </c>
      <c r="R181" s="41">
        <f>IFERROR(VLOOKUP($A181,Federal[],4,0),0)</f>
        <v>473389.3</v>
      </c>
      <c r="S181" s="41"/>
      <c r="T181" s="47">
        <f>IFERROR(VLOOKUP($A181,Program[],3,0),0)</f>
        <v>0</v>
      </c>
      <c r="U181" s="47"/>
      <c r="V181" s="41">
        <f>IFERROR(VLOOKUP($A181,Program[],4,0),0)</f>
        <v>0</v>
      </c>
      <c r="W181" s="41">
        <f>IFERROR(VLOOKUP($A181,Program[],5,0),0)</f>
        <v>0</v>
      </c>
      <c r="X181" s="41"/>
      <c r="Y181" s="41"/>
      <c r="Z181" s="41"/>
      <c r="AA181" s="41">
        <f>IFERROR(VLOOKUP($A181,Program[],6,0),0)</f>
        <v>0</v>
      </c>
      <c r="AB181" s="41"/>
      <c r="AC181" s="41"/>
      <c r="AD181" s="41">
        <f>IFERROR(VLOOKUP($A181,Program[],7,0),0)</f>
        <v>0</v>
      </c>
      <c r="AE181" s="41">
        <f>IFERROR(VLOOKUP($A181,Program[],8,0),0)</f>
        <v>0</v>
      </c>
      <c r="AF181" s="41">
        <f>IFERROR(VLOOKUP($A181,Program[],9,0),0)</f>
        <v>0</v>
      </c>
      <c r="AG181" s="41">
        <f>IFERROR(VLOOKUP($A181,Program[],10,0),0)</f>
        <v>0</v>
      </c>
      <c r="AH181" s="41">
        <f>IFERROR(VLOOKUP($A181,Program[],11,0),0)</f>
        <v>0</v>
      </c>
      <c r="AI181" s="41">
        <f>IFERROR(VLOOKUP($A181,Program[],12,0),0)</f>
        <v>0</v>
      </c>
      <c r="AJ181" s="41"/>
      <c r="AK181" s="41">
        <f>IFERROR(VLOOKUP($A181,Program[],13,0),0)</f>
        <v>0</v>
      </c>
      <c r="AL181" s="41"/>
      <c r="AM181" s="41"/>
      <c r="AN181" s="41"/>
      <c r="AO181" s="41"/>
      <c r="AP181" s="41"/>
      <c r="AQ181" s="41"/>
      <c r="AR181" s="41"/>
      <c r="AS181" s="41">
        <f>IFERROR(VLOOKUP($A181,Program[],14,0),0)</f>
        <v>0</v>
      </c>
      <c r="AT181" s="41"/>
      <c r="AU181" s="41"/>
      <c r="AV181" s="41">
        <f>IFERROR(VLOOKUP($A181,Program[],15,0),0)</f>
        <v>0</v>
      </c>
      <c r="AW181" s="41"/>
      <c r="AX181" s="41">
        <f>IFERROR(VLOOKUP($A181,Program[],16,0),0)</f>
        <v>0</v>
      </c>
      <c r="AY181" s="41">
        <f>IFERROR(VLOOKUP($A181,Program[],17,0),0)</f>
        <v>0</v>
      </c>
      <c r="AZ181" s="41">
        <f>IFERROR(VLOOKUP($A181,Program[],18,0),0)</f>
        <v>0</v>
      </c>
      <c r="BA181" s="41">
        <f>IFERROR(VLOOKUP($A181,Program[],19,0),0)</f>
        <v>0</v>
      </c>
      <c r="BB181" s="77">
        <f t="shared" si="44"/>
        <v>60422.260000000009</v>
      </c>
      <c r="BC181" s="41">
        <f>IFERROR(VLOOKUP(A181,Food[],3,0),0)</f>
        <v>210408.89</v>
      </c>
      <c r="BD181" s="41">
        <f>IFERROR(VLOOKUP($A181,FoodRev[],2,0),0)</f>
        <v>3105.95</v>
      </c>
      <c r="BE181" s="41">
        <f>IFERROR(VLOOKUP($A181,FoodRev[],3,0),0)</f>
        <v>23442.27</v>
      </c>
      <c r="BF181" s="41">
        <f>IFERROR(VLOOKUP($A181,FoodRev[],4,0),0)</f>
        <v>0</v>
      </c>
      <c r="BG181" s="41">
        <f>IFERROR(VLOOKUP($A181,FoodRev[],5,0),0)</f>
        <v>112263.19</v>
      </c>
      <c r="BH181" s="41">
        <f>IFERROR(VLOOKUP($A181,FoodRev[],6,0),0)</f>
        <v>0</v>
      </c>
      <c r="BI181" s="41">
        <f>IFERROR(VLOOKUP($A181,FoodRev[],7,0),0)</f>
        <v>0</v>
      </c>
      <c r="BJ181" s="41">
        <f>IFERROR(VLOOKUP($A181,FoodRev[],8,0),0)</f>
        <v>11175.22</v>
      </c>
      <c r="BK181" s="41">
        <f>IFERROR(VLOOKUP($A181,FoodRev[],9,0),0)</f>
        <v>0</v>
      </c>
      <c r="BL181" s="41">
        <f>IFERROR(VLOOKUP($A181,FoodRev[],10,0),0)</f>
        <v>0</v>
      </c>
      <c r="BM181" s="41">
        <f t="shared" si="45"/>
        <v>149986.63</v>
      </c>
      <c r="BN181" s="42">
        <f t="shared" si="33"/>
        <v>60422.260000000009</v>
      </c>
      <c r="BO181" s="78">
        <f t="shared" si="46"/>
        <v>60422.260000000009</v>
      </c>
      <c r="BP181" s="78">
        <f t="shared" si="47"/>
        <v>0</v>
      </c>
    </row>
    <row r="182" spans="1:68" x14ac:dyDescent="0.25">
      <c r="A182" s="40" t="s">
        <v>360</v>
      </c>
      <c r="B182" s="40" t="s">
        <v>865</v>
      </c>
      <c r="D182" s="203">
        <f t="shared" si="42"/>
        <v>0</v>
      </c>
      <c r="E182" s="41">
        <f>IFERROR(VLOOKUP(A182,Items[],5,0),0)</f>
        <v>12767478.77</v>
      </c>
      <c r="F182" s="42">
        <f t="shared" si="43"/>
        <v>12767478.77</v>
      </c>
      <c r="G182" s="41">
        <v>0</v>
      </c>
      <c r="H182" s="41">
        <f>IFERROR(VLOOKUP(A182,Items[],4,0),0)</f>
        <v>13591706.74</v>
      </c>
      <c r="I182" s="41">
        <f>IFERROR(VLOOKUP(A182,Community[],4,0),0)</f>
        <v>0</v>
      </c>
      <c r="J182" s="41">
        <f>IFERROR(VLOOKUP(A182,Community[],5,0),0)</f>
        <v>0</v>
      </c>
      <c r="K182" s="41">
        <f>IFERROR(VLOOKUP(A182,Community[],6,0),0)</f>
        <v>6176.98</v>
      </c>
      <c r="L182" s="41">
        <f>IFERROR(VLOOKUP(A182,Community[],7,0),0)</f>
        <v>6164.91</v>
      </c>
      <c r="M182" s="41">
        <f>IFERROR(VLOOKUP(A182,Debt[],3,0),0)</f>
        <v>2873.2</v>
      </c>
      <c r="N182" s="41">
        <f>IFERROR(VLOOKUP(A182,Debt[],4,0),0)</f>
        <v>53513.98</v>
      </c>
      <c r="O182" s="41">
        <f>IFERROR(VLOOKUP(A182,Debt[],5,0),0)</f>
        <v>0</v>
      </c>
      <c r="P182" s="41">
        <f>IFERROR(VLOOKUP(A182,Items[],3,0),0)</f>
        <v>59396.89</v>
      </c>
      <c r="Q182" s="41">
        <f>IFERROR(VLOOKUP($A182,Federal[],2,0),0)</f>
        <v>10404.620000000001</v>
      </c>
      <c r="R182" s="41">
        <f>IFERROR(VLOOKUP($A182,Federal[],4,0),0)</f>
        <v>459976.29</v>
      </c>
      <c r="S182" s="41"/>
      <c r="T182" s="47">
        <f>IFERROR(VLOOKUP($A182,Program[],3,0),0)</f>
        <v>0</v>
      </c>
      <c r="U182" s="47"/>
      <c r="V182" s="41">
        <f>IFERROR(VLOOKUP($A182,Program[],4,0),0)</f>
        <v>0</v>
      </c>
      <c r="W182" s="41">
        <f>IFERROR(VLOOKUP($A182,Program[],5,0),0)</f>
        <v>0</v>
      </c>
      <c r="X182" s="41"/>
      <c r="Y182" s="41"/>
      <c r="Z182" s="41"/>
      <c r="AA182" s="41">
        <f>IFERROR(VLOOKUP($A182,Program[],6,0),0)</f>
        <v>0</v>
      </c>
      <c r="AB182" s="41"/>
      <c r="AC182" s="41"/>
      <c r="AD182" s="41">
        <f>IFERROR(VLOOKUP($A182,Program[],7,0),0)</f>
        <v>0</v>
      </c>
      <c r="AE182" s="41">
        <f>IFERROR(VLOOKUP($A182,Program[],8,0),0)</f>
        <v>0</v>
      </c>
      <c r="AF182" s="41">
        <f>IFERROR(VLOOKUP($A182,Program[],9,0),0)</f>
        <v>0</v>
      </c>
      <c r="AG182" s="41">
        <f>IFERROR(VLOOKUP($A182,Program[],10,0),0)</f>
        <v>0</v>
      </c>
      <c r="AH182" s="41">
        <f>IFERROR(VLOOKUP($A182,Program[],11,0),0)</f>
        <v>0</v>
      </c>
      <c r="AI182" s="41">
        <f>IFERROR(VLOOKUP($A182,Program[],12,0),0)</f>
        <v>0</v>
      </c>
      <c r="AJ182" s="41"/>
      <c r="AK182" s="41">
        <f>IFERROR(VLOOKUP($A182,Program[],13,0),0)</f>
        <v>0</v>
      </c>
      <c r="AL182" s="41"/>
      <c r="AM182" s="41"/>
      <c r="AN182" s="41"/>
      <c r="AO182" s="41"/>
      <c r="AP182" s="41"/>
      <c r="AQ182" s="41"/>
      <c r="AR182" s="41"/>
      <c r="AS182" s="41">
        <f>IFERROR(VLOOKUP($A182,Program[],14,0),0)</f>
        <v>0</v>
      </c>
      <c r="AT182" s="41"/>
      <c r="AU182" s="41"/>
      <c r="AV182" s="41">
        <f>IFERROR(VLOOKUP($A182,Program[],15,0),0)</f>
        <v>0</v>
      </c>
      <c r="AW182" s="41"/>
      <c r="AX182" s="41">
        <f>IFERROR(VLOOKUP($A182,Program[],16,0),0)</f>
        <v>0</v>
      </c>
      <c r="AY182" s="41">
        <f>IFERROR(VLOOKUP($A182,Program[],17,0),0)</f>
        <v>0</v>
      </c>
      <c r="AZ182" s="41">
        <f>IFERROR(VLOOKUP($A182,Program[],18,0),0)</f>
        <v>0</v>
      </c>
      <c r="BA182" s="41">
        <f>IFERROR(VLOOKUP($A182,Program[],19,0),0)</f>
        <v>0</v>
      </c>
      <c r="BB182" s="77">
        <f t="shared" si="44"/>
        <v>104233.10000000012</v>
      </c>
      <c r="BC182" s="41">
        <f>IFERROR(VLOOKUP(A182,Food[],3,0),0)</f>
        <v>525823.49000000011</v>
      </c>
      <c r="BD182" s="41">
        <f>IFERROR(VLOOKUP($A182,FoodRev[],2,0),0)</f>
        <v>105051.23</v>
      </c>
      <c r="BE182" s="41">
        <f>IFERROR(VLOOKUP($A182,FoodRev[],3,0),0)</f>
        <v>120669.87</v>
      </c>
      <c r="BF182" s="41">
        <f>IFERROR(VLOOKUP($A182,FoodRev[],4,0),0)</f>
        <v>0</v>
      </c>
      <c r="BG182" s="41">
        <f>IFERROR(VLOOKUP($A182,FoodRev[],5,0),0)</f>
        <v>167123.51</v>
      </c>
      <c r="BH182" s="41">
        <f>IFERROR(VLOOKUP($A182,FoodRev[],6,0),0)</f>
        <v>0</v>
      </c>
      <c r="BI182" s="41">
        <f>IFERROR(VLOOKUP($A182,FoodRev[],7,0),0)</f>
        <v>0</v>
      </c>
      <c r="BJ182" s="41">
        <f>IFERROR(VLOOKUP($A182,FoodRev[],8,0),0)</f>
        <v>28745.78</v>
      </c>
      <c r="BK182" s="41">
        <f>IFERROR(VLOOKUP($A182,FoodRev[],9,0),0)</f>
        <v>0</v>
      </c>
      <c r="BL182" s="41">
        <f>IFERROR(VLOOKUP($A182,FoodRev[],10,0),0)</f>
        <v>0</v>
      </c>
      <c r="BM182" s="41">
        <f t="shared" si="45"/>
        <v>421590.39</v>
      </c>
      <c r="BN182" s="42">
        <f t="shared" si="33"/>
        <v>104233.10000000012</v>
      </c>
      <c r="BO182" s="78">
        <f t="shared" si="46"/>
        <v>104233.10000000012</v>
      </c>
      <c r="BP182" s="78">
        <f t="shared" si="47"/>
        <v>0</v>
      </c>
    </row>
    <row r="183" spans="1:68" x14ac:dyDescent="0.25">
      <c r="A183" s="40" t="s">
        <v>282</v>
      </c>
      <c r="B183" s="40" t="s">
        <v>866</v>
      </c>
      <c r="D183" s="203">
        <f t="shared" si="42"/>
        <v>3.7252902984619141E-9</v>
      </c>
      <c r="E183" s="41">
        <f>IFERROR(VLOOKUP(A183,Items[],5,0),0)</f>
        <v>17548033.780000001</v>
      </c>
      <c r="F183" s="42">
        <f t="shared" si="43"/>
        <v>17548033.779999997</v>
      </c>
      <c r="G183" s="41">
        <v>0</v>
      </c>
      <c r="H183" s="41">
        <f>IFERROR(VLOOKUP(A183,Items[],4,0),0)</f>
        <v>20359637.899999999</v>
      </c>
      <c r="I183" s="41">
        <f>IFERROR(VLOOKUP(A183,Community[],4,0),0)</f>
        <v>0</v>
      </c>
      <c r="J183" s="41">
        <f>IFERROR(VLOOKUP(A183,Community[],5,0),0)</f>
        <v>0</v>
      </c>
      <c r="K183" s="41">
        <f>IFERROR(VLOOKUP(A183,Community[],6,0),0)</f>
        <v>0</v>
      </c>
      <c r="L183" s="41">
        <f>IFERROR(VLOOKUP(A183,Community[],7,0),0)</f>
        <v>69561.299999999988</v>
      </c>
      <c r="M183" s="41">
        <f>IFERROR(VLOOKUP(A183,Debt[],3,0),0)</f>
        <v>377.52</v>
      </c>
      <c r="N183" s="41">
        <f>IFERROR(VLOOKUP(A183,Debt[],4,0),0)</f>
        <v>13979.56</v>
      </c>
      <c r="O183" s="41">
        <f>IFERROR(VLOOKUP(A183,Debt[],5,0),0)</f>
        <v>0</v>
      </c>
      <c r="P183" s="41">
        <f>IFERROR(VLOOKUP(A183,Items[],3,0),0)</f>
        <v>341967.16</v>
      </c>
      <c r="Q183" s="41">
        <f>IFERROR(VLOOKUP($A183,Federal[],2,0),0)</f>
        <v>14562.63</v>
      </c>
      <c r="R183" s="41">
        <f>IFERROR(VLOOKUP($A183,Federal[],4,0),0)</f>
        <v>2351223.64</v>
      </c>
      <c r="S183" s="41"/>
      <c r="T183" s="47">
        <f>IFERROR(VLOOKUP($A183,Program[],3,0),0)</f>
        <v>0</v>
      </c>
      <c r="U183" s="47"/>
      <c r="V183" s="41">
        <f>IFERROR(VLOOKUP($A183,Program[],4,0),0)</f>
        <v>0</v>
      </c>
      <c r="W183" s="41">
        <f>IFERROR(VLOOKUP($A183,Program[],5,0),0)</f>
        <v>0</v>
      </c>
      <c r="X183" s="41"/>
      <c r="Y183" s="41"/>
      <c r="Z183" s="41"/>
      <c r="AA183" s="41">
        <f>IFERROR(VLOOKUP($A183,Program[],6,0),0)</f>
        <v>0</v>
      </c>
      <c r="AB183" s="41"/>
      <c r="AC183" s="41"/>
      <c r="AD183" s="41">
        <f>IFERROR(VLOOKUP($A183,Program[],7,0),0)</f>
        <v>0</v>
      </c>
      <c r="AE183" s="41">
        <f>IFERROR(VLOOKUP($A183,Program[],8,0),0)</f>
        <v>0</v>
      </c>
      <c r="AF183" s="41">
        <f>IFERROR(VLOOKUP($A183,Program[],9,0),0)</f>
        <v>0</v>
      </c>
      <c r="AG183" s="41">
        <f>IFERROR(VLOOKUP($A183,Program[],10,0),0)</f>
        <v>0</v>
      </c>
      <c r="AH183" s="41">
        <f>IFERROR(VLOOKUP($A183,Program[],11,0),0)</f>
        <v>0</v>
      </c>
      <c r="AI183" s="41">
        <f>IFERROR(VLOOKUP($A183,Program[],12,0),0)</f>
        <v>0</v>
      </c>
      <c r="AJ183" s="41"/>
      <c r="AK183" s="41">
        <f>IFERROR(VLOOKUP($A183,Program[],13,0),0)</f>
        <v>0</v>
      </c>
      <c r="AL183" s="41"/>
      <c r="AM183" s="41"/>
      <c r="AN183" s="41"/>
      <c r="AO183" s="41"/>
      <c r="AP183" s="41"/>
      <c r="AQ183" s="41"/>
      <c r="AR183" s="41"/>
      <c r="AS183" s="41">
        <f>IFERROR(VLOOKUP($A183,Program[],14,0),0)</f>
        <v>0</v>
      </c>
      <c r="AT183" s="41"/>
      <c r="AU183" s="41"/>
      <c r="AV183" s="41">
        <f>IFERROR(VLOOKUP($A183,Program[],15,0),0)</f>
        <v>0</v>
      </c>
      <c r="AW183" s="41"/>
      <c r="AX183" s="41">
        <f>IFERROR(VLOOKUP($A183,Program[],16,0),0)</f>
        <v>0</v>
      </c>
      <c r="AY183" s="41">
        <f>IFERROR(VLOOKUP($A183,Program[],17,0),0)</f>
        <v>0</v>
      </c>
      <c r="AZ183" s="41">
        <f>IFERROR(VLOOKUP($A183,Program[],18,0),0)</f>
        <v>0</v>
      </c>
      <c r="BA183" s="41">
        <f>IFERROR(VLOOKUP($A183,Program[],19,0),0)</f>
        <v>0</v>
      </c>
      <c r="BB183" s="77">
        <f t="shared" si="44"/>
        <v>60317.580000000045</v>
      </c>
      <c r="BC183" s="41">
        <f>IFERROR(VLOOKUP(A183,Food[],3,0),0)</f>
        <v>733158.42</v>
      </c>
      <c r="BD183" s="41">
        <f>IFERROR(VLOOKUP($A183,FoodRev[],2,0),0)</f>
        <v>5055.0200000000004</v>
      </c>
      <c r="BE183" s="41">
        <f>IFERROR(VLOOKUP($A183,FoodRev[],3,0),0)</f>
        <v>14877.29</v>
      </c>
      <c r="BF183" s="41">
        <f>IFERROR(VLOOKUP($A183,FoodRev[],4,0),0)</f>
        <v>0</v>
      </c>
      <c r="BG183" s="41">
        <f>IFERROR(VLOOKUP($A183,FoodRev[],5,0),0)</f>
        <v>607406.68999999994</v>
      </c>
      <c r="BH183" s="41">
        <f>IFERROR(VLOOKUP($A183,FoodRev[],6,0),0)</f>
        <v>0</v>
      </c>
      <c r="BI183" s="41">
        <f>IFERROR(VLOOKUP($A183,FoodRev[],7,0),0)</f>
        <v>0</v>
      </c>
      <c r="BJ183" s="41">
        <f>IFERROR(VLOOKUP($A183,FoodRev[],8,0),0)</f>
        <v>45501.84</v>
      </c>
      <c r="BK183" s="41">
        <f>IFERROR(VLOOKUP($A183,FoodRev[],9,0),0)</f>
        <v>0</v>
      </c>
      <c r="BL183" s="41">
        <f>IFERROR(VLOOKUP($A183,FoodRev[],10,0),0)</f>
        <v>0</v>
      </c>
      <c r="BM183" s="41">
        <f t="shared" si="45"/>
        <v>672840.84</v>
      </c>
      <c r="BN183" s="42">
        <f t="shared" si="33"/>
        <v>60317.580000000045</v>
      </c>
      <c r="BO183" s="78">
        <f t="shared" si="46"/>
        <v>60317.580000000045</v>
      </c>
      <c r="BP183" s="78">
        <f t="shared" si="47"/>
        <v>0</v>
      </c>
    </row>
    <row r="184" spans="1:68" x14ac:dyDescent="0.25">
      <c r="A184" s="40" t="s">
        <v>372</v>
      </c>
      <c r="B184" s="40" t="s">
        <v>867</v>
      </c>
      <c r="D184" s="203">
        <f t="shared" si="42"/>
        <v>1.862645149230957E-9</v>
      </c>
      <c r="E184" s="41">
        <f>IFERROR(VLOOKUP(A184,Items[],5,0),0)</f>
        <v>9192287.0700000003</v>
      </c>
      <c r="F184" s="42">
        <f t="shared" si="43"/>
        <v>9192287.0699999984</v>
      </c>
      <c r="G184" s="41">
        <v>0</v>
      </c>
      <c r="H184" s="41">
        <f>IFERROR(VLOOKUP(A184,Items[],4,0),0)</f>
        <v>11023674.859999999</v>
      </c>
      <c r="I184" s="41">
        <f>IFERROR(VLOOKUP(A184,Community[],4,0),0)</f>
        <v>0</v>
      </c>
      <c r="J184" s="41">
        <f>IFERROR(VLOOKUP(A184,Community[],5,0),0)</f>
        <v>0</v>
      </c>
      <c r="K184" s="41">
        <f>IFERROR(VLOOKUP(A184,Community[],6,0),0)</f>
        <v>0</v>
      </c>
      <c r="L184" s="41">
        <f>IFERROR(VLOOKUP(A184,Community[],7,0),0)</f>
        <v>0</v>
      </c>
      <c r="M184" s="41">
        <f>IFERROR(VLOOKUP(A184,Debt[],3,0),0)</f>
        <v>0</v>
      </c>
      <c r="N184" s="41">
        <f>IFERROR(VLOOKUP(A184,Debt[],4,0),0)</f>
        <v>0</v>
      </c>
      <c r="O184" s="41">
        <f>IFERROR(VLOOKUP(A184,Debt[],5,0),0)</f>
        <v>0</v>
      </c>
      <c r="P184" s="41">
        <f>IFERROR(VLOOKUP(A184,Items[],3,0),0)</f>
        <v>275990.37</v>
      </c>
      <c r="Q184" s="41">
        <f>IFERROR(VLOOKUP($A184,Federal[],2,0),0)</f>
        <v>6871.76</v>
      </c>
      <c r="R184" s="41">
        <f>IFERROR(VLOOKUP($A184,Federal[],4,0),0)</f>
        <v>1470958.09</v>
      </c>
      <c r="S184" s="41"/>
      <c r="T184" s="47">
        <f>IFERROR(VLOOKUP($A184,Program[],3,0),0)</f>
        <v>0</v>
      </c>
      <c r="U184" s="47"/>
      <c r="V184" s="41">
        <f>IFERROR(VLOOKUP($A184,Program[],4,0),0)</f>
        <v>0</v>
      </c>
      <c r="W184" s="41">
        <f>IFERROR(VLOOKUP($A184,Program[],5,0),0)</f>
        <v>0</v>
      </c>
      <c r="X184" s="41"/>
      <c r="Y184" s="41"/>
      <c r="Z184" s="41"/>
      <c r="AA184" s="41">
        <f>IFERROR(VLOOKUP($A184,Program[],6,0),0)</f>
        <v>0</v>
      </c>
      <c r="AB184" s="41"/>
      <c r="AC184" s="41"/>
      <c r="AD184" s="41">
        <f>IFERROR(VLOOKUP($A184,Program[],7,0),0)</f>
        <v>0</v>
      </c>
      <c r="AE184" s="41">
        <f>IFERROR(VLOOKUP($A184,Program[],8,0),0)</f>
        <v>0</v>
      </c>
      <c r="AF184" s="41">
        <f>IFERROR(VLOOKUP($A184,Program[],9,0),0)</f>
        <v>0</v>
      </c>
      <c r="AG184" s="41">
        <f>IFERROR(VLOOKUP($A184,Program[],10,0),0)</f>
        <v>0</v>
      </c>
      <c r="AH184" s="41">
        <f>IFERROR(VLOOKUP($A184,Program[],11,0),0)</f>
        <v>0</v>
      </c>
      <c r="AI184" s="41">
        <f>IFERROR(VLOOKUP($A184,Program[],12,0),0)</f>
        <v>0</v>
      </c>
      <c r="AJ184" s="41"/>
      <c r="AK184" s="41">
        <f>IFERROR(VLOOKUP($A184,Program[],13,0),0)</f>
        <v>0</v>
      </c>
      <c r="AL184" s="41"/>
      <c r="AM184" s="41"/>
      <c r="AN184" s="41"/>
      <c r="AO184" s="41"/>
      <c r="AP184" s="41"/>
      <c r="AQ184" s="41"/>
      <c r="AR184" s="41"/>
      <c r="AS184" s="41">
        <f>IFERROR(VLOOKUP($A184,Program[],14,0),0)</f>
        <v>0</v>
      </c>
      <c r="AT184" s="41"/>
      <c r="AU184" s="41"/>
      <c r="AV184" s="41">
        <f>IFERROR(VLOOKUP($A184,Program[],15,0),0)</f>
        <v>0</v>
      </c>
      <c r="AW184" s="41"/>
      <c r="AX184" s="41">
        <f>IFERROR(VLOOKUP($A184,Program[],16,0),0)</f>
        <v>0</v>
      </c>
      <c r="AY184" s="41">
        <f>IFERROR(VLOOKUP($A184,Program[],17,0),0)</f>
        <v>0</v>
      </c>
      <c r="AZ184" s="41">
        <f>IFERROR(VLOOKUP($A184,Program[],18,0),0)</f>
        <v>0</v>
      </c>
      <c r="BA184" s="41">
        <f>IFERROR(VLOOKUP($A184,Program[],19,0),0)</f>
        <v>73.319999999999993</v>
      </c>
      <c r="BB184" s="77">
        <f t="shared" si="44"/>
        <v>31377.180000000004</v>
      </c>
      <c r="BC184" s="41">
        <f>IFERROR(VLOOKUP(A184,Food[],3,0),0)</f>
        <v>467650.55</v>
      </c>
      <c r="BD184" s="41">
        <f>IFERROR(VLOOKUP($A184,FoodRev[],2,0),0)</f>
        <v>1347.85</v>
      </c>
      <c r="BE184" s="41">
        <f>IFERROR(VLOOKUP($A184,FoodRev[],3,0),0)</f>
        <v>76293.039999999994</v>
      </c>
      <c r="BF184" s="41">
        <f>IFERROR(VLOOKUP($A184,FoodRev[],4,0),0)</f>
        <v>0</v>
      </c>
      <c r="BG184" s="41">
        <f>IFERROR(VLOOKUP($A184,FoodRev[],5,0),0)</f>
        <v>330968.28000000003</v>
      </c>
      <c r="BH184" s="41">
        <f>IFERROR(VLOOKUP($A184,FoodRev[],6,0),0)</f>
        <v>0</v>
      </c>
      <c r="BI184" s="41">
        <f>IFERROR(VLOOKUP($A184,FoodRev[],7,0),0)</f>
        <v>0</v>
      </c>
      <c r="BJ184" s="41">
        <f>IFERROR(VLOOKUP($A184,FoodRev[],8,0),0)</f>
        <v>27664.2</v>
      </c>
      <c r="BK184" s="41">
        <f>IFERROR(VLOOKUP($A184,FoodRev[],9,0),0)</f>
        <v>0</v>
      </c>
      <c r="BL184" s="41">
        <f>IFERROR(VLOOKUP($A184,FoodRev[],10,0),0)</f>
        <v>0</v>
      </c>
      <c r="BM184" s="41">
        <f t="shared" si="45"/>
        <v>436273.37000000005</v>
      </c>
      <c r="BN184" s="42">
        <f t="shared" si="33"/>
        <v>31377.180000000004</v>
      </c>
      <c r="BO184" s="78">
        <f t="shared" si="46"/>
        <v>31377.180000000004</v>
      </c>
      <c r="BP184" s="78">
        <f t="shared" si="47"/>
        <v>0</v>
      </c>
    </row>
    <row r="185" spans="1:68" x14ac:dyDescent="0.25">
      <c r="A185" s="40" t="s">
        <v>1257</v>
      </c>
      <c r="B185" s="40" t="s">
        <v>1262</v>
      </c>
      <c r="D185" s="203">
        <f t="shared" si="42"/>
        <v>0</v>
      </c>
      <c r="E185" s="41">
        <f>IFERROR(VLOOKUP(A185,Items[],5,0),0)</f>
        <v>3922572.82</v>
      </c>
      <c r="F185" s="42">
        <f t="shared" ref="F185" si="48">H185-I185-J185-K185-L185-M185-N185-O185-P185-Q185-R185-S185+T185+U185+V185+W185+X185+Y185+Z185+AA185+AB185+AC185+AD185+AE185+AF185+AG185+AH185+AI185+AJ185+AK185+AL185+AM185+AN185+AO185+AP185+AQ185+AR185+AS185+AT185+AU185+AV185+AW185+AX185+AY185+AZ185+BA185+BB185-BC185+BG185+BH185+BI185+BJ185+G185</f>
        <v>3922572.82</v>
      </c>
      <c r="G185" s="41">
        <v>0</v>
      </c>
      <c r="H185" s="41">
        <f>IFERROR(VLOOKUP(A185,Items[],4,0),0)</f>
        <v>4073875.13</v>
      </c>
      <c r="I185" s="41">
        <f>IFERROR(VLOOKUP(A185,Community[],4,0),0)</f>
        <v>0</v>
      </c>
      <c r="J185" s="41">
        <f>IFERROR(VLOOKUP(A185,Community[],5,0),0)</f>
        <v>0</v>
      </c>
      <c r="K185" s="41">
        <f>IFERROR(VLOOKUP(A185,Community[],6,0),0)</f>
        <v>0</v>
      </c>
      <c r="L185" s="41">
        <f>IFERROR(VLOOKUP(A185,Community[],7,0),0)</f>
        <v>0</v>
      </c>
      <c r="M185" s="41">
        <f>IFERROR(VLOOKUP(A185,Debt[],3,0),0)</f>
        <v>0</v>
      </c>
      <c r="N185" s="41">
        <f>IFERROR(VLOOKUP(A185,Debt[],4,0),0)</f>
        <v>0</v>
      </c>
      <c r="O185" s="41">
        <f>IFERROR(VLOOKUP(A185,Debt[],5,0),0)</f>
        <v>0</v>
      </c>
      <c r="P185" s="41">
        <f>IFERROR(VLOOKUP(A185,Items[],3,0),0)</f>
        <v>16418</v>
      </c>
      <c r="Q185" s="41">
        <f>IFERROR(VLOOKUP($A185,Federal[],2,0),0)</f>
        <v>0</v>
      </c>
      <c r="R185" s="41">
        <f>IFERROR(VLOOKUP($A185,Federal[],4,0),0)</f>
        <v>130860.19</v>
      </c>
      <c r="S185" s="41"/>
      <c r="T185" s="47">
        <f>IFERROR(VLOOKUP($A185,Program[],3,0),0)</f>
        <v>0</v>
      </c>
      <c r="U185" s="47"/>
      <c r="V185" s="41">
        <f>IFERROR(VLOOKUP($A185,Program[],4,0),0)</f>
        <v>0</v>
      </c>
      <c r="W185" s="41">
        <f>IFERROR(VLOOKUP($A185,Program[],5,0),0)</f>
        <v>0</v>
      </c>
      <c r="X185" s="41"/>
      <c r="Y185" s="41"/>
      <c r="Z185" s="41"/>
      <c r="AA185" s="41">
        <f>IFERROR(VLOOKUP($A185,Program[],6,0),0)</f>
        <v>0</v>
      </c>
      <c r="AB185" s="41"/>
      <c r="AC185" s="41"/>
      <c r="AD185" s="41">
        <f>IFERROR(VLOOKUP($A185,Program[],7,0),0)</f>
        <v>0</v>
      </c>
      <c r="AE185" s="41">
        <f>IFERROR(VLOOKUP($A185,Program[],8,0),0)</f>
        <v>0</v>
      </c>
      <c r="AF185" s="41">
        <f>IFERROR(VLOOKUP($A185,Program[],9,0),0)</f>
        <v>0</v>
      </c>
      <c r="AG185" s="41">
        <f>IFERROR(VLOOKUP($A185,Program[],10,0),0)</f>
        <v>0</v>
      </c>
      <c r="AH185" s="41">
        <f>IFERROR(VLOOKUP($A185,Program[],11,0),0)</f>
        <v>0</v>
      </c>
      <c r="AI185" s="41">
        <f>IFERROR(VLOOKUP($A185,Program[],12,0),0)</f>
        <v>0</v>
      </c>
      <c r="AJ185" s="41"/>
      <c r="AK185" s="41">
        <f>IFERROR(VLOOKUP($A185,Program[],13,0),0)</f>
        <v>0</v>
      </c>
      <c r="AL185" s="41"/>
      <c r="AM185" s="41"/>
      <c r="AN185" s="41"/>
      <c r="AO185" s="41"/>
      <c r="AP185" s="41"/>
      <c r="AQ185" s="41"/>
      <c r="AR185" s="41"/>
      <c r="AS185" s="41">
        <f>IFERROR(VLOOKUP($A185,Program[],14,0),0)</f>
        <v>0</v>
      </c>
      <c r="AT185" s="41"/>
      <c r="AU185" s="41"/>
      <c r="AV185" s="41">
        <f>IFERROR(VLOOKUP($A185,Program[],15,0),0)</f>
        <v>0</v>
      </c>
      <c r="AW185" s="41"/>
      <c r="AX185" s="41">
        <f>IFERROR(VLOOKUP($A185,Program[],16,0),0)</f>
        <v>0</v>
      </c>
      <c r="AY185" s="41">
        <f>IFERROR(VLOOKUP($A185,Program[],17,0),0)</f>
        <v>0</v>
      </c>
      <c r="AZ185" s="41">
        <f>IFERROR(VLOOKUP($A185,Program[],18,0),0)</f>
        <v>0</v>
      </c>
      <c r="BA185" s="41">
        <f>IFERROR(VLOOKUP($A185,Program[],19,0),0)</f>
        <v>0</v>
      </c>
      <c r="BB185" s="77">
        <f t="shared" ref="BB185" si="49">IF(BN185&gt;0,BN185,0)</f>
        <v>0</v>
      </c>
      <c r="BC185" s="41">
        <f>IFERROR(VLOOKUP(A185,Food[],3,0),0)</f>
        <v>134884.31</v>
      </c>
      <c r="BD185" s="41">
        <f>IFERROR(VLOOKUP($A185,FoodRev[],2,0),0)</f>
        <v>0</v>
      </c>
      <c r="BE185" s="41">
        <f>IFERROR(VLOOKUP($A185,FoodRev[],3,0),0)</f>
        <v>4024.12</v>
      </c>
      <c r="BF185" s="41">
        <f>IFERROR(VLOOKUP($A185,FoodRev[],4,0),0)</f>
        <v>0</v>
      </c>
      <c r="BG185" s="41">
        <f>IFERROR(VLOOKUP($A185,FoodRev[],5,0),0)</f>
        <v>130860.19</v>
      </c>
      <c r="BH185" s="41">
        <f>IFERROR(VLOOKUP($A185,FoodRev[],6,0),0)</f>
        <v>0</v>
      </c>
      <c r="BI185" s="41">
        <f>IFERROR(VLOOKUP($A185,FoodRev[],7,0),0)</f>
        <v>0</v>
      </c>
      <c r="BJ185" s="41">
        <f>IFERROR(VLOOKUP($A185,FoodRev[],8,0),0)</f>
        <v>0</v>
      </c>
      <c r="BK185" s="41">
        <f>IFERROR(VLOOKUP($A185,FoodRev[],9,0),0)</f>
        <v>0</v>
      </c>
      <c r="BL185" s="41">
        <f>IFERROR(VLOOKUP($A185,FoodRev[],10,0),0)</f>
        <v>0</v>
      </c>
      <c r="BM185" s="41">
        <f t="shared" ref="BM185" si="50">SUM(BD185:BL185)</f>
        <v>134884.31</v>
      </c>
      <c r="BN185" s="42">
        <f t="shared" ref="BN185" si="51">BC185-BD185-BE185-BF185-BG185-BH185-BI185-BJ185-BK185-BL185</f>
        <v>0</v>
      </c>
      <c r="BO185" s="78">
        <f t="shared" ref="BO185" si="52">IF(BN185&lt;0,0,BN185)</f>
        <v>0</v>
      </c>
      <c r="BP185" s="78">
        <f t="shared" ref="BP185" si="53">IF(BN185&lt;0,BN185,0)</f>
        <v>0</v>
      </c>
    </row>
    <row r="186" spans="1:68" x14ac:dyDescent="0.25">
      <c r="A186" s="40" t="s">
        <v>290</v>
      </c>
      <c r="B186" s="40" t="s">
        <v>868</v>
      </c>
      <c r="D186" s="203">
        <f t="shared" si="42"/>
        <v>3.7252902984619141E-9</v>
      </c>
      <c r="E186" s="41">
        <f>IFERROR(VLOOKUP(A186,Items[],5,0),0)</f>
        <v>19342458.960000001</v>
      </c>
      <c r="F186" s="42">
        <f t="shared" si="43"/>
        <v>19342458.959999997</v>
      </c>
      <c r="G186" s="41">
        <v>0</v>
      </c>
      <c r="H186" s="41">
        <f>IFERROR(VLOOKUP(A186,Items[],4,0),0)</f>
        <v>21099530.699999999</v>
      </c>
      <c r="I186" s="41">
        <f>IFERROR(VLOOKUP(A186,Community[],4,0),0)</f>
        <v>0</v>
      </c>
      <c r="J186" s="41">
        <f>IFERROR(VLOOKUP(A186,Community[],5,0),0)</f>
        <v>0</v>
      </c>
      <c r="K186" s="41">
        <f>IFERROR(VLOOKUP(A186,Community[],6,0),0)</f>
        <v>94447.44</v>
      </c>
      <c r="L186" s="41">
        <f>IFERROR(VLOOKUP(A186,Community[],7,0),0)</f>
        <v>0</v>
      </c>
      <c r="M186" s="41">
        <f>IFERROR(VLOOKUP(A186,Debt[],3,0),0)</f>
        <v>1008.61</v>
      </c>
      <c r="N186" s="41">
        <f>IFERROR(VLOOKUP(A186,Debt[],4,0),0)</f>
        <v>29026.92</v>
      </c>
      <c r="O186" s="41">
        <f>IFERROR(VLOOKUP(A186,Debt[],5,0),0)</f>
        <v>0</v>
      </c>
      <c r="P186" s="41">
        <f>IFERROR(VLOOKUP(A186,Items[],3,0),0)</f>
        <v>331613.03999999998</v>
      </c>
      <c r="Q186" s="41">
        <f>IFERROR(VLOOKUP($A186,Federal[],2,0),0)</f>
        <v>14894.92</v>
      </c>
      <c r="R186" s="41">
        <f>IFERROR(VLOOKUP($A186,Federal[],4,0),0)</f>
        <v>1328685.26</v>
      </c>
      <c r="S186" s="41"/>
      <c r="T186" s="47">
        <f>IFERROR(VLOOKUP($A186,Program[],3,0),0)</f>
        <v>0</v>
      </c>
      <c r="U186" s="47"/>
      <c r="V186" s="41">
        <f>IFERROR(VLOOKUP($A186,Program[],4,0),0)</f>
        <v>0</v>
      </c>
      <c r="W186" s="41">
        <f>IFERROR(VLOOKUP($A186,Program[],5,0),0)</f>
        <v>0</v>
      </c>
      <c r="X186" s="41"/>
      <c r="Y186" s="41"/>
      <c r="Z186" s="41"/>
      <c r="AA186" s="41">
        <f>IFERROR(VLOOKUP($A186,Program[],6,0),0)</f>
        <v>0</v>
      </c>
      <c r="AB186" s="41"/>
      <c r="AC186" s="41"/>
      <c r="AD186" s="41">
        <f>IFERROR(VLOOKUP($A186,Program[],7,0),0)</f>
        <v>0</v>
      </c>
      <c r="AE186" s="41">
        <f>IFERROR(VLOOKUP($A186,Program[],8,0),0)</f>
        <v>0</v>
      </c>
      <c r="AF186" s="41">
        <f>IFERROR(VLOOKUP($A186,Program[],9,0),0)</f>
        <v>0</v>
      </c>
      <c r="AG186" s="41">
        <f>IFERROR(VLOOKUP($A186,Program[],10,0),0)</f>
        <v>0</v>
      </c>
      <c r="AH186" s="41">
        <f>IFERROR(VLOOKUP($A186,Program[],11,0),0)</f>
        <v>0</v>
      </c>
      <c r="AI186" s="41">
        <f>IFERROR(VLOOKUP($A186,Program[],12,0),0)</f>
        <v>0</v>
      </c>
      <c r="AJ186" s="41"/>
      <c r="AK186" s="41">
        <f>IFERROR(VLOOKUP($A186,Program[],13,0),0)</f>
        <v>0</v>
      </c>
      <c r="AL186" s="41"/>
      <c r="AM186" s="41"/>
      <c r="AN186" s="41"/>
      <c r="AO186" s="41"/>
      <c r="AP186" s="41"/>
      <c r="AQ186" s="41"/>
      <c r="AR186" s="41"/>
      <c r="AS186" s="41">
        <f>IFERROR(VLOOKUP($A186,Program[],14,0),0)</f>
        <v>0</v>
      </c>
      <c r="AT186" s="41"/>
      <c r="AU186" s="41"/>
      <c r="AV186" s="41">
        <f>IFERROR(VLOOKUP($A186,Program[],15,0),0)</f>
        <v>97441.52</v>
      </c>
      <c r="AW186" s="41"/>
      <c r="AX186" s="41">
        <f>IFERROR(VLOOKUP($A186,Program[],16,0),0)</f>
        <v>0</v>
      </c>
      <c r="AY186" s="41">
        <f>IFERROR(VLOOKUP($A186,Program[],17,0),0)</f>
        <v>0</v>
      </c>
      <c r="AZ186" s="41">
        <f>IFERROR(VLOOKUP($A186,Program[],18,0),0)</f>
        <v>0</v>
      </c>
      <c r="BA186" s="41">
        <f>IFERROR(VLOOKUP($A186,Program[],19,0),0)</f>
        <v>0</v>
      </c>
      <c r="BB186" s="77">
        <f t="shared" si="44"/>
        <v>0</v>
      </c>
      <c r="BC186" s="41">
        <f>IFERROR(VLOOKUP(A186,Food[],3,0),0)</f>
        <v>688938.04</v>
      </c>
      <c r="BD186" s="41">
        <f>IFERROR(VLOOKUP($A186,FoodRev[],2,0),0)</f>
        <v>44158.3</v>
      </c>
      <c r="BE186" s="41">
        <f>IFERROR(VLOOKUP($A186,FoodRev[],3,0),0)</f>
        <v>109367.62</v>
      </c>
      <c r="BF186" s="41">
        <f>IFERROR(VLOOKUP($A186,FoodRev[],4,0),0)</f>
        <v>0</v>
      </c>
      <c r="BG186" s="41">
        <f>IFERROR(VLOOKUP($A186,FoodRev[],5,0),0)</f>
        <v>617063.67000000004</v>
      </c>
      <c r="BH186" s="41">
        <f>IFERROR(VLOOKUP($A186,FoodRev[],6,0),0)</f>
        <v>0</v>
      </c>
      <c r="BI186" s="41">
        <f>IFERROR(VLOOKUP($A186,FoodRev[],7,0),0)</f>
        <v>0</v>
      </c>
      <c r="BJ186" s="41">
        <f>IFERROR(VLOOKUP($A186,FoodRev[],8,0),0)</f>
        <v>17037.3</v>
      </c>
      <c r="BK186" s="41">
        <f>IFERROR(VLOOKUP($A186,FoodRev[],9,0),0)</f>
        <v>0</v>
      </c>
      <c r="BL186" s="41">
        <f>IFERROR(VLOOKUP($A186,FoodRev[],10,0),0)</f>
        <v>0</v>
      </c>
      <c r="BM186" s="41">
        <f t="shared" si="45"/>
        <v>787626.89000000013</v>
      </c>
      <c r="BN186" s="42">
        <f t="shared" si="33"/>
        <v>-98688.850000000049</v>
      </c>
      <c r="BO186" s="78">
        <f t="shared" si="46"/>
        <v>0</v>
      </c>
      <c r="BP186" s="78">
        <f t="shared" si="47"/>
        <v>-98688.850000000049</v>
      </c>
    </row>
    <row r="187" spans="1:68" x14ac:dyDescent="0.25">
      <c r="A187" s="40" t="s">
        <v>364</v>
      </c>
      <c r="B187" s="40" t="s">
        <v>869</v>
      </c>
      <c r="D187" s="203">
        <f t="shared" si="42"/>
        <v>-1.862645149230957E-9</v>
      </c>
      <c r="E187" s="41">
        <f>IFERROR(VLOOKUP(A187,Items[],5,0),0)</f>
        <v>8683054.2899999991</v>
      </c>
      <c r="F187" s="42">
        <f t="shared" si="43"/>
        <v>8683054.290000001</v>
      </c>
      <c r="G187" s="41">
        <v>0</v>
      </c>
      <c r="H187" s="41">
        <f>IFERROR(VLOOKUP(A187,Items[],4,0),0)</f>
        <v>9508664.1600000001</v>
      </c>
      <c r="I187" s="41">
        <f>IFERROR(VLOOKUP(A187,Community[],4,0),0)</f>
        <v>0</v>
      </c>
      <c r="J187" s="41">
        <f>IFERROR(VLOOKUP(A187,Community[],5,0),0)</f>
        <v>0</v>
      </c>
      <c r="K187" s="41">
        <f>IFERROR(VLOOKUP(A187,Community[],6,0),0)</f>
        <v>0</v>
      </c>
      <c r="L187" s="41">
        <f>IFERROR(VLOOKUP(A187,Community[],7,0),0)</f>
        <v>0</v>
      </c>
      <c r="M187" s="41">
        <f>IFERROR(VLOOKUP(A187,Debt[],3,0),0)</f>
        <v>0</v>
      </c>
      <c r="N187" s="41">
        <f>IFERROR(VLOOKUP(A187,Debt[],4,0),0)</f>
        <v>0</v>
      </c>
      <c r="O187" s="41">
        <f>IFERROR(VLOOKUP(A187,Debt[],5,0),0)</f>
        <v>0</v>
      </c>
      <c r="P187" s="41">
        <f>IFERROR(VLOOKUP(A187,Items[],3,0),0)</f>
        <v>0</v>
      </c>
      <c r="Q187" s="41">
        <f>IFERROR(VLOOKUP($A187,Federal[],2,0),0)</f>
        <v>0</v>
      </c>
      <c r="R187" s="41">
        <f>IFERROR(VLOOKUP($A187,Federal[],4,0),0)</f>
        <v>750023.16</v>
      </c>
      <c r="S187" s="41"/>
      <c r="T187" s="47">
        <f>IFERROR(VLOOKUP($A187,Program[],3,0),0)</f>
        <v>0</v>
      </c>
      <c r="U187" s="47"/>
      <c r="V187" s="41">
        <f>IFERROR(VLOOKUP($A187,Program[],4,0),0)</f>
        <v>0</v>
      </c>
      <c r="W187" s="41">
        <f>IFERROR(VLOOKUP($A187,Program[],5,0),0)</f>
        <v>0</v>
      </c>
      <c r="X187" s="41"/>
      <c r="Y187" s="41"/>
      <c r="Z187" s="41"/>
      <c r="AA187" s="41">
        <f>IFERROR(VLOOKUP($A187,Program[],6,0),0)</f>
        <v>0</v>
      </c>
      <c r="AB187" s="41"/>
      <c r="AC187" s="41"/>
      <c r="AD187" s="41">
        <f>IFERROR(VLOOKUP($A187,Program[],7,0),0)</f>
        <v>0</v>
      </c>
      <c r="AE187" s="41">
        <f>IFERROR(VLOOKUP($A187,Program[],8,0),0)</f>
        <v>0</v>
      </c>
      <c r="AF187" s="41">
        <f>IFERROR(VLOOKUP($A187,Program[],9,0),0)</f>
        <v>0</v>
      </c>
      <c r="AG187" s="41">
        <f>IFERROR(VLOOKUP($A187,Program[],10,0),0)</f>
        <v>0</v>
      </c>
      <c r="AH187" s="41">
        <f>IFERROR(VLOOKUP($A187,Program[],11,0),0)</f>
        <v>0</v>
      </c>
      <c r="AI187" s="41">
        <f>IFERROR(VLOOKUP($A187,Program[],12,0),0)</f>
        <v>0</v>
      </c>
      <c r="AJ187" s="41"/>
      <c r="AK187" s="41">
        <f>IFERROR(VLOOKUP($A187,Program[],13,0),0)</f>
        <v>0</v>
      </c>
      <c r="AL187" s="41"/>
      <c r="AM187" s="41"/>
      <c r="AN187" s="41"/>
      <c r="AO187" s="41"/>
      <c r="AP187" s="41"/>
      <c r="AQ187" s="41"/>
      <c r="AR187" s="41"/>
      <c r="AS187" s="41">
        <f>IFERROR(VLOOKUP($A187,Program[],14,0),0)</f>
        <v>0</v>
      </c>
      <c r="AT187" s="41"/>
      <c r="AU187" s="41"/>
      <c r="AV187" s="41">
        <f>IFERROR(VLOOKUP($A187,Program[],15,0),0)</f>
        <v>0</v>
      </c>
      <c r="AW187" s="41"/>
      <c r="AX187" s="41">
        <f>IFERROR(VLOOKUP($A187,Program[],16,0),0)</f>
        <v>0</v>
      </c>
      <c r="AY187" s="41">
        <f>IFERROR(VLOOKUP($A187,Program[],17,0),0)</f>
        <v>0</v>
      </c>
      <c r="AZ187" s="41">
        <f>IFERROR(VLOOKUP($A187,Program[],18,0),0)</f>
        <v>0</v>
      </c>
      <c r="BA187" s="41">
        <f>IFERROR(VLOOKUP($A187,Program[],19,0),0)</f>
        <v>0</v>
      </c>
      <c r="BB187" s="77">
        <f t="shared" si="44"/>
        <v>0</v>
      </c>
      <c r="BC187" s="41">
        <f>IFERROR(VLOOKUP(A187,Food[],3,0),0)</f>
        <v>446758.29000000004</v>
      </c>
      <c r="BD187" s="41">
        <f>IFERROR(VLOOKUP($A187,FoodRev[],2,0),0)</f>
        <v>0</v>
      </c>
      <c r="BE187" s="41">
        <f>IFERROR(VLOOKUP($A187,FoodRev[],3,0),0)</f>
        <v>82734.080000000002</v>
      </c>
      <c r="BF187" s="41">
        <f>IFERROR(VLOOKUP($A187,FoodRev[],4,0),0)</f>
        <v>0</v>
      </c>
      <c r="BG187" s="41">
        <f>IFERROR(VLOOKUP($A187,FoodRev[],5,0),0)</f>
        <v>337662.69</v>
      </c>
      <c r="BH187" s="41">
        <f>IFERROR(VLOOKUP($A187,FoodRev[],6,0),0)</f>
        <v>0</v>
      </c>
      <c r="BI187" s="41">
        <f>IFERROR(VLOOKUP($A187,FoodRev[],7,0),0)</f>
        <v>0</v>
      </c>
      <c r="BJ187" s="41">
        <f>IFERROR(VLOOKUP($A187,FoodRev[],8,0),0)</f>
        <v>33508.89</v>
      </c>
      <c r="BK187" s="41">
        <f>IFERROR(VLOOKUP($A187,FoodRev[],9,0),0)</f>
        <v>0</v>
      </c>
      <c r="BL187" s="41">
        <f>IFERROR(VLOOKUP($A187,FoodRev[],10,0),0)</f>
        <v>0</v>
      </c>
      <c r="BM187" s="41">
        <f t="shared" si="45"/>
        <v>453905.66000000003</v>
      </c>
      <c r="BN187" s="42">
        <f t="shared" si="33"/>
        <v>-7147.3699999999808</v>
      </c>
      <c r="BO187" s="78">
        <f t="shared" si="46"/>
        <v>0</v>
      </c>
      <c r="BP187" s="78">
        <f t="shared" si="47"/>
        <v>-7147.3699999999808</v>
      </c>
    </row>
    <row r="188" spans="1:68" x14ac:dyDescent="0.25">
      <c r="A188" s="40" t="s">
        <v>358</v>
      </c>
      <c r="B188" s="40" t="s">
        <v>870</v>
      </c>
      <c r="D188" s="203">
        <f t="shared" si="42"/>
        <v>-3.7252902984619141E-9</v>
      </c>
      <c r="E188" s="41">
        <f>IFERROR(VLOOKUP(A188,Items[],5,0),0)</f>
        <v>18922927.609999999</v>
      </c>
      <c r="F188" s="42">
        <f t="shared" si="43"/>
        <v>18922927.610000003</v>
      </c>
      <c r="G188" s="41">
        <v>0</v>
      </c>
      <c r="H188" s="41">
        <f>IFERROR(VLOOKUP(A188,Items[],4,0),0)</f>
        <v>21800344.359999999</v>
      </c>
      <c r="I188" s="41">
        <f>IFERROR(VLOOKUP(A188,Community[],4,0),0)</f>
        <v>0</v>
      </c>
      <c r="J188" s="41">
        <f>IFERROR(VLOOKUP(A188,Community[],5,0),0)</f>
        <v>0</v>
      </c>
      <c r="K188" s="41">
        <f>IFERROR(VLOOKUP(A188,Community[],6,0),0)</f>
        <v>1788078.8099999996</v>
      </c>
      <c r="L188" s="41">
        <f>IFERROR(VLOOKUP(A188,Community[],7,0),0)</f>
        <v>79810.240000000005</v>
      </c>
      <c r="M188" s="41">
        <f>IFERROR(VLOOKUP(A188,Debt[],3,0),0)</f>
        <v>0</v>
      </c>
      <c r="N188" s="41">
        <f>IFERROR(VLOOKUP(A188,Debt[],4,0),0)</f>
        <v>12607.9</v>
      </c>
      <c r="O188" s="41">
        <f>IFERROR(VLOOKUP(A188,Debt[],5,0),0)</f>
        <v>0</v>
      </c>
      <c r="P188" s="41">
        <f>IFERROR(VLOOKUP(A188,Items[],3,0),0)</f>
        <v>7921.67</v>
      </c>
      <c r="Q188" s="41">
        <f>IFERROR(VLOOKUP($A188,Federal[],2,0),0)</f>
        <v>2889.91</v>
      </c>
      <c r="R188" s="41">
        <f>IFERROR(VLOOKUP($A188,Federal[],4,0),0)</f>
        <v>903254.76</v>
      </c>
      <c r="S188" s="41"/>
      <c r="T188" s="47">
        <f>IFERROR(VLOOKUP($A188,Program[],3,0),0)</f>
        <v>0</v>
      </c>
      <c r="U188" s="47"/>
      <c r="V188" s="41">
        <f>IFERROR(VLOOKUP($A188,Program[],4,0),0)</f>
        <v>0</v>
      </c>
      <c r="W188" s="41">
        <f>IFERROR(VLOOKUP($A188,Program[],5,0),0)</f>
        <v>0</v>
      </c>
      <c r="X188" s="41"/>
      <c r="Y188" s="41"/>
      <c r="Z188" s="41"/>
      <c r="AA188" s="41">
        <f>IFERROR(VLOOKUP($A188,Program[],6,0),0)</f>
        <v>0</v>
      </c>
      <c r="AB188" s="41"/>
      <c r="AC188" s="41"/>
      <c r="AD188" s="41">
        <f>IFERROR(VLOOKUP($A188,Program[],7,0),0)</f>
        <v>0</v>
      </c>
      <c r="AE188" s="41">
        <f>IFERROR(VLOOKUP($A188,Program[],8,0),0)</f>
        <v>0</v>
      </c>
      <c r="AF188" s="41">
        <f>IFERROR(VLOOKUP($A188,Program[],9,0),0)</f>
        <v>0</v>
      </c>
      <c r="AG188" s="41">
        <f>IFERROR(VLOOKUP($A188,Program[],10,0),0)</f>
        <v>0</v>
      </c>
      <c r="AH188" s="41">
        <f>IFERROR(VLOOKUP($A188,Program[],11,0),0)</f>
        <v>0</v>
      </c>
      <c r="AI188" s="41">
        <f>IFERROR(VLOOKUP($A188,Program[],12,0),0)</f>
        <v>0</v>
      </c>
      <c r="AJ188" s="41"/>
      <c r="AK188" s="41">
        <f>IFERROR(VLOOKUP($A188,Program[],13,0),0)</f>
        <v>0</v>
      </c>
      <c r="AL188" s="41"/>
      <c r="AM188" s="41"/>
      <c r="AN188" s="41"/>
      <c r="AO188" s="41"/>
      <c r="AP188" s="41"/>
      <c r="AQ188" s="41"/>
      <c r="AR188" s="41"/>
      <c r="AS188" s="41">
        <f>IFERROR(VLOOKUP($A188,Program[],14,0),0)</f>
        <v>0</v>
      </c>
      <c r="AT188" s="41"/>
      <c r="AU188" s="41"/>
      <c r="AV188" s="41">
        <f>IFERROR(VLOOKUP($A188,Program[],15,0),0)</f>
        <v>0</v>
      </c>
      <c r="AW188" s="41"/>
      <c r="AX188" s="41">
        <f>IFERROR(VLOOKUP($A188,Program[],16,0),0)</f>
        <v>0</v>
      </c>
      <c r="AY188" s="41">
        <f>IFERROR(VLOOKUP($A188,Program[],17,0),0)</f>
        <v>4000</v>
      </c>
      <c r="AZ188" s="41">
        <f>IFERROR(VLOOKUP($A188,Program[],18,0),0)</f>
        <v>0</v>
      </c>
      <c r="BA188" s="41">
        <f>IFERROR(VLOOKUP($A188,Program[],19,0),0)</f>
        <v>0</v>
      </c>
      <c r="BB188" s="77">
        <f t="shared" si="44"/>
        <v>0</v>
      </c>
      <c r="BC188" s="41">
        <f>IFERROR(VLOOKUP(A188,Food[],3,0),0)</f>
        <v>465890.99</v>
      </c>
      <c r="BD188" s="41">
        <f>IFERROR(VLOOKUP($A188,FoodRev[],2,0),0)</f>
        <v>1246</v>
      </c>
      <c r="BE188" s="41">
        <f>IFERROR(VLOOKUP($A188,FoodRev[],3,0),0)</f>
        <v>88951.81</v>
      </c>
      <c r="BF188" s="41">
        <f>IFERROR(VLOOKUP($A188,FoodRev[],4,0),0)</f>
        <v>2894.27</v>
      </c>
      <c r="BG188" s="41">
        <f>IFERROR(VLOOKUP($A188,FoodRev[],5,0),0)</f>
        <v>350839.44</v>
      </c>
      <c r="BH188" s="41">
        <f>IFERROR(VLOOKUP($A188,FoodRev[],6,0),0)</f>
        <v>0</v>
      </c>
      <c r="BI188" s="41">
        <f>IFERROR(VLOOKUP($A188,FoodRev[],7,0),0)</f>
        <v>6605.84</v>
      </c>
      <c r="BJ188" s="41">
        <f>IFERROR(VLOOKUP($A188,FoodRev[],8,0),0)</f>
        <v>21592.25</v>
      </c>
      <c r="BK188" s="41">
        <f>IFERROR(VLOOKUP($A188,FoodRev[],9,0),0)</f>
        <v>0</v>
      </c>
      <c r="BL188" s="41">
        <f>IFERROR(VLOOKUP($A188,FoodRev[],10,0),0)</f>
        <v>0</v>
      </c>
      <c r="BM188" s="41">
        <f t="shared" si="45"/>
        <v>472129.61000000004</v>
      </c>
      <c r="BN188" s="42">
        <f t="shared" si="33"/>
        <v>-6238.6200000000281</v>
      </c>
      <c r="BO188" s="78">
        <f t="shared" si="46"/>
        <v>0</v>
      </c>
      <c r="BP188" s="78">
        <f t="shared" si="47"/>
        <v>-6238.6200000000281</v>
      </c>
    </row>
    <row r="189" spans="1:68" x14ac:dyDescent="0.25">
      <c r="A189" s="40" t="s">
        <v>394</v>
      </c>
      <c r="B189" s="40" t="s">
        <v>1017</v>
      </c>
      <c r="D189" s="203">
        <f t="shared" si="42"/>
        <v>0</v>
      </c>
      <c r="E189" s="41">
        <f>IFERROR(VLOOKUP(A189,Items[],5,0),0)</f>
        <v>6106859.6100000003</v>
      </c>
      <c r="F189" s="42">
        <f t="shared" si="43"/>
        <v>6106859.6100000003</v>
      </c>
      <c r="G189" s="41">
        <v>0</v>
      </c>
      <c r="H189" s="41">
        <f>IFERROR(VLOOKUP(A189,Items[],4,0),0)</f>
        <v>6565601.1299999999</v>
      </c>
      <c r="I189" s="41">
        <f>IFERROR(VLOOKUP(A189,Community[],4,0),0)</f>
        <v>0</v>
      </c>
      <c r="J189" s="41">
        <f>IFERROR(VLOOKUP(A189,Community[],5,0),0)</f>
        <v>0</v>
      </c>
      <c r="K189" s="41">
        <f>IFERROR(VLOOKUP(A189,Community[],6,0),0)</f>
        <v>0</v>
      </c>
      <c r="L189" s="41">
        <f>IFERROR(VLOOKUP(A189,Community[],7,0),0)</f>
        <v>0</v>
      </c>
      <c r="M189" s="41">
        <f>IFERROR(VLOOKUP(A189,Debt[],3,0),0)</f>
        <v>0</v>
      </c>
      <c r="N189" s="41">
        <f>IFERROR(VLOOKUP(A189,Debt[],4,0),0)</f>
        <v>11429.08</v>
      </c>
      <c r="O189" s="41">
        <f>IFERROR(VLOOKUP(A189,Debt[],5,0),0)</f>
        <v>0</v>
      </c>
      <c r="P189" s="41">
        <f>IFERROR(VLOOKUP(A189,Items[],3,0),0)</f>
        <v>24564.66</v>
      </c>
      <c r="Q189" s="41">
        <f>IFERROR(VLOOKUP($A189,Federal[],2,0),0)</f>
        <v>41502.51</v>
      </c>
      <c r="R189" s="41">
        <f>IFERROR(VLOOKUP($A189,Federal[],4,0),0)</f>
        <v>345293.02</v>
      </c>
      <c r="S189" s="41"/>
      <c r="T189" s="47">
        <f>IFERROR(VLOOKUP($A189,Program[],3,0),0)</f>
        <v>0</v>
      </c>
      <c r="U189" s="47"/>
      <c r="V189" s="41">
        <f>IFERROR(VLOOKUP($A189,Program[],4,0),0)</f>
        <v>0</v>
      </c>
      <c r="W189" s="41">
        <f>IFERROR(VLOOKUP($A189,Program[],5,0),0)</f>
        <v>0</v>
      </c>
      <c r="X189" s="41"/>
      <c r="Y189" s="41"/>
      <c r="Z189" s="41"/>
      <c r="AA189" s="41">
        <f>IFERROR(VLOOKUP($A189,Program[],6,0),0)</f>
        <v>0</v>
      </c>
      <c r="AB189" s="41"/>
      <c r="AC189" s="41"/>
      <c r="AD189" s="41">
        <f>IFERROR(VLOOKUP($A189,Program[],7,0),0)</f>
        <v>0</v>
      </c>
      <c r="AE189" s="41">
        <f>IFERROR(VLOOKUP($A189,Program[],8,0),0)</f>
        <v>0</v>
      </c>
      <c r="AF189" s="41">
        <f>IFERROR(VLOOKUP($A189,Program[],9,0),0)</f>
        <v>0</v>
      </c>
      <c r="AG189" s="41">
        <f>IFERROR(VLOOKUP($A189,Program[],10,0),0)</f>
        <v>0</v>
      </c>
      <c r="AH189" s="41">
        <f>IFERROR(VLOOKUP($A189,Program[],11,0),0)</f>
        <v>0</v>
      </c>
      <c r="AI189" s="41">
        <f>IFERROR(VLOOKUP($A189,Program[],12,0),0)</f>
        <v>0</v>
      </c>
      <c r="AJ189" s="41"/>
      <c r="AK189" s="41">
        <f>IFERROR(VLOOKUP($A189,Program[],13,0),0)</f>
        <v>0</v>
      </c>
      <c r="AL189" s="41"/>
      <c r="AM189" s="41"/>
      <c r="AN189" s="41"/>
      <c r="AO189" s="41"/>
      <c r="AP189" s="41"/>
      <c r="AQ189" s="41"/>
      <c r="AR189" s="41"/>
      <c r="AS189" s="41">
        <f>IFERROR(VLOOKUP($A189,Program[],14,0),0)</f>
        <v>0</v>
      </c>
      <c r="AT189" s="41"/>
      <c r="AU189" s="41"/>
      <c r="AV189" s="41">
        <f>IFERROR(VLOOKUP($A189,Program[],15,0),0)</f>
        <v>0</v>
      </c>
      <c r="AW189" s="41"/>
      <c r="AX189" s="41">
        <f>IFERROR(VLOOKUP($A189,Program[],16,0),0)</f>
        <v>0</v>
      </c>
      <c r="AY189" s="41">
        <f>IFERROR(VLOOKUP($A189,Program[],17,0),0)</f>
        <v>0</v>
      </c>
      <c r="AZ189" s="41">
        <f>IFERROR(VLOOKUP($A189,Program[],18,0),0)</f>
        <v>0</v>
      </c>
      <c r="BA189" s="41">
        <f>IFERROR(VLOOKUP($A189,Program[],19,0),0)</f>
        <v>0</v>
      </c>
      <c r="BB189" s="77">
        <f t="shared" si="44"/>
        <v>0</v>
      </c>
      <c r="BC189" s="41">
        <f>IFERROR(VLOOKUP(A189,Food[],3,0),0)</f>
        <v>214428.27000000002</v>
      </c>
      <c r="BD189" s="41">
        <f>IFERROR(VLOOKUP($A189,FoodRev[],2,0),0)</f>
        <v>6868.2</v>
      </c>
      <c r="BE189" s="41">
        <f>IFERROR(VLOOKUP($A189,FoodRev[],3,0),0)</f>
        <v>54751.839999999997</v>
      </c>
      <c r="BF189" s="41">
        <f>IFERROR(VLOOKUP($A189,FoodRev[],4,0),0)</f>
        <v>0</v>
      </c>
      <c r="BG189" s="41">
        <f>IFERROR(VLOOKUP($A189,FoodRev[],5,0),0)</f>
        <v>171069.98</v>
      </c>
      <c r="BH189" s="41">
        <f>IFERROR(VLOOKUP($A189,FoodRev[],6,0),0)</f>
        <v>0</v>
      </c>
      <c r="BI189" s="41">
        <f>IFERROR(VLOOKUP($A189,FoodRev[],7,0),0)</f>
        <v>0</v>
      </c>
      <c r="BJ189" s="41">
        <f>IFERROR(VLOOKUP($A189,FoodRev[],8,0),0)</f>
        <v>7406.04</v>
      </c>
      <c r="BK189" s="41">
        <f>IFERROR(VLOOKUP($A189,FoodRev[],9,0),0)</f>
        <v>0</v>
      </c>
      <c r="BL189" s="41">
        <f>IFERROR(VLOOKUP($A189,FoodRev[],10,0),0)</f>
        <v>0</v>
      </c>
      <c r="BM189" s="41">
        <f t="shared" si="45"/>
        <v>240096.06000000003</v>
      </c>
      <c r="BN189" s="42">
        <f t="shared" ref="BN189:BN252" si="54">BC189-BD189-BE189-BF189-BG189-BH189-BI189-BJ189-BK189-BL189</f>
        <v>-25667.79</v>
      </c>
      <c r="BO189" s="78">
        <f t="shared" si="46"/>
        <v>0</v>
      </c>
      <c r="BP189" s="78">
        <f t="shared" si="47"/>
        <v>-25667.79</v>
      </c>
    </row>
    <row r="190" spans="1:68" x14ac:dyDescent="0.25">
      <c r="A190" s="40" t="s">
        <v>418</v>
      </c>
      <c r="B190" s="40" t="s">
        <v>871</v>
      </c>
      <c r="D190" s="203">
        <f t="shared" si="42"/>
        <v>0</v>
      </c>
      <c r="E190" s="41">
        <f>IFERROR(VLOOKUP(A190,Items[],5,0),0)</f>
        <v>6817809.21</v>
      </c>
      <c r="F190" s="42">
        <f t="shared" si="43"/>
        <v>6817809.21</v>
      </c>
      <c r="G190" s="41">
        <v>0</v>
      </c>
      <c r="H190" s="41">
        <f>IFERROR(VLOOKUP(A190,Items[],4,0),0)</f>
        <v>7356343.3399999999</v>
      </c>
      <c r="I190" s="41">
        <f>IFERROR(VLOOKUP(A190,Community[],4,0),0)</f>
        <v>0</v>
      </c>
      <c r="J190" s="41">
        <f>IFERROR(VLOOKUP(A190,Community[],5,0),0)</f>
        <v>0</v>
      </c>
      <c r="K190" s="41">
        <f>IFERROR(VLOOKUP(A190,Community[],6,0),0)</f>
        <v>255.94</v>
      </c>
      <c r="L190" s="41">
        <f>IFERROR(VLOOKUP(A190,Community[],7,0),0)</f>
        <v>0</v>
      </c>
      <c r="M190" s="41">
        <f>IFERROR(VLOOKUP(A190,Debt[],3,0),0)</f>
        <v>0</v>
      </c>
      <c r="N190" s="41">
        <f>IFERROR(VLOOKUP(A190,Debt[],4,0),0)</f>
        <v>0</v>
      </c>
      <c r="O190" s="41">
        <f>IFERROR(VLOOKUP(A190,Debt[],5,0),0)</f>
        <v>0</v>
      </c>
      <c r="P190" s="41">
        <f>IFERROR(VLOOKUP(A190,Items[],3,0),0)</f>
        <v>915.16</v>
      </c>
      <c r="Q190" s="41">
        <f>IFERROR(VLOOKUP($A190,Federal[],2,0),0)</f>
        <v>0</v>
      </c>
      <c r="R190" s="41">
        <f>IFERROR(VLOOKUP($A190,Federal[],4,0),0)</f>
        <v>416310.9</v>
      </c>
      <c r="S190" s="41"/>
      <c r="T190" s="47">
        <f>IFERROR(VLOOKUP($A190,Program[],3,0),0)</f>
        <v>0</v>
      </c>
      <c r="U190" s="47"/>
      <c r="V190" s="41">
        <f>IFERROR(VLOOKUP($A190,Program[],4,0),0)</f>
        <v>0</v>
      </c>
      <c r="W190" s="41">
        <f>IFERROR(VLOOKUP($A190,Program[],5,0),0)</f>
        <v>0</v>
      </c>
      <c r="X190" s="41"/>
      <c r="Y190" s="41"/>
      <c r="Z190" s="41"/>
      <c r="AA190" s="41">
        <f>IFERROR(VLOOKUP($A190,Program[],6,0),0)</f>
        <v>0</v>
      </c>
      <c r="AB190" s="41"/>
      <c r="AC190" s="41"/>
      <c r="AD190" s="41">
        <f>IFERROR(VLOOKUP($A190,Program[],7,0),0)</f>
        <v>0</v>
      </c>
      <c r="AE190" s="41">
        <f>IFERROR(VLOOKUP($A190,Program[],8,0),0)</f>
        <v>0</v>
      </c>
      <c r="AF190" s="41">
        <f>IFERROR(VLOOKUP($A190,Program[],9,0),0)</f>
        <v>0</v>
      </c>
      <c r="AG190" s="41">
        <f>IFERROR(VLOOKUP($A190,Program[],10,0),0)</f>
        <v>0</v>
      </c>
      <c r="AH190" s="41">
        <f>IFERROR(VLOOKUP($A190,Program[],11,0),0)</f>
        <v>0</v>
      </c>
      <c r="AI190" s="41">
        <f>IFERROR(VLOOKUP($A190,Program[],12,0),0)</f>
        <v>0</v>
      </c>
      <c r="AJ190" s="41"/>
      <c r="AK190" s="41">
        <f>IFERROR(VLOOKUP($A190,Program[],13,0),0)</f>
        <v>0</v>
      </c>
      <c r="AL190" s="41"/>
      <c r="AM190" s="41"/>
      <c r="AN190" s="41"/>
      <c r="AO190" s="41"/>
      <c r="AP190" s="41"/>
      <c r="AQ190" s="41"/>
      <c r="AR190" s="41"/>
      <c r="AS190" s="41">
        <f>IFERROR(VLOOKUP($A190,Program[],14,0),0)</f>
        <v>0</v>
      </c>
      <c r="AT190" s="41"/>
      <c r="AU190" s="41"/>
      <c r="AV190" s="41">
        <f>IFERROR(VLOOKUP($A190,Program[],15,0),0)</f>
        <v>0</v>
      </c>
      <c r="AW190" s="41"/>
      <c r="AX190" s="41">
        <f>IFERROR(VLOOKUP($A190,Program[],16,0),0)</f>
        <v>0</v>
      </c>
      <c r="AY190" s="41">
        <f>IFERROR(VLOOKUP($A190,Program[],17,0),0)</f>
        <v>0</v>
      </c>
      <c r="AZ190" s="41">
        <f>IFERROR(VLOOKUP($A190,Program[],18,0),0)</f>
        <v>0</v>
      </c>
      <c r="BA190" s="41">
        <f>IFERROR(VLOOKUP($A190,Program[],19,0),0)</f>
        <v>0</v>
      </c>
      <c r="BB190" s="77">
        <f t="shared" si="44"/>
        <v>77363.940000000031</v>
      </c>
      <c r="BC190" s="41">
        <f>IFERROR(VLOOKUP(A190,Food[],3,0),0)</f>
        <v>326252.06</v>
      </c>
      <c r="BD190" s="41">
        <f>IFERROR(VLOOKUP($A190,FoodRev[],2,0),0)</f>
        <v>41034.53</v>
      </c>
      <c r="BE190" s="41">
        <f>IFERROR(VLOOKUP($A190,FoodRev[],3,0),0)</f>
        <v>80017.600000000006</v>
      </c>
      <c r="BF190" s="41">
        <f>IFERROR(VLOOKUP($A190,FoodRev[],4,0),0)</f>
        <v>0</v>
      </c>
      <c r="BG190" s="41">
        <f>IFERROR(VLOOKUP($A190,FoodRev[],5,0),0)</f>
        <v>115658.29</v>
      </c>
      <c r="BH190" s="41">
        <f>IFERROR(VLOOKUP($A190,FoodRev[],6,0),0)</f>
        <v>0</v>
      </c>
      <c r="BI190" s="41">
        <f>IFERROR(VLOOKUP($A190,FoodRev[],7,0),0)</f>
        <v>0</v>
      </c>
      <c r="BJ190" s="41">
        <f>IFERROR(VLOOKUP($A190,FoodRev[],8,0),0)</f>
        <v>12177.7</v>
      </c>
      <c r="BK190" s="41">
        <f>IFERROR(VLOOKUP($A190,FoodRev[],9,0),0)</f>
        <v>0</v>
      </c>
      <c r="BL190" s="41">
        <f>IFERROR(VLOOKUP($A190,FoodRev[],10,0),0)</f>
        <v>0</v>
      </c>
      <c r="BM190" s="41">
        <f t="shared" si="45"/>
        <v>248888.12</v>
      </c>
      <c r="BN190" s="42">
        <f t="shared" si="54"/>
        <v>77363.940000000031</v>
      </c>
      <c r="BO190" s="78">
        <f t="shared" si="46"/>
        <v>77363.940000000031</v>
      </c>
      <c r="BP190" s="78">
        <f t="shared" si="47"/>
        <v>0</v>
      </c>
    </row>
    <row r="191" spans="1:68" x14ac:dyDescent="0.25">
      <c r="A191" s="40" t="s">
        <v>558</v>
      </c>
      <c r="B191" s="40" t="s">
        <v>872</v>
      </c>
      <c r="D191" s="203">
        <f t="shared" si="42"/>
        <v>0</v>
      </c>
      <c r="E191" s="41">
        <f>IFERROR(VLOOKUP(A191,Items[],5,0),0)</f>
        <v>2507544.6800000002</v>
      </c>
      <c r="F191" s="42">
        <f t="shared" si="43"/>
        <v>2507544.6800000002</v>
      </c>
      <c r="G191" s="41">
        <v>0</v>
      </c>
      <c r="H191" s="41">
        <f>IFERROR(VLOOKUP(A191,Items[],4,0),0)</f>
        <v>2603426.11</v>
      </c>
      <c r="I191" s="41">
        <f>IFERROR(VLOOKUP(A191,Community[],4,0),0)</f>
        <v>0</v>
      </c>
      <c r="J191" s="41">
        <f>IFERROR(VLOOKUP(A191,Community[],5,0),0)</f>
        <v>0</v>
      </c>
      <c r="K191" s="41">
        <f>IFERROR(VLOOKUP(A191,Community[],6,0),0)</f>
        <v>0</v>
      </c>
      <c r="L191" s="41">
        <f>IFERROR(VLOOKUP(A191,Community[],7,0),0)</f>
        <v>0</v>
      </c>
      <c r="M191" s="41">
        <f>IFERROR(VLOOKUP(A191,Debt[],3,0),0)</f>
        <v>0</v>
      </c>
      <c r="N191" s="41">
        <f>IFERROR(VLOOKUP(A191,Debt[],4,0),0)</f>
        <v>0</v>
      </c>
      <c r="O191" s="41">
        <f>IFERROR(VLOOKUP(A191,Debt[],5,0),0)</f>
        <v>0</v>
      </c>
      <c r="P191" s="41">
        <f>IFERROR(VLOOKUP(A191,Items[],3,0),0)</f>
        <v>500</v>
      </c>
      <c r="Q191" s="41">
        <f>IFERROR(VLOOKUP($A191,Federal[],2,0),0)</f>
        <v>0</v>
      </c>
      <c r="R191" s="41">
        <f>IFERROR(VLOOKUP($A191,Federal[],4,0),0)</f>
        <v>86624.09</v>
      </c>
      <c r="S191" s="41"/>
      <c r="T191" s="47">
        <f>IFERROR(VLOOKUP($A191,Program[],3,0),0)</f>
        <v>0</v>
      </c>
      <c r="U191" s="47"/>
      <c r="V191" s="41">
        <f>IFERROR(VLOOKUP($A191,Program[],4,0),0)</f>
        <v>0</v>
      </c>
      <c r="W191" s="41">
        <f>IFERROR(VLOOKUP($A191,Program[],5,0),0)</f>
        <v>0</v>
      </c>
      <c r="X191" s="41"/>
      <c r="Y191" s="41"/>
      <c r="Z191" s="41"/>
      <c r="AA191" s="41">
        <f>IFERROR(VLOOKUP($A191,Program[],6,0),0)</f>
        <v>0</v>
      </c>
      <c r="AB191" s="41"/>
      <c r="AC191" s="41"/>
      <c r="AD191" s="41">
        <f>IFERROR(VLOOKUP($A191,Program[],7,0),0)</f>
        <v>0</v>
      </c>
      <c r="AE191" s="41">
        <f>IFERROR(VLOOKUP($A191,Program[],8,0),0)</f>
        <v>0</v>
      </c>
      <c r="AF191" s="41">
        <f>IFERROR(VLOOKUP($A191,Program[],9,0),0)</f>
        <v>0</v>
      </c>
      <c r="AG191" s="41">
        <f>IFERROR(VLOOKUP($A191,Program[],10,0),0)</f>
        <v>0</v>
      </c>
      <c r="AH191" s="41">
        <f>IFERROR(VLOOKUP($A191,Program[],11,0),0)</f>
        <v>0</v>
      </c>
      <c r="AI191" s="41">
        <f>IFERROR(VLOOKUP($A191,Program[],12,0),0)</f>
        <v>0</v>
      </c>
      <c r="AJ191" s="41"/>
      <c r="AK191" s="41">
        <f>IFERROR(VLOOKUP($A191,Program[],13,0),0)</f>
        <v>0</v>
      </c>
      <c r="AL191" s="41"/>
      <c r="AM191" s="41"/>
      <c r="AN191" s="41"/>
      <c r="AO191" s="41"/>
      <c r="AP191" s="41"/>
      <c r="AQ191" s="41"/>
      <c r="AR191" s="41"/>
      <c r="AS191" s="41">
        <f>IFERROR(VLOOKUP($A191,Program[],14,0),0)</f>
        <v>0</v>
      </c>
      <c r="AT191" s="41"/>
      <c r="AU191" s="41"/>
      <c r="AV191" s="41">
        <f>IFERROR(VLOOKUP($A191,Program[],15,0),0)</f>
        <v>0</v>
      </c>
      <c r="AW191" s="41"/>
      <c r="AX191" s="41">
        <f>IFERROR(VLOOKUP($A191,Program[],16,0),0)</f>
        <v>0</v>
      </c>
      <c r="AY191" s="41">
        <f>IFERROR(VLOOKUP($A191,Program[],17,0),0)</f>
        <v>0</v>
      </c>
      <c r="AZ191" s="41">
        <f>IFERROR(VLOOKUP($A191,Program[],18,0),0)</f>
        <v>0</v>
      </c>
      <c r="BA191" s="41">
        <f>IFERROR(VLOOKUP($A191,Program[],19,0),0)</f>
        <v>0</v>
      </c>
      <c r="BB191" s="77">
        <f t="shared" si="44"/>
        <v>77390.400000000009</v>
      </c>
      <c r="BC191" s="41">
        <f>IFERROR(VLOOKUP(A191,Food[],3,0),0)</f>
        <v>124651.32</v>
      </c>
      <c r="BD191" s="41">
        <f>IFERROR(VLOOKUP($A191,FoodRev[],2,0),0)</f>
        <v>1089.5</v>
      </c>
      <c r="BE191" s="41">
        <f>IFERROR(VLOOKUP($A191,FoodRev[],3,0),0)</f>
        <v>7667.84</v>
      </c>
      <c r="BF191" s="41">
        <f>IFERROR(VLOOKUP($A191,FoodRev[],4,0),0)</f>
        <v>0</v>
      </c>
      <c r="BG191" s="41">
        <f>IFERROR(VLOOKUP($A191,FoodRev[],5,0),0)</f>
        <v>34699.1</v>
      </c>
      <c r="BH191" s="41">
        <f>IFERROR(VLOOKUP($A191,FoodRev[],6,0),0)</f>
        <v>0</v>
      </c>
      <c r="BI191" s="41">
        <f>IFERROR(VLOOKUP($A191,FoodRev[],7,0),0)</f>
        <v>0</v>
      </c>
      <c r="BJ191" s="41">
        <f>IFERROR(VLOOKUP($A191,FoodRev[],8,0),0)</f>
        <v>3804.48</v>
      </c>
      <c r="BK191" s="41">
        <f>IFERROR(VLOOKUP($A191,FoodRev[],9,0),0)</f>
        <v>0</v>
      </c>
      <c r="BL191" s="41">
        <f>IFERROR(VLOOKUP($A191,FoodRev[],10,0),0)</f>
        <v>0</v>
      </c>
      <c r="BM191" s="41">
        <f t="shared" si="45"/>
        <v>47260.920000000006</v>
      </c>
      <c r="BN191" s="42">
        <f t="shared" si="54"/>
        <v>77390.400000000009</v>
      </c>
      <c r="BO191" s="78">
        <f t="shared" si="46"/>
        <v>77390.400000000009</v>
      </c>
      <c r="BP191" s="78">
        <f t="shared" si="47"/>
        <v>0</v>
      </c>
    </row>
    <row r="192" spans="1:68" x14ac:dyDescent="0.25">
      <c r="A192" s="40" t="s">
        <v>286</v>
      </c>
      <c r="B192" s="40" t="s">
        <v>873</v>
      </c>
      <c r="D192" s="203">
        <f t="shared" si="42"/>
        <v>3.7252902984619141E-9</v>
      </c>
      <c r="E192" s="41">
        <f>IFERROR(VLOOKUP(A192,Items[],5,0),0)</f>
        <v>17722303.98</v>
      </c>
      <c r="F192" s="42">
        <f t="shared" si="43"/>
        <v>17722303.979999997</v>
      </c>
      <c r="G192" s="41">
        <v>0</v>
      </c>
      <c r="H192" s="41">
        <f>IFERROR(VLOOKUP(A192,Items[],4,0),0)</f>
        <v>20578326.91</v>
      </c>
      <c r="I192" s="41">
        <f>IFERROR(VLOOKUP(A192,Community[],4,0),0)</f>
        <v>0</v>
      </c>
      <c r="J192" s="41">
        <f>IFERROR(VLOOKUP(A192,Community[],5,0),0)</f>
        <v>0</v>
      </c>
      <c r="K192" s="41">
        <f>IFERROR(VLOOKUP(A192,Community[],6,0),0)</f>
        <v>0</v>
      </c>
      <c r="L192" s="41">
        <f>IFERROR(VLOOKUP(A192,Community[],7,0),0)</f>
        <v>0</v>
      </c>
      <c r="M192" s="41">
        <f>IFERROR(VLOOKUP(A192,Debt[],3,0),0)</f>
        <v>2203.9299999999998</v>
      </c>
      <c r="N192" s="41">
        <f>IFERROR(VLOOKUP(A192,Debt[],4,0),0)</f>
        <v>14239.55</v>
      </c>
      <c r="O192" s="41">
        <f>IFERROR(VLOOKUP(A192,Debt[],5,0),0)</f>
        <v>0</v>
      </c>
      <c r="P192" s="41">
        <f>IFERROR(VLOOKUP(A192,Items[],3,0),0)</f>
        <v>337906.69</v>
      </c>
      <c r="Q192" s="41">
        <f>IFERROR(VLOOKUP($A192,Federal[],2,0),0)</f>
        <v>107725.46</v>
      </c>
      <c r="R192" s="41">
        <f>IFERROR(VLOOKUP($A192,Federal[],4,0),0)</f>
        <v>2266726.42</v>
      </c>
      <c r="S192" s="41"/>
      <c r="T192" s="47">
        <f>IFERROR(VLOOKUP($A192,Program[],3,0),0)</f>
        <v>0</v>
      </c>
      <c r="U192" s="47"/>
      <c r="V192" s="41">
        <f>IFERROR(VLOOKUP($A192,Program[],4,0),0)</f>
        <v>0</v>
      </c>
      <c r="W192" s="41">
        <f>IFERROR(VLOOKUP($A192,Program[],5,0),0)</f>
        <v>0</v>
      </c>
      <c r="X192" s="41"/>
      <c r="Y192" s="41"/>
      <c r="Z192" s="41"/>
      <c r="AA192" s="41">
        <f>IFERROR(VLOOKUP($A192,Program[],6,0),0)</f>
        <v>0</v>
      </c>
      <c r="AB192" s="41"/>
      <c r="AC192" s="41"/>
      <c r="AD192" s="41">
        <f>IFERROR(VLOOKUP($A192,Program[],7,0),0)</f>
        <v>0</v>
      </c>
      <c r="AE192" s="41">
        <f>IFERROR(VLOOKUP($A192,Program[],8,0),0)</f>
        <v>0</v>
      </c>
      <c r="AF192" s="41">
        <f>IFERROR(VLOOKUP($A192,Program[],9,0),0)</f>
        <v>0</v>
      </c>
      <c r="AG192" s="41">
        <f>IFERROR(VLOOKUP($A192,Program[],10,0),0)</f>
        <v>0</v>
      </c>
      <c r="AH192" s="41">
        <f>IFERROR(VLOOKUP($A192,Program[],11,0),0)</f>
        <v>0</v>
      </c>
      <c r="AI192" s="41">
        <f>IFERROR(VLOOKUP($A192,Program[],12,0),0)</f>
        <v>0</v>
      </c>
      <c r="AJ192" s="41"/>
      <c r="AK192" s="41">
        <f>IFERROR(VLOOKUP($A192,Program[],13,0),0)</f>
        <v>0</v>
      </c>
      <c r="AL192" s="41"/>
      <c r="AM192" s="41"/>
      <c r="AN192" s="41"/>
      <c r="AO192" s="41"/>
      <c r="AP192" s="41"/>
      <c r="AQ192" s="41"/>
      <c r="AR192" s="41"/>
      <c r="AS192" s="41">
        <f>IFERROR(VLOOKUP($A192,Program[],14,0),0)</f>
        <v>0</v>
      </c>
      <c r="AT192" s="41"/>
      <c r="AU192" s="41"/>
      <c r="AV192" s="41">
        <f>IFERROR(VLOOKUP($A192,Program[],15,0),0)</f>
        <v>0</v>
      </c>
      <c r="AW192" s="41"/>
      <c r="AX192" s="41">
        <f>IFERROR(VLOOKUP($A192,Program[],16,0),0)</f>
        <v>0</v>
      </c>
      <c r="AY192" s="41">
        <f>IFERROR(VLOOKUP($A192,Program[],17,0),0)</f>
        <v>0</v>
      </c>
      <c r="AZ192" s="41">
        <f>IFERROR(VLOOKUP($A192,Program[],18,0),0)</f>
        <v>0</v>
      </c>
      <c r="BA192" s="41">
        <f>IFERROR(VLOOKUP($A192,Program[],19,0),0)</f>
        <v>46065.68</v>
      </c>
      <c r="BB192" s="77">
        <f t="shared" si="44"/>
        <v>52862.809999999954</v>
      </c>
      <c r="BC192" s="41">
        <f>IFERROR(VLOOKUP(A192,Food[],3,0),0)</f>
        <v>894188.97</v>
      </c>
      <c r="BD192" s="41">
        <f>IFERROR(VLOOKUP($A192,FoodRev[],2,0),0)</f>
        <v>10128.76</v>
      </c>
      <c r="BE192" s="41">
        <f>IFERROR(VLOOKUP($A192,FoodRev[],3,0),0)</f>
        <v>163157.79999999999</v>
      </c>
      <c r="BF192" s="41">
        <f>IFERROR(VLOOKUP($A192,FoodRev[],4,0),0)</f>
        <v>0</v>
      </c>
      <c r="BG192" s="41">
        <f>IFERROR(VLOOKUP($A192,FoodRev[],5,0),0)</f>
        <v>594089.57999999996</v>
      </c>
      <c r="BH192" s="41">
        <f>IFERROR(VLOOKUP($A192,FoodRev[],6,0),0)</f>
        <v>0</v>
      </c>
      <c r="BI192" s="41">
        <f>IFERROR(VLOOKUP($A192,FoodRev[],7,0),0)</f>
        <v>0</v>
      </c>
      <c r="BJ192" s="41">
        <f>IFERROR(VLOOKUP($A192,FoodRev[],8,0),0)</f>
        <v>73950.02</v>
      </c>
      <c r="BK192" s="41">
        <f>IFERROR(VLOOKUP($A192,FoodRev[],9,0),0)</f>
        <v>0</v>
      </c>
      <c r="BL192" s="41">
        <f>IFERROR(VLOOKUP($A192,FoodRev[],10,0),0)</f>
        <v>0</v>
      </c>
      <c r="BM192" s="41">
        <f t="shared" si="45"/>
        <v>841326.15999999992</v>
      </c>
      <c r="BN192" s="42">
        <f t="shared" si="54"/>
        <v>52862.809999999954</v>
      </c>
      <c r="BO192" s="78">
        <f t="shared" si="46"/>
        <v>52862.809999999954</v>
      </c>
      <c r="BP192" s="78">
        <f t="shared" si="47"/>
        <v>0</v>
      </c>
    </row>
    <row r="193" spans="1:68" x14ac:dyDescent="0.25">
      <c r="A193" s="40" t="s">
        <v>452</v>
      </c>
      <c r="B193" s="40" t="s">
        <v>874</v>
      </c>
      <c r="D193" s="203">
        <f t="shared" si="42"/>
        <v>0</v>
      </c>
      <c r="E193" s="41">
        <f>IFERROR(VLOOKUP(A193,Items[],5,0),0)</f>
        <v>7061335.5499999998</v>
      </c>
      <c r="F193" s="42">
        <f t="shared" si="43"/>
        <v>7061335.5499999998</v>
      </c>
      <c r="G193" s="41">
        <v>0</v>
      </c>
      <c r="H193" s="41">
        <f>IFERROR(VLOOKUP(A193,Items[],4,0),0)</f>
        <v>8033253.3200000003</v>
      </c>
      <c r="I193" s="41">
        <f>IFERROR(VLOOKUP(A193,Community[],4,0),0)</f>
        <v>0</v>
      </c>
      <c r="J193" s="41">
        <f>IFERROR(VLOOKUP(A193,Community[],5,0),0)</f>
        <v>0</v>
      </c>
      <c r="K193" s="41">
        <f>IFERROR(VLOOKUP(A193,Community[],6,0),0)</f>
        <v>0</v>
      </c>
      <c r="L193" s="41">
        <f>IFERROR(VLOOKUP(A193,Community[],7,0),0)</f>
        <v>0</v>
      </c>
      <c r="M193" s="41">
        <f>IFERROR(VLOOKUP(A193,Debt[],3,0),0)</f>
        <v>0</v>
      </c>
      <c r="N193" s="41">
        <f>IFERROR(VLOOKUP(A193,Debt[],4,0),0)</f>
        <v>0</v>
      </c>
      <c r="O193" s="41">
        <f>IFERROR(VLOOKUP(A193,Debt[],5,0),0)</f>
        <v>0</v>
      </c>
      <c r="P193" s="41">
        <f>IFERROR(VLOOKUP(A193,Items[],3,0),0)</f>
        <v>48991.69</v>
      </c>
      <c r="Q193" s="41">
        <f>IFERROR(VLOOKUP($A193,Federal[],2,0),0)</f>
        <v>292712.52</v>
      </c>
      <c r="R193" s="41">
        <f>IFERROR(VLOOKUP($A193,Federal[],4,0),0)</f>
        <v>598632.15</v>
      </c>
      <c r="S193" s="41"/>
      <c r="T193" s="47">
        <f>IFERROR(VLOOKUP($A193,Program[],3,0),0)</f>
        <v>0</v>
      </c>
      <c r="U193" s="47"/>
      <c r="V193" s="41">
        <f>IFERROR(VLOOKUP($A193,Program[],4,0),0)</f>
        <v>0</v>
      </c>
      <c r="W193" s="41">
        <f>IFERROR(VLOOKUP($A193,Program[],5,0),0)</f>
        <v>0</v>
      </c>
      <c r="X193" s="41"/>
      <c r="Y193" s="41"/>
      <c r="Z193" s="41"/>
      <c r="AA193" s="41">
        <f>IFERROR(VLOOKUP($A193,Program[],6,0),0)</f>
        <v>0</v>
      </c>
      <c r="AB193" s="41"/>
      <c r="AC193" s="41"/>
      <c r="AD193" s="41">
        <f>IFERROR(VLOOKUP($A193,Program[],7,0),0)</f>
        <v>0</v>
      </c>
      <c r="AE193" s="41">
        <f>IFERROR(VLOOKUP($A193,Program[],8,0),0)</f>
        <v>0</v>
      </c>
      <c r="AF193" s="41">
        <f>IFERROR(VLOOKUP($A193,Program[],9,0),0)</f>
        <v>0</v>
      </c>
      <c r="AG193" s="41">
        <f>IFERROR(VLOOKUP($A193,Program[],10,0),0)</f>
        <v>0</v>
      </c>
      <c r="AH193" s="41">
        <f>IFERROR(VLOOKUP($A193,Program[],11,0),0)</f>
        <v>0</v>
      </c>
      <c r="AI193" s="41">
        <f>IFERROR(VLOOKUP($A193,Program[],12,0),0)</f>
        <v>0</v>
      </c>
      <c r="AJ193" s="41"/>
      <c r="AK193" s="41">
        <f>IFERROR(VLOOKUP($A193,Program[],13,0),0)</f>
        <v>0</v>
      </c>
      <c r="AL193" s="41"/>
      <c r="AM193" s="41"/>
      <c r="AN193" s="41"/>
      <c r="AO193" s="41"/>
      <c r="AP193" s="41"/>
      <c r="AQ193" s="41"/>
      <c r="AR193" s="41"/>
      <c r="AS193" s="41">
        <f>IFERROR(VLOOKUP($A193,Program[],14,0),0)</f>
        <v>0</v>
      </c>
      <c r="AT193" s="41"/>
      <c r="AU193" s="41"/>
      <c r="AV193" s="41">
        <f>IFERROR(VLOOKUP($A193,Program[],15,0),0)</f>
        <v>0</v>
      </c>
      <c r="AW193" s="41"/>
      <c r="AX193" s="41">
        <f>IFERROR(VLOOKUP($A193,Program[],16,0),0)</f>
        <v>0</v>
      </c>
      <c r="AY193" s="41">
        <f>IFERROR(VLOOKUP($A193,Program[],17,0),0)</f>
        <v>0</v>
      </c>
      <c r="AZ193" s="41">
        <f>IFERROR(VLOOKUP($A193,Program[],18,0),0)</f>
        <v>0</v>
      </c>
      <c r="BA193" s="41">
        <f>IFERROR(VLOOKUP($A193,Program[],19,0),0)</f>
        <v>0</v>
      </c>
      <c r="BB193" s="77">
        <f t="shared" si="44"/>
        <v>44328.689999999988</v>
      </c>
      <c r="BC193" s="41">
        <f>IFERROR(VLOOKUP(A193,Food[],3,0),0)</f>
        <v>230798.35</v>
      </c>
      <c r="BD193" s="41">
        <f>IFERROR(VLOOKUP($A193,FoodRev[],2,0),0)</f>
        <v>5601.93</v>
      </c>
      <c r="BE193" s="41">
        <f>IFERROR(VLOOKUP($A193,FoodRev[],3,0),0)</f>
        <v>25979.48</v>
      </c>
      <c r="BF193" s="41">
        <f>IFERROR(VLOOKUP($A193,FoodRev[],4,0),0)</f>
        <v>0</v>
      </c>
      <c r="BG193" s="41">
        <f>IFERROR(VLOOKUP($A193,FoodRev[],5,0),0)</f>
        <v>141618.20000000001</v>
      </c>
      <c r="BH193" s="41">
        <f>IFERROR(VLOOKUP($A193,FoodRev[],6,0),0)</f>
        <v>0</v>
      </c>
      <c r="BI193" s="41">
        <f>IFERROR(VLOOKUP($A193,FoodRev[],7,0),0)</f>
        <v>0</v>
      </c>
      <c r="BJ193" s="41">
        <f>IFERROR(VLOOKUP($A193,FoodRev[],8,0),0)</f>
        <v>13270.05</v>
      </c>
      <c r="BK193" s="41">
        <f>IFERROR(VLOOKUP($A193,FoodRev[],9,0),0)</f>
        <v>0</v>
      </c>
      <c r="BL193" s="41">
        <f>IFERROR(VLOOKUP($A193,FoodRev[],10,0),0)</f>
        <v>0</v>
      </c>
      <c r="BM193" s="41">
        <f t="shared" si="45"/>
        <v>186469.66</v>
      </c>
      <c r="BN193" s="42">
        <f t="shared" si="54"/>
        <v>44328.689999999988</v>
      </c>
      <c r="BO193" s="78">
        <f t="shared" si="46"/>
        <v>44328.689999999988</v>
      </c>
      <c r="BP193" s="78">
        <f t="shared" si="47"/>
        <v>0</v>
      </c>
    </row>
    <row r="194" spans="1:68" x14ac:dyDescent="0.25">
      <c r="A194" s="40" t="s">
        <v>440</v>
      </c>
      <c r="B194" s="40" t="s">
        <v>875</v>
      </c>
      <c r="D194" s="203">
        <f t="shared" si="42"/>
        <v>0</v>
      </c>
      <c r="E194" s="41">
        <f>IFERROR(VLOOKUP(A194,Items[],5,0),0)</f>
        <v>5724136.3600000003</v>
      </c>
      <c r="F194" s="42">
        <f t="shared" si="43"/>
        <v>5724136.3600000003</v>
      </c>
      <c r="G194" s="41">
        <v>0</v>
      </c>
      <c r="H194" s="41">
        <f>IFERROR(VLOOKUP(A194,Items[],4,0),0)</f>
        <v>6331567.1100000003</v>
      </c>
      <c r="I194" s="41">
        <f>IFERROR(VLOOKUP(A194,Community[],4,0),0)</f>
        <v>0</v>
      </c>
      <c r="J194" s="41">
        <f>IFERROR(VLOOKUP(A194,Community[],5,0),0)</f>
        <v>0</v>
      </c>
      <c r="K194" s="41">
        <f>IFERROR(VLOOKUP(A194,Community[],6,0),0)</f>
        <v>0</v>
      </c>
      <c r="L194" s="41">
        <f>IFERROR(VLOOKUP(A194,Community[],7,0),0)</f>
        <v>2920.3799999999997</v>
      </c>
      <c r="M194" s="41">
        <f>IFERROR(VLOOKUP(A194,Debt[],3,0),0)</f>
        <v>0</v>
      </c>
      <c r="N194" s="41">
        <f>IFERROR(VLOOKUP(A194,Debt[],4,0),0)</f>
        <v>0</v>
      </c>
      <c r="O194" s="41">
        <f>IFERROR(VLOOKUP(A194,Debt[],5,0),0)</f>
        <v>0</v>
      </c>
      <c r="P194" s="41">
        <f>IFERROR(VLOOKUP(A194,Items[],3,0),0)</f>
        <v>21070.39</v>
      </c>
      <c r="Q194" s="41">
        <f>IFERROR(VLOOKUP($A194,Federal[],2,0),0)</f>
        <v>22133.49</v>
      </c>
      <c r="R194" s="41">
        <f>IFERROR(VLOOKUP($A194,Federal[],4,0),0)</f>
        <v>503057.22</v>
      </c>
      <c r="S194" s="41"/>
      <c r="T194" s="47">
        <f>IFERROR(VLOOKUP($A194,Program[],3,0),0)</f>
        <v>0</v>
      </c>
      <c r="U194" s="47"/>
      <c r="V194" s="41">
        <f>IFERROR(VLOOKUP($A194,Program[],4,0),0)</f>
        <v>0</v>
      </c>
      <c r="W194" s="41">
        <f>IFERROR(VLOOKUP($A194,Program[],5,0),0)</f>
        <v>0</v>
      </c>
      <c r="X194" s="41"/>
      <c r="Y194" s="41"/>
      <c r="Z194" s="41"/>
      <c r="AA194" s="41">
        <f>IFERROR(VLOOKUP($A194,Program[],6,0),0)</f>
        <v>0</v>
      </c>
      <c r="AB194" s="41"/>
      <c r="AC194" s="41"/>
      <c r="AD194" s="41">
        <f>IFERROR(VLOOKUP($A194,Program[],7,0),0)</f>
        <v>0</v>
      </c>
      <c r="AE194" s="41">
        <f>IFERROR(VLOOKUP($A194,Program[],8,0),0)</f>
        <v>0</v>
      </c>
      <c r="AF194" s="41">
        <f>IFERROR(VLOOKUP($A194,Program[],9,0),0)</f>
        <v>0</v>
      </c>
      <c r="AG194" s="41">
        <f>IFERROR(VLOOKUP($A194,Program[],10,0),0)</f>
        <v>0</v>
      </c>
      <c r="AH194" s="41">
        <f>IFERROR(VLOOKUP($A194,Program[],11,0),0)</f>
        <v>0</v>
      </c>
      <c r="AI194" s="41">
        <f>IFERROR(VLOOKUP($A194,Program[],12,0),0)</f>
        <v>0</v>
      </c>
      <c r="AJ194" s="41"/>
      <c r="AK194" s="41">
        <f>IFERROR(VLOOKUP($A194,Program[],13,0),0)</f>
        <v>0</v>
      </c>
      <c r="AL194" s="41"/>
      <c r="AM194" s="41"/>
      <c r="AN194" s="41"/>
      <c r="AO194" s="41"/>
      <c r="AP194" s="41"/>
      <c r="AQ194" s="41"/>
      <c r="AR194" s="41"/>
      <c r="AS194" s="41">
        <f>IFERROR(VLOOKUP($A194,Program[],14,0),0)</f>
        <v>0</v>
      </c>
      <c r="AT194" s="41"/>
      <c r="AU194" s="41"/>
      <c r="AV194" s="41">
        <f>IFERROR(VLOOKUP($A194,Program[],15,0),0)</f>
        <v>0</v>
      </c>
      <c r="AW194" s="41"/>
      <c r="AX194" s="41">
        <f>IFERROR(VLOOKUP($A194,Program[],16,0),0)</f>
        <v>0</v>
      </c>
      <c r="AY194" s="41">
        <f>IFERROR(VLOOKUP($A194,Program[],17,0),0)</f>
        <v>0</v>
      </c>
      <c r="AZ194" s="41">
        <f>IFERROR(VLOOKUP($A194,Program[],18,0),0)</f>
        <v>0</v>
      </c>
      <c r="BA194" s="41">
        <f>IFERROR(VLOOKUP($A194,Program[],19,0),0)</f>
        <v>0</v>
      </c>
      <c r="BB194" s="77">
        <f t="shared" si="44"/>
        <v>108363.10000000005</v>
      </c>
      <c r="BC194" s="41">
        <f>IFERROR(VLOOKUP(A194,Food[],3,0),0)</f>
        <v>336725.87</v>
      </c>
      <c r="BD194" s="41">
        <f>IFERROR(VLOOKUP($A194,FoodRev[],2,0),0)</f>
        <v>3526.85</v>
      </c>
      <c r="BE194" s="41">
        <f>IFERROR(VLOOKUP($A194,FoodRev[],3,0),0)</f>
        <v>54722.42</v>
      </c>
      <c r="BF194" s="41">
        <f>IFERROR(VLOOKUP($A194,FoodRev[],4,0),0)</f>
        <v>0</v>
      </c>
      <c r="BG194" s="41">
        <f>IFERROR(VLOOKUP($A194,FoodRev[],5,0),0)</f>
        <v>130124.54</v>
      </c>
      <c r="BH194" s="41">
        <f>IFERROR(VLOOKUP($A194,FoodRev[],6,0),0)</f>
        <v>0</v>
      </c>
      <c r="BI194" s="41">
        <f>IFERROR(VLOOKUP($A194,FoodRev[],7,0),0)</f>
        <v>17875.63</v>
      </c>
      <c r="BJ194" s="41">
        <f>IFERROR(VLOOKUP($A194,FoodRev[],8,0),0)</f>
        <v>22113.33</v>
      </c>
      <c r="BK194" s="41">
        <f>IFERROR(VLOOKUP($A194,FoodRev[],9,0),0)</f>
        <v>0</v>
      </c>
      <c r="BL194" s="41">
        <f>IFERROR(VLOOKUP($A194,FoodRev[],10,0),0)</f>
        <v>0</v>
      </c>
      <c r="BM194" s="41">
        <f t="shared" si="45"/>
        <v>228362.77000000002</v>
      </c>
      <c r="BN194" s="42">
        <f t="shared" si="54"/>
        <v>108363.10000000005</v>
      </c>
      <c r="BO194" s="78">
        <f t="shared" si="46"/>
        <v>108363.10000000005</v>
      </c>
      <c r="BP194" s="78">
        <f t="shared" si="47"/>
        <v>0</v>
      </c>
    </row>
    <row r="195" spans="1:68" x14ac:dyDescent="0.25">
      <c r="A195" s="40" t="s">
        <v>170</v>
      </c>
      <c r="B195" s="40" t="s">
        <v>876</v>
      </c>
      <c r="D195" s="203">
        <f t="shared" si="42"/>
        <v>-7.4505805969238281E-9</v>
      </c>
      <c r="E195" s="41">
        <f>IFERROR(VLOOKUP(A195,Items[],5,0),0)</f>
        <v>48349279.009999998</v>
      </c>
      <c r="F195" s="42">
        <f t="shared" si="43"/>
        <v>48349279.010000005</v>
      </c>
      <c r="G195" s="41">
        <v>0</v>
      </c>
      <c r="H195" s="41">
        <f>IFERROR(VLOOKUP(A195,Items[],4,0),0)</f>
        <v>52276318.859999999</v>
      </c>
      <c r="I195" s="41">
        <f>IFERROR(VLOOKUP(A195,Community[],4,0),0)</f>
        <v>0</v>
      </c>
      <c r="J195" s="41">
        <f>IFERROR(VLOOKUP(A195,Community[],5,0),0)</f>
        <v>0</v>
      </c>
      <c r="K195" s="41">
        <f>IFERROR(VLOOKUP(A195,Community[],6,0),0)</f>
        <v>0</v>
      </c>
      <c r="L195" s="41">
        <f>IFERROR(VLOOKUP(A195,Community[],7,0),0)</f>
        <v>0</v>
      </c>
      <c r="M195" s="41">
        <f>IFERROR(VLOOKUP(A195,Debt[],3,0),0)</f>
        <v>36739.300000000003</v>
      </c>
      <c r="N195" s="41">
        <f>IFERROR(VLOOKUP(A195,Debt[],4,0),0)</f>
        <v>52262.86</v>
      </c>
      <c r="O195" s="41">
        <f>IFERROR(VLOOKUP(A195,Debt[],5,0),0)</f>
        <v>0</v>
      </c>
      <c r="P195" s="41">
        <f>IFERROR(VLOOKUP(A195,Items[],3,0),0)</f>
        <v>0</v>
      </c>
      <c r="Q195" s="41">
        <f>IFERROR(VLOOKUP($A195,Federal[],2,0),0)</f>
        <v>628109</v>
      </c>
      <c r="R195" s="41">
        <f>IFERROR(VLOOKUP($A195,Federal[],4,0),0)</f>
        <v>2441604</v>
      </c>
      <c r="S195" s="41"/>
      <c r="T195" s="47">
        <f>IFERROR(VLOOKUP($A195,Program[],3,0),0)</f>
        <v>0</v>
      </c>
      <c r="U195" s="47"/>
      <c r="V195" s="41">
        <f>IFERROR(VLOOKUP($A195,Program[],4,0),0)</f>
        <v>0</v>
      </c>
      <c r="W195" s="41">
        <f>IFERROR(VLOOKUP($A195,Program[],5,0),0)</f>
        <v>0</v>
      </c>
      <c r="X195" s="41"/>
      <c r="Y195" s="41"/>
      <c r="Z195" s="41"/>
      <c r="AA195" s="41">
        <f>IFERROR(VLOOKUP($A195,Program[],6,0),0)</f>
        <v>0</v>
      </c>
      <c r="AB195" s="41"/>
      <c r="AC195" s="41"/>
      <c r="AD195" s="41">
        <f>IFERROR(VLOOKUP($A195,Program[],7,0),0)</f>
        <v>0</v>
      </c>
      <c r="AE195" s="41">
        <f>IFERROR(VLOOKUP($A195,Program[],8,0),0)</f>
        <v>0</v>
      </c>
      <c r="AF195" s="41">
        <f>IFERROR(VLOOKUP($A195,Program[],9,0),0)</f>
        <v>0</v>
      </c>
      <c r="AG195" s="41">
        <f>IFERROR(VLOOKUP($A195,Program[],10,0),0)</f>
        <v>0</v>
      </c>
      <c r="AH195" s="41">
        <f>IFERROR(VLOOKUP($A195,Program[],11,0),0)</f>
        <v>0</v>
      </c>
      <c r="AI195" s="41">
        <f>IFERROR(VLOOKUP($A195,Program[],12,0),0)</f>
        <v>0</v>
      </c>
      <c r="AJ195" s="41"/>
      <c r="AK195" s="41">
        <f>IFERROR(VLOOKUP($A195,Program[],13,0),0)</f>
        <v>0</v>
      </c>
      <c r="AL195" s="41"/>
      <c r="AM195" s="41"/>
      <c r="AN195" s="41"/>
      <c r="AO195" s="41"/>
      <c r="AP195" s="41"/>
      <c r="AQ195" s="41"/>
      <c r="AR195" s="41"/>
      <c r="AS195" s="41">
        <f>IFERROR(VLOOKUP($A195,Program[],14,0),0)</f>
        <v>0</v>
      </c>
      <c r="AT195" s="41"/>
      <c r="AU195" s="41"/>
      <c r="AV195" s="41">
        <f>IFERROR(VLOOKUP($A195,Program[],15,0),0)</f>
        <v>0</v>
      </c>
      <c r="AW195" s="41"/>
      <c r="AX195" s="41">
        <f>IFERROR(VLOOKUP($A195,Program[],16,0),0)</f>
        <v>0</v>
      </c>
      <c r="AY195" s="41">
        <f>IFERROR(VLOOKUP($A195,Program[],17,0),0)</f>
        <v>0</v>
      </c>
      <c r="AZ195" s="41">
        <f>IFERROR(VLOOKUP($A195,Program[],18,0),0)</f>
        <v>0</v>
      </c>
      <c r="BA195" s="41">
        <f>IFERROR(VLOOKUP($A195,Program[],19,0),0)</f>
        <v>0</v>
      </c>
      <c r="BB195" s="77">
        <f t="shared" si="44"/>
        <v>0</v>
      </c>
      <c r="BC195" s="41">
        <f>IFERROR(VLOOKUP(A195,Food[],3,0),0)</f>
        <v>1493663.69</v>
      </c>
      <c r="BD195" s="41">
        <f>IFERROR(VLOOKUP($A195,FoodRev[],2,0),0)</f>
        <v>645598</v>
      </c>
      <c r="BE195" s="41">
        <f>IFERROR(VLOOKUP($A195,FoodRev[],3,0),0)</f>
        <v>159999</v>
      </c>
      <c r="BF195" s="41">
        <f>IFERROR(VLOOKUP($A195,FoodRev[],4,0),0)</f>
        <v>0</v>
      </c>
      <c r="BG195" s="41">
        <f>IFERROR(VLOOKUP($A195,FoodRev[],5,0),0)</f>
        <v>644391</v>
      </c>
      <c r="BH195" s="41">
        <f>IFERROR(VLOOKUP($A195,FoodRev[],6,0),0)</f>
        <v>0</v>
      </c>
      <c r="BI195" s="41">
        <f>IFERROR(VLOOKUP($A195,FoodRev[],7,0),0)</f>
        <v>0</v>
      </c>
      <c r="BJ195" s="41">
        <f>IFERROR(VLOOKUP($A195,FoodRev[],8,0),0)</f>
        <v>80948</v>
      </c>
      <c r="BK195" s="41">
        <f>IFERROR(VLOOKUP($A195,FoodRev[],9,0),0)</f>
        <v>0</v>
      </c>
      <c r="BL195" s="41">
        <f>IFERROR(VLOOKUP($A195,FoodRev[],10,0),0)</f>
        <v>0</v>
      </c>
      <c r="BM195" s="41">
        <f t="shared" si="45"/>
        <v>1530936</v>
      </c>
      <c r="BN195" s="42">
        <f t="shared" si="54"/>
        <v>-37272.310000000056</v>
      </c>
      <c r="BO195" s="78">
        <f t="shared" si="46"/>
        <v>0</v>
      </c>
      <c r="BP195" s="78">
        <f t="shared" si="47"/>
        <v>-37272.310000000056</v>
      </c>
    </row>
    <row r="196" spans="1:68" x14ac:dyDescent="0.25">
      <c r="A196" s="40" t="s">
        <v>18</v>
      </c>
      <c r="B196" s="40" t="s">
        <v>877</v>
      </c>
      <c r="D196" s="203">
        <f t="shared" si="42"/>
        <v>0</v>
      </c>
      <c r="E196" s="41">
        <f>IFERROR(VLOOKUP(A196,Items[],5,0),0)</f>
        <v>405750585.30000001</v>
      </c>
      <c r="F196" s="42">
        <f t="shared" si="43"/>
        <v>405750585.30000001</v>
      </c>
      <c r="G196" s="41">
        <v>0</v>
      </c>
      <c r="H196" s="41">
        <f>IFERROR(VLOOKUP(A196,Items[],4,0),0)</f>
        <v>431024667.68000001</v>
      </c>
      <c r="I196" s="41">
        <f>IFERROR(VLOOKUP(A196,Community[],4,0),0)</f>
        <v>0</v>
      </c>
      <c r="J196" s="41">
        <f>IFERROR(VLOOKUP(A196,Community[],5,0),0)</f>
        <v>0</v>
      </c>
      <c r="K196" s="41">
        <f>IFERROR(VLOOKUP(A196,Community[],6,0),0)</f>
        <v>0</v>
      </c>
      <c r="L196" s="41">
        <f>IFERROR(VLOOKUP(A196,Community[],7,0),0)</f>
        <v>1112370.2299999997</v>
      </c>
      <c r="M196" s="41">
        <f>IFERROR(VLOOKUP(A196,Debt[],3,0),0)</f>
        <v>107951.62</v>
      </c>
      <c r="N196" s="41">
        <f>IFERROR(VLOOKUP(A196,Debt[],4,0),0)</f>
        <v>732529.63</v>
      </c>
      <c r="O196" s="41">
        <f>IFERROR(VLOOKUP(A196,Debt[],5,0),0)</f>
        <v>0</v>
      </c>
      <c r="P196" s="41">
        <f>IFERROR(VLOOKUP(A196,Items[],3,0),0)</f>
        <v>1397517.92</v>
      </c>
      <c r="Q196" s="41">
        <f>IFERROR(VLOOKUP($A196,Federal[],2,0),0)</f>
        <v>127795.26</v>
      </c>
      <c r="R196" s="41">
        <f>IFERROR(VLOOKUP($A196,Federal[],4,0),0)</f>
        <v>17474391.219999999</v>
      </c>
      <c r="S196" s="41"/>
      <c r="T196" s="47">
        <f>IFERROR(VLOOKUP($A196,Program[],3,0),0)</f>
        <v>0</v>
      </c>
      <c r="U196" s="47"/>
      <c r="V196" s="41">
        <f>IFERROR(VLOOKUP($A196,Program[],4,0),0)</f>
        <v>0</v>
      </c>
      <c r="W196" s="41">
        <f>IFERROR(VLOOKUP($A196,Program[],5,0),0)</f>
        <v>0</v>
      </c>
      <c r="X196" s="41"/>
      <c r="Y196" s="41"/>
      <c r="Z196" s="41"/>
      <c r="AA196" s="41">
        <f>IFERROR(VLOOKUP($A196,Program[],6,0),0)</f>
        <v>0</v>
      </c>
      <c r="AB196" s="41"/>
      <c r="AC196" s="41"/>
      <c r="AD196" s="41">
        <f>IFERROR(VLOOKUP($A196,Program[],7,0),0)</f>
        <v>0</v>
      </c>
      <c r="AE196" s="41">
        <f>IFERROR(VLOOKUP($A196,Program[],8,0),0)</f>
        <v>0</v>
      </c>
      <c r="AF196" s="41">
        <f>IFERROR(VLOOKUP($A196,Program[],9,0),0)</f>
        <v>0</v>
      </c>
      <c r="AG196" s="41">
        <f>IFERROR(VLOOKUP($A196,Program[],10,0),0)</f>
        <v>0</v>
      </c>
      <c r="AH196" s="41">
        <f>IFERROR(VLOOKUP($A196,Program[],11,0),0)</f>
        <v>0</v>
      </c>
      <c r="AI196" s="41">
        <f>IFERROR(VLOOKUP($A196,Program[],12,0),0)</f>
        <v>0</v>
      </c>
      <c r="AJ196" s="41"/>
      <c r="AK196" s="41">
        <f>IFERROR(VLOOKUP($A196,Program[],13,0),0)</f>
        <v>0</v>
      </c>
      <c r="AL196" s="41"/>
      <c r="AM196" s="41"/>
      <c r="AN196" s="41"/>
      <c r="AO196" s="41"/>
      <c r="AP196" s="41"/>
      <c r="AQ196" s="41"/>
      <c r="AR196" s="41"/>
      <c r="AS196" s="41">
        <f>IFERROR(VLOOKUP($A196,Program[],14,0),0)</f>
        <v>0</v>
      </c>
      <c r="AT196" s="41"/>
      <c r="AU196" s="41"/>
      <c r="AV196" s="41">
        <f>IFERROR(VLOOKUP($A196,Program[],15,0),0)</f>
        <v>0</v>
      </c>
      <c r="AW196" s="41"/>
      <c r="AX196" s="41">
        <f>IFERROR(VLOOKUP($A196,Program[],16,0),0)</f>
        <v>0</v>
      </c>
      <c r="AY196" s="41">
        <f>IFERROR(VLOOKUP($A196,Program[],17,0),0)</f>
        <v>0</v>
      </c>
      <c r="AZ196" s="41">
        <f>IFERROR(VLOOKUP($A196,Program[],18,0),0)</f>
        <v>0</v>
      </c>
      <c r="BA196" s="41">
        <f>IFERROR(VLOOKUP($A196,Program[],19,0),0)</f>
        <v>100883.08</v>
      </c>
      <c r="BB196" s="77">
        <f t="shared" si="44"/>
        <v>0</v>
      </c>
      <c r="BC196" s="41">
        <f>IFERROR(VLOOKUP(A196,Food[],3,0),0)</f>
        <v>10377046.969999999</v>
      </c>
      <c r="BD196" s="41">
        <f>IFERROR(VLOOKUP($A196,FoodRev[],2,0),0)</f>
        <v>1949099.55</v>
      </c>
      <c r="BE196" s="41">
        <f>IFERROR(VLOOKUP($A196,FoodRev[],3,0),0)</f>
        <v>2717201.43</v>
      </c>
      <c r="BF196" s="41">
        <f>IFERROR(VLOOKUP($A196,FoodRev[],4,0),0)</f>
        <v>0</v>
      </c>
      <c r="BG196" s="41">
        <f>IFERROR(VLOOKUP($A196,FoodRev[],5,0),0)</f>
        <v>5225397.9800000004</v>
      </c>
      <c r="BH196" s="41">
        <f>IFERROR(VLOOKUP($A196,FoodRev[],6,0),0)</f>
        <v>0</v>
      </c>
      <c r="BI196" s="41">
        <f>IFERROR(VLOOKUP($A196,FoodRev[],7,0),0)</f>
        <v>0</v>
      </c>
      <c r="BJ196" s="41">
        <f>IFERROR(VLOOKUP($A196,FoodRev[],8,0),0)</f>
        <v>729239.41</v>
      </c>
      <c r="BK196" s="41">
        <f>IFERROR(VLOOKUP($A196,FoodRev[],9,0),0)</f>
        <v>0</v>
      </c>
      <c r="BL196" s="41">
        <f>IFERROR(VLOOKUP($A196,FoodRev[],10,0),0)</f>
        <v>62291</v>
      </c>
      <c r="BM196" s="41">
        <f t="shared" si="45"/>
        <v>10683229.370000001</v>
      </c>
      <c r="BN196" s="42">
        <f t="shared" si="54"/>
        <v>-306182.40000000212</v>
      </c>
      <c r="BO196" s="78">
        <f t="shared" si="46"/>
        <v>0</v>
      </c>
      <c r="BP196" s="78">
        <f t="shared" si="47"/>
        <v>-306182.40000000212</v>
      </c>
    </row>
    <row r="197" spans="1:68" x14ac:dyDescent="0.25">
      <c r="A197" s="40" t="s">
        <v>10</v>
      </c>
      <c r="B197" s="40" t="s">
        <v>878</v>
      </c>
      <c r="D197" s="203">
        <f t="shared" si="42"/>
        <v>0</v>
      </c>
      <c r="E197" s="41">
        <f>IFERROR(VLOOKUP(A197,Items[],5,0),0)</f>
        <v>518295072.80000001</v>
      </c>
      <c r="F197" s="42">
        <f t="shared" si="43"/>
        <v>518295072.80000001</v>
      </c>
      <c r="G197" s="41">
        <v>0</v>
      </c>
      <c r="H197" s="41">
        <f>IFERROR(VLOOKUP(A197,Items[],4,0),0)</f>
        <v>579575651.5</v>
      </c>
      <c r="I197" s="41">
        <f>IFERROR(VLOOKUP(A197,Community[],4,0),0)</f>
        <v>0</v>
      </c>
      <c r="J197" s="41">
        <f>IFERROR(VLOOKUP(A197,Community[],5,0),0)</f>
        <v>0</v>
      </c>
      <c r="K197" s="41">
        <f>IFERROR(VLOOKUP(A197,Community[],6,0),0)</f>
        <v>3051466.5399999996</v>
      </c>
      <c r="L197" s="41">
        <f>IFERROR(VLOOKUP(A197,Community[],7,0),0)</f>
        <v>1318563.9000000001</v>
      </c>
      <c r="M197" s="41">
        <f>IFERROR(VLOOKUP(A197,Debt[],3,0),0)</f>
        <v>1932840.14</v>
      </c>
      <c r="N197" s="41">
        <f>IFERROR(VLOOKUP(A197,Debt[],4,0),0)</f>
        <v>768495.01</v>
      </c>
      <c r="O197" s="41">
        <f>IFERROR(VLOOKUP(A197,Debt[],5,0),0)</f>
        <v>0</v>
      </c>
      <c r="P197" s="41">
        <f>IFERROR(VLOOKUP(A197,Items[],3,0),0)</f>
        <v>1741786.32</v>
      </c>
      <c r="Q197" s="41">
        <f>IFERROR(VLOOKUP($A197,Federal[],2,0),0)</f>
        <v>353248.87</v>
      </c>
      <c r="R197" s="41">
        <f>IFERROR(VLOOKUP($A197,Federal[],4,0),0)</f>
        <v>47790324.969999999</v>
      </c>
      <c r="S197" s="41"/>
      <c r="T197" s="47">
        <f>IFERROR(VLOOKUP($A197,Program[],3,0),0)</f>
        <v>0</v>
      </c>
      <c r="U197" s="47"/>
      <c r="V197" s="41">
        <f>IFERROR(VLOOKUP($A197,Program[],4,0),0)</f>
        <v>0</v>
      </c>
      <c r="W197" s="41">
        <f>IFERROR(VLOOKUP($A197,Program[],5,0),0)</f>
        <v>0</v>
      </c>
      <c r="X197" s="41"/>
      <c r="Y197" s="41"/>
      <c r="Z197" s="41"/>
      <c r="AA197" s="41">
        <f>IFERROR(VLOOKUP($A197,Program[],6,0),0)</f>
        <v>0</v>
      </c>
      <c r="AB197" s="41"/>
      <c r="AC197" s="41"/>
      <c r="AD197" s="41">
        <f>IFERROR(VLOOKUP($A197,Program[],7,0),0)</f>
        <v>0</v>
      </c>
      <c r="AE197" s="41">
        <f>IFERROR(VLOOKUP($A197,Program[],8,0),0)</f>
        <v>0</v>
      </c>
      <c r="AF197" s="41">
        <f>IFERROR(VLOOKUP($A197,Program[],9,0),0)</f>
        <v>0</v>
      </c>
      <c r="AG197" s="41">
        <f>IFERROR(VLOOKUP($A197,Program[],10,0),0)</f>
        <v>0</v>
      </c>
      <c r="AH197" s="41">
        <f>IFERROR(VLOOKUP($A197,Program[],11,0),0)</f>
        <v>0</v>
      </c>
      <c r="AI197" s="41">
        <f>IFERROR(VLOOKUP($A197,Program[],12,0),0)</f>
        <v>0</v>
      </c>
      <c r="AJ197" s="41"/>
      <c r="AK197" s="41">
        <f>IFERROR(VLOOKUP($A197,Program[],13,0),0)</f>
        <v>0</v>
      </c>
      <c r="AL197" s="41"/>
      <c r="AM197" s="41"/>
      <c r="AN197" s="41"/>
      <c r="AO197" s="41"/>
      <c r="AP197" s="41"/>
      <c r="AQ197" s="41"/>
      <c r="AR197" s="41"/>
      <c r="AS197" s="41">
        <f>IFERROR(VLOOKUP($A197,Program[],14,0),0)</f>
        <v>0</v>
      </c>
      <c r="AT197" s="41"/>
      <c r="AU197" s="41"/>
      <c r="AV197" s="41">
        <f>IFERROR(VLOOKUP($A197,Program[],15,0),0)</f>
        <v>0</v>
      </c>
      <c r="AW197" s="41"/>
      <c r="AX197" s="41">
        <f>IFERROR(VLOOKUP($A197,Program[],16,0),0)</f>
        <v>0</v>
      </c>
      <c r="AY197" s="41">
        <f>IFERROR(VLOOKUP($A197,Program[],17,0),0)</f>
        <v>0</v>
      </c>
      <c r="AZ197" s="41">
        <f>IFERROR(VLOOKUP($A197,Program[],18,0),0)</f>
        <v>49606.85</v>
      </c>
      <c r="BA197" s="41">
        <f>IFERROR(VLOOKUP($A197,Program[],19,0),0)</f>
        <v>43326.38</v>
      </c>
      <c r="BB197" s="77">
        <f t="shared" si="44"/>
        <v>2008178.7499999998</v>
      </c>
      <c r="BC197" s="41">
        <f>IFERROR(VLOOKUP(A197,Food[],3,0),0)</f>
        <v>21671209.290000003</v>
      </c>
      <c r="BD197" s="41">
        <f>IFERROR(VLOOKUP($A197,FoodRev[],2,0),0)</f>
        <v>36575.85</v>
      </c>
      <c r="BE197" s="41">
        <f>IFERROR(VLOOKUP($A197,FoodRev[],3,0),0)</f>
        <v>4325620.33</v>
      </c>
      <c r="BF197" s="41">
        <f>IFERROR(VLOOKUP($A197,FoodRev[],4,0),0)</f>
        <v>54590</v>
      </c>
      <c r="BG197" s="41">
        <f>IFERROR(VLOOKUP($A197,FoodRev[],5,0),0)</f>
        <v>13731391.43</v>
      </c>
      <c r="BH197" s="41">
        <f>IFERROR(VLOOKUP($A197,FoodRev[],6,0),0)</f>
        <v>0</v>
      </c>
      <c r="BI197" s="41">
        <f>IFERROR(VLOOKUP($A197,FoodRev[],7,0),0)</f>
        <v>210410</v>
      </c>
      <c r="BJ197" s="41">
        <f>IFERROR(VLOOKUP($A197,FoodRev[],8,0),0)</f>
        <v>1304442.93</v>
      </c>
      <c r="BK197" s="41">
        <f>IFERROR(VLOOKUP($A197,FoodRev[],9,0),0)</f>
        <v>0</v>
      </c>
      <c r="BL197" s="41">
        <f>IFERROR(VLOOKUP($A197,FoodRev[],10,0),0)</f>
        <v>0</v>
      </c>
      <c r="BM197" s="41">
        <f t="shared" si="45"/>
        <v>19663030.539999999</v>
      </c>
      <c r="BN197" s="42">
        <f t="shared" si="54"/>
        <v>2008178.7499999998</v>
      </c>
      <c r="BO197" s="78">
        <f t="shared" ref="BO197:BO229" si="55">IF(BN197&lt;0,0,BN197)</f>
        <v>2008178.7499999998</v>
      </c>
      <c r="BP197" s="78">
        <f t="shared" ref="BP197:BP229" si="56">IF(BN197&lt;0,BN197,0)</f>
        <v>0</v>
      </c>
    </row>
    <row r="198" spans="1:68" x14ac:dyDescent="0.25">
      <c r="A198" s="40" t="s">
        <v>484</v>
      </c>
      <c r="B198" s="40" t="s">
        <v>879</v>
      </c>
      <c r="D198" s="203">
        <f t="shared" si="42"/>
        <v>0</v>
      </c>
      <c r="E198" s="41">
        <f>IFERROR(VLOOKUP(A198,Items[],5,0),0)</f>
        <v>3055143.2</v>
      </c>
      <c r="F198" s="42">
        <f t="shared" si="43"/>
        <v>3055143.2</v>
      </c>
      <c r="G198" s="41">
        <v>0</v>
      </c>
      <c r="H198" s="41">
        <f>IFERROR(VLOOKUP(A198,Items[],4,0),0)</f>
        <v>3232901.57</v>
      </c>
      <c r="I198" s="41">
        <f>IFERROR(VLOOKUP(A198,Community[],4,0),0)</f>
        <v>0</v>
      </c>
      <c r="J198" s="41">
        <f>IFERROR(VLOOKUP(A198,Community[],5,0),0)</f>
        <v>0</v>
      </c>
      <c r="K198" s="41">
        <f>IFERROR(VLOOKUP(A198,Community[],6,0),0)</f>
        <v>0</v>
      </c>
      <c r="L198" s="41">
        <f>IFERROR(VLOOKUP(A198,Community[],7,0),0)</f>
        <v>2997.88</v>
      </c>
      <c r="M198" s="41">
        <f>IFERROR(VLOOKUP(A198,Debt[],3,0),0)</f>
        <v>0</v>
      </c>
      <c r="N198" s="41">
        <f>IFERROR(VLOOKUP(A198,Debt[],4,0),0)</f>
        <v>0</v>
      </c>
      <c r="O198" s="41">
        <f>IFERROR(VLOOKUP(A198,Debt[],5,0),0)</f>
        <v>0</v>
      </c>
      <c r="P198" s="41">
        <f>IFERROR(VLOOKUP(A198,Items[],3,0),0)</f>
        <v>0</v>
      </c>
      <c r="Q198" s="41">
        <f>IFERROR(VLOOKUP($A198,Federal[],2,0),0)</f>
        <v>27098.25</v>
      </c>
      <c r="R198" s="41">
        <f>IFERROR(VLOOKUP($A198,Federal[],4,0),0)</f>
        <v>97622.19</v>
      </c>
      <c r="S198" s="41"/>
      <c r="T198" s="47">
        <f>IFERROR(VLOOKUP($A198,Program[],3,0),0)</f>
        <v>0</v>
      </c>
      <c r="U198" s="47"/>
      <c r="V198" s="41">
        <f>IFERROR(VLOOKUP($A198,Program[],4,0),0)</f>
        <v>0</v>
      </c>
      <c r="W198" s="41">
        <f>IFERROR(VLOOKUP($A198,Program[],5,0),0)</f>
        <v>0</v>
      </c>
      <c r="X198" s="41"/>
      <c r="Y198" s="41"/>
      <c r="Z198" s="41"/>
      <c r="AA198" s="41">
        <f>IFERROR(VLOOKUP($A198,Program[],6,0),0)</f>
        <v>0</v>
      </c>
      <c r="AB198" s="41"/>
      <c r="AC198" s="41"/>
      <c r="AD198" s="41">
        <f>IFERROR(VLOOKUP($A198,Program[],7,0),0)</f>
        <v>0</v>
      </c>
      <c r="AE198" s="41">
        <f>IFERROR(VLOOKUP($A198,Program[],8,0),0)</f>
        <v>0</v>
      </c>
      <c r="AF198" s="41">
        <f>IFERROR(VLOOKUP($A198,Program[],9,0),0)</f>
        <v>0</v>
      </c>
      <c r="AG198" s="41">
        <f>IFERROR(VLOOKUP($A198,Program[],10,0),0)</f>
        <v>0</v>
      </c>
      <c r="AH198" s="41">
        <f>IFERROR(VLOOKUP($A198,Program[],11,0),0)</f>
        <v>0</v>
      </c>
      <c r="AI198" s="41">
        <f>IFERROR(VLOOKUP($A198,Program[],12,0),0)</f>
        <v>0</v>
      </c>
      <c r="AJ198" s="41"/>
      <c r="AK198" s="41">
        <f>IFERROR(VLOOKUP($A198,Program[],13,0),0)</f>
        <v>0</v>
      </c>
      <c r="AL198" s="41"/>
      <c r="AM198" s="41"/>
      <c r="AN198" s="41"/>
      <c r="AO198" s="41"/>
      <c r="AP198" s="41"/>
      <c r="AQ198" s="41"/>
      <c r="AR198" s="41"/>
      <c r="AS198" s="41">
        <f>IFERROR(VLOOKUP($A198,Program[],14,0),0)</f>
        <v>0</v>
      </c>
      <c r="AT198" s="41"/>
      <c r="AU198" s="41"/>
      <c r="AV198" s="41">
        <f>IFERROR(VLOOKUP($A198,Program[],15,0),0)</f>
        <v>0</v>
      </c>
      <c r="AW198" s="41"/>
      <c r="AX198" s="41">
        <f>IFERROR(VLOOKUP($A198,Program[],16,0),0)</f>
        <v>0</v>
      </c>
      <c r="AY198" s="41">
        <f>IFERROR(VLOOKUP($A198,Program[],17,0),0)</f>
        <v>0</v>
      </c>
      <c r="AZ198" s="41">
        <f>IFERROR(VLOOKUP($A198,Program[],18,0),0)</f>
        <v>0</v>
      </c>
      <c r="BA198" s="41">
        <f>IFERROR(VLOOKUP($A198,Program[],19,0),0)</f>
        <v>0</v>
      </c>
      <c r="BB198" s="77">
        <f t="shared" si="44"/>
        <v>438.0399999999936</v>
      </c>
      <c r="BC198" s="41">
        <f>IFERROR(VLOOKUP(A198,Food[],3,0),0)</f>
        <v>92524.28</v>
      </c>
      <c r="BD198" s="41">
        <f>IFERROR(VLOOKUP($A198,FoodRev[],2,0),0)</f>
        <v>67.099999999999994</v>
      </c>
      <c r="BE198" s="41">
        <f>IFERROR(VLOOKUP($A198,FoodRev[],3,0),0)</f>
        <v>49972.95</v>
      </c>
      <c r="BF198" s="41">
        <f>IFERROR(VLOOKUP($A198,FoodRev[],4,0),0)</f>
        <v>0</v>
      </c>
      <c r="BG198" s="41">
        <f>IFERROR(VLOOKUP($A198,FoodRev[],5,0),0)</f>
        <v>42046.19</v>
      </c>
      <c r="BH198" s="41">
        <f>IFERROR(VLOOKUP($A198,FoodRev[],6,0),0)</f>
        <v>0</v>
      </c>
      <c r="BI198" s="41">
        <f>IFERROR(VLOOKUP($A198,FoodRev[],7,0),0)</f>
        <v>0</v>
      </c>
      <c r="BJ198" s="41">
        <f>IFERROR(VLOOKUP($A198,FoodRev[],8,0),0)</f>
        <v>0</v>
      </c>
      <c r="BK198" s="41">
        <f>IFERROR(VLOOKUP($A198,FoodRev[],9,0),0)</f>
        <v>0</v>
      </c>
      <c r="BL198" s="41">
        <f>IFERROR(VLOOKUP($A198,FoodRev[],10,0),0)</f>
        <v>0</v>
      </c>
      <c r="BM198" s="41">
        <f t="shared" si="45"/>
        <v>92086.239999999991</v>
      </c>
      <c r="BN198" s="42">
        <f t="shared" si="54"/>
        <v>438.0399999999936</v>
      </c>
      <c r="BO198" s="78">
        <f t="shared" si="55"/>
        <v>438.0399999999936</v>
      </c>
      <c r="BP198" s="78">
        <f t="shared" si="56"/>
        <v>0</v>
      </c>
    </row>
    <row r="199" spans="1:68" x14ac:dyDescent="0.25">
      <c r="A199" s="40" t="s">
        <v>112</v>
      </c>
      <c r="B199" s="40" t="s">
        <v>880</v>
      </c>
      <c r="D199" s="203">
        <f t="shared" ref="D199:D262" si="57">SUM(E199-F199)</f>
        <v>0</v>
      </c>
      <c r="E199" s="41">
        <f>IFERROR(VLOOKUP(A199,Items[],5,0),0)</f>
        <v>91192484.310000002</v>
      </c>
      <c r="F199" s="42">
        <f t="shared" si="43"/>
        <v>91192484.310000002</v>
      </c>
      <c r="G199" s="41">
        <v>0</v>
      </c>
      <c r="H199" s="41">
        <f>IFERROR(VLOOKUP(A199,Items[],4,0),0)</f>
        <v>97851503.439999998</v>
      </c>
      <c r="I199" s="41">
        <f>IFERROR(VLOOKUP(A199,Community[],4,0),0)</f>
        <v>0</v>
      </c>
      <c r="J199" s="41">
        <f>IFERROR(VLOOKUP(A199,Community[],5,0),0)</f>
        <v>27034.010000000002</v>
      </c>
      <c r="K199" s="41">
        <f>IFERROR(VLOOKUP(A199,Community[],6,0),0)</f>
        <v>0</v>
      </c>
      <c r="L199" s="41">
        <f>IFERROR(VLOOKUP(A199,Community[],7,0),0)</f>
        <v>603857.82999999996</v>
      </c>
      <c r="M199" s="41">
        <f>IFERROR(VLOOKUP(A199,Debt[],3,0),0)</f>
        <v>20623.400000000001</v>
      </c>
      <c r="N199" s="41">
        <f>IFERROR(VLOOKUP(A199,Debt[],4,0),0)</f>
        <v>62956.6</v>
      </c>
      <c r="O199" s="41">
        <f>IFERROR(VLOOKUP(A199,Debt[],5,0),0)</f>
        <v>0</v>
      </c>
      <c r="P199" s="41">
        <f>IFERROR(VLOOKUP(A199,Items[],3,0),0)</f>
        <v>157447.47</v>
      </c>
      <c r="Q199" s="41">
        <f>IFERROR(VLOOKUP($A199,Federal[],2,0),0)</f>
        <v>40439.760000000002</v>
      </c>
      <c r="R199" s="41">
        <f>IFERROR(VLOOKUP($A199,Federal[],4,0),0)</f>
        <v>4324767.22</v>
      </c>
      <c r="S199" s="41"/>
      <c r="T199" s="47">
        <f>IFERROR(VLOOKUP($A199,Program[],3,0),0)</f>
        <v>0</v>
      </c>
      <c r="U199" s="47"/>
      <c r="V199" s="41">
        <f>IFERROR(VLOOKUP($A199,Program[],4,0),0)</f>
        <v>0</v>
      </c>
      <c r="W199" s="41">
        <f>IFERROR(VLOOKUP($A199,Program[],5,0),0)</f>
        <v>0</v>
      </c>
      <c r="X199" s="41"/>
      <c r="Y199" s="41"/>
      <c r="Z199" s="41"/>
      <c r="AA199" s="41">
        <f>IFERROR(VLOOKUP($A199,Program[],6,0),0)</f>
        <v>0</v>
      </c>
      <c r="AB199" s="41"/>
      <c r="AC199" s="41"/>
      <c r="AD199" s="41">
        <f>IFERROR(VLOOKUP($A199,Program[],7,0),0)</f>
        <v>0</v>
      </c>
      <c r="AE199" s="41">
        <f>IFERROR(VLOOKUP($A199,Program[],8,0),0)</f>
        <v>0</v>
      </c>
      <c r="AF199" s="41">
        <f>IFERROR(VLOOKUP($A199,Program[],9,0),0)</f>
        <v>0</v>
      </c>
      <c r="AG199" s="41">
        <f>IFERROR(VLOOKUP($A199,Program[],10,0),0)</f>
        <v>0</v>
      </c>
      <c r="AH199" s="41">
        <f>IFERROR(VLOOKUP($A199,Program[],11,0),0)</f>
        <v>0</v>
      </c>
      <c r="AI199" s="41">
        <f>IFERROR(VLOOKUP($A199,Program[],12,0),0)</f>
        <v>0</v>
      </c>
      <c r="AJ199" s="41"/>
      <c r="AK199" s="41">
        <f>IFERROR(VLOOKUP($A199,Program[],13,0),0)</f>
        <v>0</v>
      </c>
      <c r="AL199" s="41"/>
      <c r="AM199" s="41"/>
      <c r="AN199" s="41"/>
      <c r="AO199" s="41"/>
      <c r="AP199" s="41"/>
      <c r="AQ199" s="41"/>
      <c r="AR199" s="41"/>
      <c r="AS199" s="41">
        <f>IFERROR(VLOOKUP($A199,Program[],14,0),0)</f>
        <v>0</v>
      </c>
      <c r="AT199" s="41"/>
      <c r="AU199" s="41"/>
      <c r="AV199" s="41">
        <f>IFERROR(VLOOKUP($A199,Program[],15,0),0)</f>
        <v>0</v>
      </c>
      <c r="AW199" s="41"/>
      <c r="AX199" s="41">
        <f>IFERROR(VLOOKUP($A199,Program[],16,0),0)</f>
        <v>0</v>
      </c>
      <c r="AY199" s="41">
        <f>IFERROR(VLOOKUP($A199,Program[],17,0),0)</f>
        <v>0</v>
      </c>
      <c r="AZ199" s="41">
        <f>IFERROR(VLOOKUP($A199,Program[],18,0),0)</f>
        <v>0</v>
      </c>
      <c r="BA199" s="41">
        <f>IFERROR(VLOOKUP($A199,Program[],19,0),0)</f>
        <v>30131.17</v>
      </c>
      <c r="BB199" s="77">
        <f t="shared" si="44"/>
        <v>303214.5400000001</v>
      </c>
      <c r="BC199" s="41">
        <f>IFERROR(VLOOKUP(A199,Food[],3,0),0)</f>
        <v>3447988.5900000003</v>
      </c>
      <c r="BD199" s="41">
        <f>IFERROR(VLOOKUP($A199,FoodRev[],2,0),0)</f>
        <v>707164.89</v>
      </c>
      <c r="BE199" s="41">
        <f>IFERROR(VLOOKUP($A199,FoodRev[],3,0),0)</f>
        <v>744859.12</v>
      </c>
      <c r="BF199" s="41">
        <f>IFERROR(VLOOKUP($A199,FoodRev[],4,0),0)</f>
        <v>0</v>
      </c>
      <c r="BG199" s="41">
        <f>IFERROR(VLOOKUP($A199,FoodRev[],5,0),0)</f>
        <v>1471383.48</v>
      </c>
      <c r="BH199" s="41">
        <f>IFERROR(VLOOKUP($A199,FoodRev[],6,0),0)</f>
        <v>0</v>
      </c>
      <c r="BI199" s="41">
        <f>IFERROR(VLOOKUP($A199,FoodRev[],7,0),0)</f>
        <v>0</v>
      </c>
      <c r="BJ199" s="41">
        <f>IFERROR(VLOOKUP($A199,FoodRev[],8,0),0)</f>
        <v>221366.56</v>
      </c>
      <c r="BK199" s="41">
        <f>IFERROR(VLOOKUP($A199,FoodRev[],9,0),0)</f>
        <v>0</v>
      </c>
      <c r="BL199" s="41">
        <f>IFERROR(VLOOKUP($A199,FoodRev[],10,0),0)</f>
        <v>0</v>
      </c>
      <c r="BM199" s="41">
        <f t="shared" si="45"/>
        <v>3144774.0500000003</v>
      </c>
      <c r="BN199" s="42">
        <f t="shared" si="54"/>
        <v>303214.5400000001</v>
      </c>
      <c r="BO199" s="78">
        <f t="shared" si="55"/>
        <v>303214.5400000001</v>
      </c>
      <c r="BP199" s="78">
        <f t="shared" si="56"/>
        <v>0</v>
      </c>
    </row>
    <row r="200" spans="1:68" x14ac:dyDescent="0.25">
      <c r="A200" s="40" t="s">
        <v>74</v>
      </c>
      <c r="B200" s="40" t="s">
        <v>881</v>
      </c>
      <c r="D200" s="203">
        <f t="shared" si="57"/>
        <v>0</v>
      </c>
      <c r="E200" s="41">
        <f>IFERROR(VLOOKUP(A200,Items[],5,0),0)</f>
        <v>178653254.30000001</v>
      </c>
      <c r="F200" s="42">
        <f t="shared" si="43"/>
        <v>178653254.30000001</v>
      </c>
      <c r="G200" s="41">
        <v>0</v>
      </c>
      <c r="H200" s="41">
        <f>IFERROR(VLOOKUP(A200,Items[],4,0),0)</f>
        <v>191845724.72</v>
      </c>
      <c r="I200" s="41">
        <f>IFERROR(VLOOKUP(A200,Community[],4,0),0)</f>
        <v>0</v>
      </c>
      <c r="J200" s="41">
        <f>IFERROR(VLOOKUP(A200,Community[],5,0),0)</f>
        <v>0</v>
      </c>
      <c r="K200" s="41">
        <f>IFERROR(VLOOKUP(A200,Community[],6,0),0)</f>
        <v>1840622.01</v>
      </c>
      <c r="L200" s="41">
        <f>IFERROR(VLOOKUP(A200,Community[],7,0),0)</f>
        <v>769327.54999999993</v>
      </c>
      <c r="M200" s="41">
        <f>IFERROR(VLOOKUP(A200,Debt[],3,0),0)</f>
        <v>46671.32</v>
      </c>
      <c r="N200" s="41">
        <f>IFERROR(VLOOKUP(A200,Debt[],4,0),0)</f>
        <v>250735.27</v>
      </c>
      <c r="O200" s="41">
        <f>IFERROR(VLOOKUP(A200,Debt[],5,0),0)</f>
        <v>0</v>
      </c>
      <c r="P200" s="41">
        <f>IFERROR(VLOOKUP(A200,Items[],3,0),0)</f>
        <v>1504066.95</v>
      </c>
      <c r="Q200" s="41">
        <f>IFERROR(VLOOKUP($A200,Federal[],2,0),0)</f>
        <v>5318.27</v>
      </c>
      <c r="R200" s="41">
        <f>IFERROR(VLOOKUP($A200,Federal[],4,0),0)</f>
        <v>6820892.4100000001</v>
      </c>
      <c r="S200" s="41"/>
      <c r="T200" s="47">
        <f>IFERROR(VLOOKUP($A200,Program[],3,0),0)</f>
        <v>0</v>
      </c>
      <c r="U200" s="47"/>
      <c r="V200" s="41">
        <f>IFERROR(VLOOKUP($A200,Program[],4,0),0)</f>
        <v>0</v>
      </c>
      <c r="W200" s="41">
        <f>IFERROR(VLOOKUP($A200,Program[],5,0),0)</f>
        <v>0</v>
      </c>
      <c r="X200" s="41"/>
      <c r="Y200" s="41"/>
      <c r="Z200" s="41"/>
      <c r="AA200" s="41">
        <f>IFERROR(VLOOKUP($A200,Program[],6,0),0)</f>
        <v>0</v>
      </c>
      <c r="AB200" s="41"/>
      <c r="AC200" s="41"/>
      <c r="AD200" s="41">
        <f>IFERROR(VLOOKUP($A200,Program[],7,0),0)</f>
        <v>0</v>
      </c>
      <c r="AE200" s="41">
        <f>IFERROR(VLOOKUP($A200,Program[],8,0),0)</f>
        <v>0</v>
      </c>
      <c r="AF200" s="41">
        <f>IFERROR(VLOOKUP($A200,Program[],9,0),0)</f>
        <v>0</v>
      </c>
      <c r="AG200" s="41">
        <f>IFERROR(VLOOKUP($A200,Program[],10,0),0)</f>
        <v>0</v>
      </c>
      <c r="AH200" s="41">
        <f>IFERROR(VLOOKUP($A200,Program[],11,0),0)</f>
        <v>0</v>
      </c>
      <c r="AI200" s="41">
        <f>IFERROR(VLOOKUP($A200,Program[],12,0),0)</f>
        <v>0</v>
      </c>
      <c r="AJ200" s="41"/>
      <c r="AK200" s="41">
        <f>IFERROR(VLOOKUP($A200,Program[],13,0),0)</f>
        <v>0</v>
      </c>
      <c r="AL200" s="41"/>
      <c r="AM200" s="41"/>
      <c r="AN200" s="41"/>
      <c r="AO200" s="41"/>
      <c r="AP200" s="41"/>
      <c r="AQ200" s="41"/>
      <c r="AR200" s="41"/>
      <c r="AS200" s="41">
        <f>IFERROR(VLOOKUP($A200,Program[],14,0),0)</f>
        <v>0</v>
      </c>
      <c r="AT200" s="41"/>
      <c r="AU200" s="41"/>
      <c r="AV200" s="41">
        <f>IFERROR(VLOOKUP($A200,Program[],15,0),0)</f>
        <v>0</v>
      </c>
      <c r="AW200" s="41"/>
      <c r="AX200" s="41">
        <f>IFERROR(VLOOKUP($A200,Program[],16,0),0)</f>
        <v>0</v>
      </c>
      <c r="AY200" s="41">
        <f>IFERROR(VLOOKUP($A200,Program[],17,0),0)</f>
        <v>0</v>
      </c>
      <c r="AZ200" s="41">
        <f>IFERROR(VLOOKUP($A200,Program[],18,0),0)</f>
        <v>0</v>
      </c>
      <c r="BA200" s="41">
        <f>IFERROR(VLOOKUP($A200,Program[],19,0),0)</f>
        <v>6092.65</v>
      </c>
      <c r="BB200" s="77">
        <f t="shared" si="44"/>
        <v>0</v>
      </c>
      <c r="BC200" s="41">
        <f>IFERROR(VLOOKUP(A200,Food[],3,0),0)</f>
        <v>4420404.7300000004</v>
      </c>
      <c r="BD200" s="41">
        <f>IFERROR(VLOOKUP($A200,FoodRev[],2,0),0)</f>
        <v>1345381.48</v>
      </c>
      <c r="BE200" s="41">
        <f>IFERROR(VLOOKUP($A200,FoodRev[],3,0),0)</f>
        <v>732237.96</v>
      </c>
      <c r="BF200" s="41">
        <f>IFERROR(VLOOKUP($A200,FoodRev[],4,0),0)</f>
        <v>0</v>
      </c>
      <c r="BG200" s="41">
        <f>IFERROR(VLOOKUP($A200,FoodRev[],5,0),0)</f>
        <v>2162248.0299999998</v>
      </c>
      <c r="BH200" s="41">
        <f>IFERROR(VLOOKUP($A200,FoodRev[],6,0),0)</f>
        <v>0</v>
      </c>
      <c r="BI200" s="41">
        <f>IFERROR(VLOOKUP($A200,FoodRev[],7,0),0)</f>
        <v>0</v>
      </c>
      <c r="BJ200" s="41">
        <f>IFERROR(VLOOKUP($A200,FoodRev[],8,0),0)</f>
        <v>297227.40999999997</v>
      </c>
      <c r="BK200" s="41">
        <f>IFERROR(VLOOKUP($A200,FoodRev[],9,0),0)</f>
        <v>0</v>
      </c>
      <c r="BL200" s="41">
        <f>IFERROR(VLOOKUP($A200,FoodRev[],10,0),0)</f>
        <v>0</v>
      </c>
      <c r="BM200" s="41">
        <f t="shared" si="45"/>
        <v>4537094.88</v>
      </c>
      <c r="BN200" s="42">
        <f t="shared" si="54"/>
        <v>-116690.14999999927</v>
      </c>
      <c r="BO200" s="78">
        <f t="shared" si="55"/>
        <v>0</v>
      </c>
      <c r="BP200" s="78">
        <f t="shared" si="56"/>
        <v>-116690.14999999927</v>
      </c>
    </row>
    <row r="201" spans="1:68" x14ac:dyDescent="0.25">
      <c r="A201" s="40" t="s">
        <v>248</v>
      </c>
      <c r="B201" s="40" t="s">
        <v>882</v>
      </c>
      <c r="D201" s="203">
        <f t="shared" si="57"/>
        <v>3.7252902984619141E-9</v>
      </c>
      <c r="E201" s="41">
        <f>IFERROR(VLOOKUP(A201,Items[],5,0),0)</f>
        <v>28896118.140000001</v>
      </c>
      <c r="F201" s="42">
        <f t="shared" si="43"/>
        <v>28896118.139999997</v>
      </c>
      <c r="G201" s="41">
        <v>0</v>
      </c>
      <c r="H201" s="41">
        <f>IFERROR(VLOOKUP(A201,Items[],4,0),0)</f>
        <v>30148390.079999998</v>
      </c>
      <c r="I201" s="41">
        <f>IFERROR(VLOOKUP(A201,Community[],4,0),0)</f>
        <v>0</v>
      </c>
      <c r="J201" s="41">
        <f>IFERROR(VLOOKUP(A201,Community[],5,0),0)</f>
        <v>0</v>
      </c>
      <c r="K201" s="41">
        <f>IFERROR(VLOOKUP(A201,Community[],6,0),0)</f>
        <v>220935.65999999997</v>
      </c>
      <c r="L201" s="41">
        <f>IFERROR(VLOOKUP(A201,Community[],7,0),0)</f>
        <v>31498.25</v>
      </c>
      <c r="M201" s="41">
        <f>IFERROR(VLOOKUP(A201,Debt[],3,0),0)</f>
        <v>130.6</v>
      </c>
      <c r="N201" s="41">
        <f>IFERROR(VLOOKUP(A201,Debt[],4,0),0)</f>
        <v>11489</v>
      </c>
      <c r="O201" s="41">
        <f>IFERROR(VLOOKUP(A201,Debt[],5,0),0)</f>
        <v>0</v>
      </c>
      <c r="P201" s="41">
        <f>IFERROR(VLOOKUP(A201,Items[],3,0),0)</f>
        <v>6477.88</v>
      </c>
      <c r="Q201" s="41">
        <f>IFERROR(VLOOKUP($A201,Federal[],2,0),0)</f>
        <v>746.2</v>
      </c>
      <c r="R201" s="41">
        <f>IFERROR(VLOOKUP($A201,Federal[],4,0),0)</f>
        <v>701663.25</v>
      </c>
      <c r="S201" s="41"/>
      <c r="T201" s="47">
        <f>IFERROR(VLOOKUP($A201,Program[],3,0),0)</f>
        <v>0</v>
      </c>
      <c r="U201" s="47"/>
      <c r="V201" s="41">
        <f>IFERROR(VLOOKUP($A201,Program[],4,0),0)</f>
        <v>0</v>
      </c>
      <c r="W201" s="41">
        <f>IFERROR(VLOOKUP($A201,Program[],5,0),0)</f>
        <v>0</v>
      </c>
      <c r="X201" s="41"/>
      <c r="Y201" s="41"/>
      <c r="Z201" s="41"/>
      <c r="AA201" s="41">
        <f>IFERROR(VLOOKUP($A201,Program[],6,0),0)</f>
        <v>0</v>
      </c>
      <c r="AB201" s="41"/>
      <c r="AC201" s="41"/>
      <c r="AD201" s="41">
        <f>IFERROR(VLOOKUP($A201,Program[],7,0),0)</f>
        <v>0</v>
      </c>
      <c r="AE201" s="41">
        <f>IFERROR(VLOOKUP($A201,Program[],8,0),0)</f>
        <v>0</v>
      </c>
      <c r="AF201" s="41">
        <f>IFERROR(VLOOKUP($A201,Program[],9,0),0)</f>
        <v>0</v>
      </c>
      <c r="AG201" s="41">
        <f>IFERROR(VLOOKUP($A201,Program[],10,0),0)</f>
        <v>0</v>
      </c>
      <c r="AH201" s="41">
        <f>IFERROR(VLOOKUP($A201,Program[],11,0),0)</f>
        <v>0</v>
      </c>
      <c r="AI201" s="41">
        <f>IFERROR(VLOOKUP($A201,Program[],12,0),0)</f>
        <v>0</v>
      </c>
      <c r="AJ201" s="41"/>
      <c r="AK201" s="41">
        <f>IFERROR(VLOOKUP($A201,Program[],13,0),0)</f>
        <v>0</v>
      </c>
      <c r="AL201" s="41"/>
      <c r="AM201" s="41"/>
      <c r="AN201" s="41"/>
      <c r="AO201" s="41"/>
      <c r="AP201" s="41"/>
      <c r="AQ201" s="41"/>
      <c r="AR201" s="41"/>
      <c r="AS201" s="41">
        <f>IFERROR(VLOOKUP($A201,Program[],14,0),0)</f>
        <v>0</v>
      </c>
      <c r="AT201" s="41"/>
      <c r="AU201" s="41"/>
      <c r="AV201" s="41">
        <f>IFERROR(VLOOKUP($A201,Program[],15,0),0)</f>
        <v>0</v>
      </c>
      <c r="AW201" s="41"/>
      <c r="AX201" s="41">
        <f>IFERROR(VLOOKUP($A201,Program[],16,0),0)</f>
        <v>0</v>
      </c>
      <c r="AY201" s="41">
        <f>IFERROR(VLOOKUP($A201,Program[],17,0),0)</f>
        <v>0</v>
      </c>
      <c r="AZ201" s="41">
        <f>IFERROR(VLOOKUP($A201,Program[],18,0),0)</f>
        <v>0</v>
      </c>
      <c r="BA201" s="41">
        <f>IFERROR(VLOOKUP($A201,Program[],19,0),0)</f>
        <v>6477.88</v>
      </c>
      <c r="BB201" s="77">
        <f t="shared" si="44"/>
        <v>245798.23000000016</v>
      </c>
      <c r="BC201" s="41">
        <f>IFERROR(VLOOKUP(A201,Food[],3,0),0)</f>
        <v>796470.64000000013</v>
      </c>
      <c r="BD201" s="41">
        <f>IFERROR(VLOOKUP($A201,FoodRev[],2,0),0)</f>
        <v>269397.49</v>
      </c>
      <c r="BE201" s="41">
        <f>IFERROR(VLOOKUP($A201,FoodRev[],3,0),0)</f>
        <v>16411.490000000002</v>
      </c>
      <c r="BF201" s="41">
        <f>IFERROR(VLOOKUP($A201,FoodRev[],4,0),0)</f>
        <v>0</v>
      </c>
      <c r="BG201" s="41">
        <f>IFERROR(VLOOKUP($A201,FoodRev[],5,0),0)</f>
        <v>213183.3</v>
      </c>
      <c r="BH201" s="41">
        <f>IFERROR(VLOOKUP($A201,FoodRev[],6,0),0)</f>
        <v>0</v>
      </c>
      <c r="BI201" s="41">
        <f>IFERROR(VLOOKUP($A201,FoodRev[],7,0),0)</f>
        <v>0</v>
      </c>
      <c r="BJ201" s="41">
        <f>IFERROR(VLOOKUP($A201,FoodRev[],8,0),0)</f>
        <v>51680.13</v>
      </c>
      <c r="BK201" s="41">
        <f>IFERROR(VLOOKUP($A201,FoodRev[],9,0),0)</f>
        <v>0</v>
      </c>
      <c r="BL201" s="41">
        <f>IFERROR(VLOOKUP($A201,FoodRev[],10,0),0)</f>
        <v>0</v>
      </c>
      <c r="BM201" s="41">
        <f t="shared" si="45"/>
        <v>550672.40999999992</v>
      </c>
      <c r="BN201" s="42">
        <f t="shared" si="54"/>
        <v>245798.23000000016</v>
      </c>
      <c r="BO201" s="78">
        <f t="shared" si="55"/>
        <v>245798.23000000016</v>
      </c>
      <c r="BP201" s="78">
        <f t="shared" si="56"/>
        <v>0</v>
      </c>
    </row>
    <row r="202" spans="1:68" x14ac:dyDescent="0.25">
      <c r="A202" s="40" t="s">
        <v>198</v>
      </c>
      <c r="B202" s="40" t="s">
        <v>883</v>
      </c>
      <c r="D202" s="203">
        <f t="shared" si="57"/>
        <v>0</v>
      </c>
      <c r="E202" s="41">
        <f>IFERROR(VLOOKUP(A202,Items[],5,0),0)</f>
        <v>47191548.640000001</v>
      </c>
      <c r="F202" s="42">
        <f t="shared" ref="F202:F265" si="58">H202-I202-J202-K202-L202-M202-N202-O202-P202-Q202-R202-S202+T202+U202+V202+W202+X202+Y202+Z202+AA202+AB202+AC202+AD202+AE202+AF202+AG202+AH202+AI202+AJ202+AK202+AL202+AM202+AN202+AO202+AP202+AQ202+AR202+AS202+AT202+AU202+AV202+AW202+AX202+AY202+AZ202+BA202+BB202-BC202+BG202+BH202+BI202+BJ202+G202</f>
        <v>47191548.640000001</v>
      </c>
      <c r="G202" s="41">
        <v>0</v>
      </c>
      <c r="H202" s="41">
        <f>IFERROR(VLOOKUP(A202,Items[],4,0),0)</f>
        <v>49602218.549999997</v>
      </c>
      <c r="I202" s="41">
        <f>IFERROR(VLOOKUP(A202,Community[],4,0),0)</f>
        <v>0</v>
      </c>
      <c r="J202" s="41">
        <f>IFERROR(VLOOKUP(A202,Community[],5,0),0)</f>
        <v>0</v>
      </c>
      <c r="K202" s="41">
        <f>IFERROR(VLOOKUP(A202,Community[],6,0),0)</f>
        <v>0</v>
      </c>
      <c r="L202" s="41">
        <f>IFERROR(VLOOKUP(A202,Community[],7,0),0)</f>
        <v>44452.310000000005</v>
      </c>
      <c r="M202" s="41">
        <f>IFERROR(VLOOKUP(A202,Debt[],3,0),0)</f>
        <v>0</v>
      </c>
      <c r="N202" s="41">
        <f>IFERROR(VLOOKUP(A202,Debt[],4,0),0)</f>
        <v>0</v>
      </c>
      <c r="O202" s="41">
        <f>IFERROR(VLOOKUP(A202,Debt[],5,0),0)</f>
        <v>0</v>
      </c>
      <c r="P202" s="41">
        <f>IFERROR(VLOOKUP(A202,Items[],3,0),0)</f>
        <v>164265.37</v>
      </c>
      <c r="Q202" s="41">
        <f>IFERROR(VLOOKUP($A202,Federal[],2,0),0)</f>
        <v>1461.46</v>
      </c>
      <c r="R202" s="41">
        <f>IFERROR(VLOOKUP($A202,Federal[],4,0),0)</f>
        <v>1699078.99</v>
      </c>
      <c r="S202" s="41"/>
      <c r="T202" s="47">
        <f>IFERROR(VLOOKUP($A202,Program[],3,0),0)</f>
        <v>0</v>
      </c>
      <c r="U202" s="47"/>
      <c r="V202" s="41">
        <f>IFERROR(VLOOKUP($A202,Program[],4,0),0)</f>
        <v>0</v>
      </c>
      <c r="W202" s="41">
        <f>IFERROR(VLOOKUP($A202,Program[],5,0),0)</f>
        <v>0</v>
      </c>
      <c r="X202" s="41"/>
      <c r="Y202" s="41"/>
      <c r="Z202" s="41"/>
      <c r="AA202" s="41">
        <f>IFERROR(VLOOKUP($A202,Program[],6,0),0)</f>
        <v>0</v>
      </c>
      <c r="AB202" s="41"/>
      <c r="AC202" s="41"/>
      <c r="AD202" s="41">
        <f>IFERROR(VLOOKUP($A202,Program[],7,0),0)</f>
        <v>0</v>
      </c>
      <c r="AE202" s="41">
        <f>IFERROR(VLOOKUP($A202,Program[],8,0),0)</f>
        <v>0</v>
      </c>
      <c r="AF202" s="41">
        <f>IFERROR(VLOOKUP($A202,Program[],9,0),0)</f>
        <v>0</v>
      </c>
      <c r="AG202" s="41">
        <f>IFERROR(VLOOKUP($A202,Program[],10,0),0)</f>
        <v>0</v>
      </c>
      <c r="AH202" s="41">
        <f>IFERROR(VLOOKUP($A202,Program[],11,0),0)</f>
        <v>0</v>
      </c>
      <c r="AI202" s="41">
        <f>IFERROR(VLOOKUP($A202,Program[],12,0),0)</f>
        <v>0</v>
      </c>
      <c r="AJ202" s="41"/>
      <c r="AK202" s="41">
        <f>IFERROR(VLOOKUP($A202,Program[],13,0),0)</f>
        <v>0</v>
      </c>
      <c r="AL202" s="41"/>
      <c r="AM202" s="41"/>
      <c r="AN202" s="41"/>
      <c r="AO202" s="41"/>
      <c r="AP202" s="41"/>
      <c r="AQ202" s="41"/>
      <c r="AR202" s="41"/>
      <c r="AS202" s="41">
        <f>IFERROR(VLOOKUP($A202,Program[],14,0),0)</f>
        <v>0</v>
      </c>
      <c r="AT202" s="41"/>
      <c r="AU202" s="41"/>
      <c r="AV202" s="41">
        <f>IFERROR(VLOOKUP($A202,Program[],15,0),0)</f>
        <v>0</v>
      </c>
      <c r="AW202" s="41"/>
      <c r="AX202" s="41">
        <f>IFERROR(VLOOKUP($A202,Program[],16,0),0)</f>
        <v>0</v>
      </c>
      <c r="AY202" s="41">
        <f>IFERROR(VLOOKUP($A202,Program[],17,0),0)</f>
        <v>0</v>
      </c>
      <c r="AZ202" s="41">
        <f>IFERROR(VLOOKUP($A202,Program[],18,0),0)</f>
        <v>0</v>
      </c>
      <c r="BA202" s="41">
        <f>IFERROR(VLOOKUP($A202,Program[],19,0),0)</f>
        <v>0</v>
      </c>
      <c r="BB202" s="77">
        <f t="shared" si="44"/>
        <v>278017.70999999996</v>
      </c>
      <c r="BC202" s="41">
        <f>IFERROR(VLOOKUP(A202,Food[],3,0),0)</f>
        <v>1402364.39</v>
      </c>
      <c r="BD202" s="41">
        <f>IFERROR(VLOOKUP($A202,FoodRev[],2,0),0)</f>
        <v>275769.93</v>
      </c>
      <c r="BE202" s="41">
        <f>IFERROR(VLOOKUP($A202,FoodRev[],3,0),0)</f>
        <v>225641.85</v>
      </c>
      <c r="BF202" s="41">
        <f>IFERROR(VLOOKUP($A202,FoodRev[],4,0),0)</f>
        <v>0</v>
      </c>
      <c r="BG202" s="41">
        <f>IFERROR(VLOOKUP($A202,FoodRev[],5,0),0)</f>
        <v>539838.63</v>
      </c>
      <c r="BH202" s="41">
        <f>IFERROR(VLOOKUP($A202,FoodRev[],6,0),0)</f>
        <v>0</v>
      </c>
      <c r="BI202" s="41">
        <f>IFERROR(VLOOKUP($A202,FoodRev[],7,0),0)</f>
        <v>0</v>
      </c>
      <c r="BJ202" s="41">
        <f>IFERROR(VLOOKUP($A202,FoodRev[],8,0),0)</f>
        <v>83096.27</v>
      </c>
      <c r="BK202" s="41">
        <f>IFERROR(VLOOKUP($A202,FoodRev[],9,0),0)</f>
        <v>0</v>
      </c>
      <c r="BL202" s="41">
        <f>IFERROR(VLOOKUP($A202,FoodRev[],10,0),0)</f>
        <v>0</v>
      </c>
      <c r="BM202" s="41">
        <f t="shared" si="45"/>
        <v>1124346.68</v>
      </c>
      <c r="BN202" s="42">
        <f t="shared" si="54"/>
        <v>278017.70999999996</v>
      </c>
      <c r="BO202" s="78">
        <f t="shared" si="55"/>
        <v>278017.70999999996</v>
      </c>
      <c r="BP202" s="78">
        <f t="shared" si="56"/>
        <v>0</v>
      </c>
    </row>
    <row r="203" spans="1:68" x14ac:dyDescent="0.25">
      <c r="A203" s="40" t="s">
        <v>56</v>
      </c>
      <c r="B203" s="40" t="s">
        <v>884</v>
      </c>
      <c r="D203" s="203">
        <f t="shared" si="57"/>
        <v>0</v>
      </c>
      <c r="E203" s="41">
        <f>IFERROR(VLOOKUP(A203,Items[],5,0),0)</f>
        <v>228959176.78</v>
      </c>
      <c r="F203" s="42">
        <f t="shared" si="58"/>
        <v>228959176.78</v>
      </c>
      <c r="G203" s="41">
        <v>0</v>
      </c>
      <c r="H203" s="41">
        <f>IFERROR(VLOOKUP(A203,Items[],4,0),0)</f>
        <v>274886723.41000003</v>
      </c>
      <c r="I203" s="41">
        <f>IFERROR(VLOOKUP(A203,Community[],4,0),0)</f>
        <v>0</v>
      </c>
      <c r="J203" s="41">
        <f>IFERROR(VLOOKUP(A203,Community[],5,0),0)</f>
        <v>0</v>
      </c>
      <c r="K203" s="41">
        <f>IFERROR(VLOOKUP(A203,Community[],6,0),0)</f>
        <v>3975647.8300000005</v>
      </c>
      <c r="L203" s="41">
        <f>IFERROR(VLOOKUP(A203,Community[],7,0),0)</f>
        <v>196454.29</v>
      </c>
      <c r="M203" s="41">
        <f>IFERROR(VLOOKUP(A203,Debt[],3,0),0)</f>
        <v>77884.759999999995</v>
      </c>
      <c r="N203" s="41">
        <f>IFERROR(VLOOKUP(A203,Debt[],4,0),0)</f>
        <v>603266.21</v>
      </c>
      <c r="O203" s="41">
        <f>IFERROR(VLOOKUP(A203,Debt[],5,0),0)</f>
        <v>0</v>
      </c>
      <c r="P203" s="41">
        <f>IFERROR(VLOOKUP(A203,Items[],3,0),0)</f>
        <v>1238311.3500000001</v>
      </c>
      <c r="Q203" s="41">
        <f>IFERROR(VLOOKUP($A203,Federal[],2,0),0)</f>
        <v>18222060.120000001</v>
      </c>
      <c r="R203" s="41">
        <f>IFERROR(VLOOKUP($A203,Federal[],4,0),0)</f>
        <v>18766433.140000001</v>
      </c>
      <c r="S203" s="41"/>
      <c r="T203" s="47">
        <f>IFERROR(VLOOKUP($A203,Program[],3,0),0)</f>
        <v>0</v>
      </c>
      <c r="U203" s="47"/>
      <c r="V203" s="41">
        <f>IFERROR(VLOOKUP($A203,Program[],4,0),0)</f>
        <v>0</v>
      </c>
      <c r="W203" s="41">
        <f>IFERROR(VLOOKUP($A203,Program[],5,0),0)</f>
        <v>0</v>
      </c>
      <c r="X203" s="41"/>
      <c r="Y203" s="41"/>
      <c r="Z203" s="41"/>
      <c r="AA203" s="41">
        <f>IFERROR(VLOOKUP($A203,Program[],6,0),0)</f>
        <v>0</v>
      </c>
      <c r="AB203" s="41"/>
      <c r="AC203" s="41"/>
      <c r="AD203" s="41">
        <f>IFERROR(VLOOKUP($A203,Program[],7,0),0)</f>
        <v>0</v>
      </c>
      <c r="AE203" s="41">
        <f>IFERROR(VLOOKUP($A203,Program[],8,0),0)</f>
        <v>0</v>
      </c>
      <c r="AF203" s="41">
        <f>IFERROR(VLOOKUP($A203,Program[],9,0),0)</f>
        <v>0</v>
      </c>
      <c r="AG203" s="41">
        <f>IFERROR(VLOOKUP($A203,Program[],10,0),0)</f>
        <v>0</v>
      </c>
      <c r="AH203" s="41">
        <f>IFERROR(VLOOKUP($A203,Program[],11,0),0)</f>
        <v>0</v>
      </c>
      <c r="AI203" s="41">
        <f>IFERROR(VLOOKUP($A203,Program[],12,0),0)</f>
        <v>0</v>
      </c>
      <c r="AJ203" s="41"/>
      <c r="AK203" s="41">
        <f>IFERROR(VLOOKUP($A203,Program[],13,0),0)</f>
        <v>0</v>
      </c>
      <c r="AL203" s="41"/>
      <c r="AM203" s="41"/>
      <c r="AN203" s="41"/>
      <c r="AO203" s="41"/>
      <c r="AP203" s="41"/>
      <c r="AQ203" s="41"/>
      <c r="AR203" s="41"/>
      <c r="AS203" s="41">
        <f>IFERROR(VLOOKUP($A203,Program[],14,0),0)</f>
        <v>0</v>
      </c>
      <c r="AT203" s="41"/>
      <c r="AU203" s="41"/>
      <c r="AV203" s="41">
        <f>IFERROR(VLOOKUP($A203,Program[],15,0),0)</f>
        <v>0</v>
      </c>
      <c r="AW203" s="41"/>
      <c r="AX203" s="41">
        <f>IFERROR(VLOOKUP($A203,Program[],16,0),0)</f>
        <v>0</v>
      </c>
      <c r="AY203" s="41">
        <f>IFERROR(VLOOKUP($A203,Program[],17,0),0)</f>
        <v>0</v>
      </c>
      <c r="AZ203" s="41">
        <f>IFERROR(VLOOKUP($A203,Program[],18,0),0)</f>
        <v>0</v>
      </c>
      <c r="BA203" s="41">
        <f>IFERROR(VLOOKUP($A203,Program[],19,0),0)</f>
        <v>9577.9699999999993</v>
      </c>
      <c r="BB203" s="77">
        <f t="shared" ref="BB203:BB266" si="59">IF(BN203&gt;0,BN203,0)</f>
        <v>332903.54000000074</v>
      </c>
      <c r="BC203" s="41">
        <f>IFERROR(VLOOKUP(A203,Food[],3,0),0)</f>
        <v>9570532.8600000013</v>
      </c>
      <c r="BD203" s="41">
        <f>IFERROR(VLOOKUP($A203,FoodRev[],2,0),0)</f>
        <v>181635.75</v>
      </c>
      <c r="BE203" s="41">
        <f>IFERROR(VLOOKUP($A203,FoodRev[],3,0),0)</f>
        <v>2675431.15</v>
      </c>
      <c r="BF203" s="41">
        <f>IFERROR(VLOOKUP($A203,FoodRev[],4,0),0)</f>
        <v>0</v>
      </c>
      <c r="BG203" s="41">
        <f>IFERROR(VLOOKUP($A203,FoodRev[],5,0),0)</f>
        <v>5886096.4100000001</v>
      </c>
      <c r="BH203" s="41">
        <f>IFERROR(VLOOKUP($A203,FoodRev[],6,0),0)</f>
        <v>0</v>
      </c>
      <c r="BI203" s="41">
        <f>IFERROR(VLOOKUP($A203,FoodRev[],7,0),0)</f>
        <v>0</v>
      </c>
      <c r="BJ203" s="41">
        <f>IFERROR(VLOOKUP($A203,FoodRev[],8,0),0)</f>
        <v>494466.01</v>
      </c>
      <c r="BK203" s="41">
        <f>IFERROR(VLOOKUP($A203,FoodRev[],9,0),0)</f>
        <v>0</v>
      </c>
      <c r="BL203" s="41">
        <f>IFERROR(VLOOKUP($A203,FoodRev[],10,0),0)</f>
        <v>0</v>
      </c>
      <c r="BM203" s="41">
        <f t="shared" si="45"/>
        <v>9237629.3200000003</v>
      </c>
      <c r="BN203" s="42">
        <f t="shared" si="54"/>
        <v>332903.54000000074</v>
      </c>
      <c r="BO203" s="78">
        <f t="shared" si="55"/>
        <v>332903.54000000074</v>
      </c>
      <c r="BP203" s="78">
        <f t="shared" si="56"/>
        <v>0</v>
      </c>
    </row>
    <row r="204" spans="1:68" x14ac:dyDescent="0.25">
      <c r="A204" s="40" t="s">
        <v>76</v>
      </c>
      <c r="B204" s="40" t="s">
        <v>885</v>
      </c>
      <c r="D204" s="203">
        <f t="shared" si="57"/>
        <v>-2.9802322387695313E-8</v>
      </c>
      <c r="E204" s="41">
        <f>IFERROR(VLOOKUP(A204,Items[],5,0),0)</f>
        <v>163199874.77000001</v>
      </c>
      <c r="F204" s="42">
        <f t="shared" si="58"/>
        <v>163199874.77000004</v>
      </c>
      <c r="G204" s="41">
        <v>0</v>
      </c>
      <c r="H204" s="41">
        <f>IFERROR(VLOOKUP(A204,Items[],4,0),0)</f>
        <v>170994333.05000001</v>
      </c>
      <c r="I204" s="41">
        <f>IFERROR(VLOOKUP(A204,Community[],4,0),0)</f>
        <v>2202.87</v>
      </c>
      <c r="J204" s="41">
        <f>IFERROR(VLOOKUP(A204,Community[],5,0),0)</f>
        <v>0</v>
      </c>
      <c r="K204" s="41">
        <f>IFERROR(VLOOKUP(A204,Community[],6,0),0)</f>
        <v>2461.42</v>
      </c>
      <c r="L204" s="41">
        <f>IFERROR(VLOOKUP(A204,Community[],7,0),0)</f>
        <v>368629.52</v>
      </c>
      <c r="M204" s="41">
        <f>IFERROR(VLOOKUP(A204,Debt[],3,0),0)</f>
        <v>0</v>
      </c>
      <c r="N204" s="41">
        <f>IFERROR(VLOOKUP(A204,Debt[],4,0),0)</f>
        <v>0</v>
      </c>
      <c r="O204" s="41">
        <f>IFERROR(VLOOKUP(A204,Debt[],5,0),0)</f>
        <v>0</v>
      </c>
      <c r="P204" s="41">
        <f>IFERROR(VLOOKUP(A204,Items[],3,0),0)</f>
        <v>754538.91</v>
      </c>
      <c r="Q204" s="41">
        <f>IFERROR(VLOOKUP($A204,Federal[],2,0),0)</f>
        <v>4429.53</v>
      </c>
      <c r="R204" s="41">
        <f>IFERROR(VLOOKUP($A204,Federal[],4,0),0)</f>
        <v>4647216.8099999996</v>
      </c>
      <c r="S204" s="41"/>
      <c r="T204" s="47">
        <f>IFERROR(VLOOKUP($A204,Program[],3,0),0)</f>
        <v>0</v>
      </c>
      <c r="U204" s="47"/>
      <c r="V204" s="41">
        <f>IFERROR(VLOOKUP($A204,Program[],4,0),0)</f>
        <v>0</v>
      </c>
      <c r="W204" s="41">
        <f>IFERROR(VLOOKUP($A204,Program[],5,0),0)</f>
        <v>0</v>
      </c>
      <c r="X204" s="41"/>
      <c r="Y204" s="41"/>
      <c r="Z204" s="41"/>
      <c r="AA204" s="41">
        <f>IFERROR(VLOOKUP($A204,Program[],6,0),0)</f>
        <v>0</v>
      </c>
      <c r="AB204" s="41"/>
      <c r="AC204" s="41"/>
      <c r="AD204" s="41">
        <f>IFERROR(VLOOKUP($A204,Program[],7,0),0)</f>
        <v>27486.32</v>
      </c>
      <c r="AE204" s="41">
        <f>IFERROR(VLOOKUP($A204,Program[],8,0),0)</f>
        <v>0</v>
      </c>
      <c r="AF204" s="41">
        <f>IFERROR(VLOOKUP($A204,Program[],9,0),0)</f>
        <v>0</v>
      </c>
      <c r="AG204" s="41">
        <f>IFERROR(VLOOKUP($A204,Program[],10,0),0)</f>
        <v>0</v>
      </c>
      <c r="AH204" s="41">
        <f>IFERROR(VLOOKUP($A204,Program[],11,0),0)</f>
        <v>0</v>
      </c>
      <c r="AI204" s="41">
        <f>IFERROR(VLOOKUP($A204,Program[],12,0),0)</f>
        <v>0</v>
      </c>
      <c r="AJ204" s="41"/>
      <c r="AK204" s="41">
        <f>IFERROR(VLOOKUP($A204,Program[],13,0),0)</f>
        <v>0</v>
      </c>
      <c r="AL204" s="41"/>
      <c r="AM204" s="41"/>
      <c r="AN204" s="41"/>
      <c r="AO204" s="41"/>
      <c r="AP204" s="41"/>
      <c r="AQ204" s="41"/>
      <c r="AR204" s="41"/>
      <c r="AS204" s="41">
        <f>IFERROR(VLOOKUP($A204,Program[],14,0),0)</f>
        <v>0</v>
      </c>
      <c r="AT204" s="41"/>
      <c r="AU204" s="41"/>
      <c r="AV204" s="41">
        <f>IFERROR(VLOOKUP($A204,Program[],15,0),0)</f>
        <v>0</v>
      </c>
      <c r="AW204" s="41"/>
      <c r="AX204" s="41">
        <f>IFERROR(VLOOKUP($A204,Program[],16,0),0)</f>
        <v>0</v>
      </c>
      <c r="AY204" s="41">
        <f>IFERROR(VLOOKUP($A204,Program[],17,0),0)</f>
        <v>0</v>
      </c>
      <c r="AZ204" s="41">
        <f>IFERROR(VLOOKUP($A204,Program[],18,0),0)</f>
        <v>0</v>
      </c>
      <c r="BA204" s="41">
        <f>IFERROR(VLOOKUP($A204,Program[],19,0),0)</f>
        <v>0</v>
      </c>
      <c r="BB204" s="77">
        <f t="shared" si="59"/>
        <v>514814.17999999976</v>
      </c>
      <c r="BC204" s="41">
        <f>IFERROR(VLOOKUP(A204,Food[],3,0),0)</f>
        <v>4002721.79</v>
      </c>
      <c r="BD204" s="41">
        <f>IFERROR(VLOOKUP($A204,FoodRev[],2,0),0)</f>
        <v>1702462.45</v>
      </c>
      <c r="BE204" s="41">
        <f>IFERROR(VLOOKUP($A204,FoodRev[],3,0),0)</f>
        <v>340003.09</v>
      </c>
      <c r="BF204" s="41">
        <f>IFERROR(VLOOKUP($A204,FoodRev[],4,0),0)</f>
        <v>0</v>
      </c>
      <c r="BG204" s="41">
        <f>IFERROR(VLOOKUP($A204,FoodRev[],5,0),0)</f>
        <v>1252256.52</v>
      </c>
      <c r="BH204" s="41">
        <f>IFERROR(VLOOKUP($A204,FoodRev[],6,0),0)</f>
        <v>0</v>
      </c>
      <c r="BI204" s="41">
        <f>IFERROR(VLOOKUP($A204,FoodRev[],7,0),0)</f>
        <v>0</v>
      </c>
      <c r="BJ204" s="41">
        <f>IFERROR(VLOOKUP($A204,FoodRev[],8,0),0)</f>
        <v>193185.55</v>
      </c>
      <c r="BK204" s="41">
        <f>IFERROR(VLOOKUP($A204,FoodRev[],9,0),0)</f>
        <v>0</v>
      </c>
      <c r="BL204" s="41">
        <f>IFERROR(VLOOKUP($A204,FoodRev[],10,0),0)</f>
        <v>0</v>
      </c>
      <c r="BM204" s="41">
        <f t="shared" ref="BM204:BM268" si="60">SUM(BD204:BL204)</f>
        <v>3487907.61</v>
      </c>
      <c r="BN204" s="42">
        <f t="shared" si="54"/>
        <v>514814.17999999976</v>
      </c>
      <c r="BO204" s="78">
        <f t="shared" si="55"/>
        <v>514814.17999999976</v>
      </c>
      <c r="BP204" s="78">
        <f t="shared" si="56"/>
        <v>0</v>
      </c>
    </row>
    <row r="205" spans="1:68" x14ac:dyDescent="0.25">
      <c r="A205" s="40" t="s">
        <v>84</v>
      </c>
      <c r="B205" s="40" t="s">
        <v>886</v>
      </c>
      <c r="D205" s="203">
        <f t="shared" si="57"/>
        <v>0</v>
      </c>
      <c r="E205" s="41">
        <f>IFERROR(VLOOKUP(A205,Items[],5,0),0)</f>
        <v>128824379.29000001</v>
      </c>
      <c r="F205" s="42">
        <f t="shared" si="58"/>
        <v>128824379.29000001</v>
      </c>
      <c r="G205" s="41">
        <v>0</v>
      </c>
      <c r="H205" s="41">
        <f>IFERROR(VLOOKUP(A205,Items[],4,0),0)</f>
        <v>142897929.44</v>
      </c>
      <c r="I205" s="41">
        <f>IFERROR(VLOOKUP(A205,Community[],4,0),0)</f>
        <v>0</v>
      </c>
      <c r="J205" s="41">
        <f>IFERROR(VLOOKUP(A205,Community[],5,0),0)</f>
        <v>0</v>
      </c>
      <c r="K205" s="41">
        <f>IFERROR(VLOOKUP(A205,Community[],6,0),0)</f>
        <v>780051.34</v>
      </c>
      <c r="L205" s="41">
        <f>IFERROR(VLOOKUP(A205,Community[],7,0),0)</f>
        <v>40633.729999999996</v>
      </c>
      <c r="M205" s="41">
        <f>IFERROR(VLOOKUP(A205,Debt[],3,0),0)</f>
        <v>53924.65</v>
      </c>
      <c r="N205" s="41">
        <f>IFERROR(VLOOKUP(A205,Debt[],4,0),0)</f>
        <v>0</v>
      </c>
      <c r="O205" s="41">
        <f>IFERROR(VLOOKUP(A205,Debt[],5,0),0)</f>
        <v>0</v>
      </c>
      <c r="P205" s="41">
        <f>IFERROR(VLOOKUP(A205,Items[],3,0),0)</f>
        <v>120317</v>
      </c>
      <c r="Q205" s="41">
        <f>IFERROR(VLOOKUP($A205,Federal[],2,0),0)</f>
        <v>75042.05</v>
      </c>
      <c r="R205" s="41">
        <f>IFERROR(VLOOKUP($A205,Federal[],4,0),0)</f>
        <v>12520066.720000001</v>
      </c>
      <c r="S205" s="41"/>
      <c r="T205" s="47">
        <f>IFERROR(VLOOKUP($A205,Program[],3,0),0)</f>
        <v>0</v>
      </c>
      <c r="U205" s="47"/>
      <c r="V205" s="41">
        <f>IFERROR(VLOOKUP($A205,Program[],4,0),0)</f>
        <v>0</v>
      </c>
      <c r="W205" s="41">
        <f>IFERROR(VLOOKUP($A205,Program[],5,0),0)</f>
        <v>0</v>
      </c>
      <c r="X205" s="41"/>
      <c r="Y205" s="41"/>
      <c r="Z205" s="41"/>
      <c r="AA205" s="41">
        <f>IFERROR(VLOOKUP($A205,Program[],6,0),0)</f>
        <v>0</v>
      </c>
      <c r="AB205" s="41"/>
      <c r="AC205" s="41"/>
      <c r="AD205" s="41">
        <f>IFERROR(VLOOKUP($A205,Program[],7,0),0)</f>
        <v>0</v>
      </c>
      <c r="AE205" s="41">
        <f>IFERROR(VLOOKUP($A205,Program[],8,0),0)</f>
        <v>0</v>
      </c>
      <c r="AF205" s="41">
        <f>IFERROR(VLOOKUP($A205,Program[],9,0),0)</f>
        <v>0</v>
      </c>
      <c r="AG205" s="41">
        <f>IFERROR(VLOOKUP($A205,Program[],10,0),0)</f>
        <v>0</v>
      </c>
      <c r="AH205" s="41">
        <f>IFERROR(VLOOKUP($A205,Program[],11,0),0)</f>
        <v>0</v>
      </c>
      <c r="AI205" s="41">
        <f>IFERROR(VLOOKUP($A205,Program[],12,0),0)</f>
        <v>0</v>
      </c>
      <c r="AJ205" s="41"/>
      <c r="AK205" s="41">
        <f>IFERROR(VLOOKUP($A205,Program[],13,0),0)</f>
        <v>0</v>
      </c>
      <c r="AL205" s="41"/>
      <c r="AM205" s="41"/>
      <c r="AN205" s="41"/>
      <c r="AO205" s="41"/>
      <c r="AP205" s="41"/>
      <c r="AQ205" s="41"/>
      <c r="AR205" s="41"/>
      <c r="AS205" s="41">
        <f>IFERROR(VLOOKUP($A205,Program[],14,0),0)</f>
        <v>0</v>
      </c>
      <c r="AT205" s="41"/>
      <c r="AU205" s="41"/>
      <c r="AV205" s="41">
        <f>IFERROR(VLOOKUP($A205,Program[],15,0),0)</f>
        <v>0</v>
      </c>
      <c r="AW205" s="41"/>
      <c r="AX205" s="41">
        <f>IFERROR(VLOOKUP($A205,Program[],16,0),0)</f>
        <v>0</v>
      </c>
      <c r="AY205" s="41">
        <f>IFERROR(VLOOKUP($A205,Program[],17,0),0)</f>
        <v>0</v>
      </c>
      <c r="AZ205" s="41">
        <f>IFERROR(VLOOKUP($A205,Program[],18,0),0)</f>
        <v>0</v>
      </c>
      <c r="BA205" s="41">
        <f>IFERROR(VLOOKUP($A205,Program[],19,0),0)</f>
        <v>86256.18</v>
      </c>
      <c r="BB205" s="77">
        <f t="shared" si="59"/>
        <v>0</v>
      </c>
      <c r="BC205" s="41">
        <f>IFERROR(VLOOKUP(A205,Food[],3,0),0)</f>
        <v>5650928.96</v>
      </c>
      <c r="BD205" s="41">
        <f>IFERROR(VLOOKUP($A205,FoodRev[],2,0),0)</f>
        <v>3417.55</v>
      </c>
      <c r="BE205" s="41">
        <f>IFERROR(VLOOKUP($A205,FoodRev[],3,0),0)</f>
        <v>624803.86</v>
      </c>
      <c r="BF205" s="41">
        <f>IFERROR(VLOOKUP($A205,FoodRev[],4,0),0)</f>
        <v>0</v>
      </c>
      <c r="BG205" s="41">
        <f>IFERROR(VLOOKUP($A205,FoodRev[],5,0),0)</f>
        <v>4673977.5599999996</v>
      </c>
      <c r="BH205" s="41">
        <f>IFERROR(VLOOKUP($A205,FoodRev[],6,0),0)</f>
        <v>0</v>
      </c>
      <c r="BI205" s="41">
        <f>IFERROR(VLOOKUP($A205,FoodRev[],7,0),0)</f>
        <v>0</v>
      </c>
      <c r="BJ205" s="41">
        <f>IFERROR(VLOOKUP($A205,FoodRev[],8,0),0)</f>
        <v>407180.56</v>
      </c>
      <c r="BK205" s="41">
        <f>IFERROR(VLOOKUP($A205,FoodRev[],9,0),0)</f>
        <v>0</v>
      </c>
      <c r="BL205" s="41">
        <f>IFERROR(VLOOKUP($A205,FoodRev[],10,0),0)</f>
        <v>0</v>
      </c>
      <c r="BM205" s="41">
        <f t="shared" si="60"/>
        <v>5709379.5299999993</v>
      </c>
      <c r="BN205" s="42">
        <f t="shared" si="54"/>
        <v>-58450.569999999774</v>
      </c>
      <c r="BO205" s="78">
        <f t="shared" si="55"/>
        <v>0</v>
      </c>
      <c r="BP205" s="78">
        <f t="shared" si="56"/>
        <v>-58450.569999999774</v>
      </c>
    </row>
    <row r="206" spans="1:68" x14ac:dyDescent="0.25">
      <c r="A206" s="40" t="s">
        <v>34</v>
      </c>
      <c r="B206" s="40" t="s">
        <v>887</v>
      </c>
      <c r="D206" s="203">
        <f t="shared" si="57"/>
        <v>-5.9604644775390625E-8</v>
      </c>
      <c r="E206" s="41">
        <f>IFERROR(VLOOKUP(A206,Items[],5,0),0)</f>
        <v>354351860.64999998</v>
      </c>
      <c r="F206" s="42">
        <f t="shared" si="58"/>
        <v>354351860.65000004</v>
      </c>
      <c r="G206" s="41">
        <v>0</v>
      </c>
      <c r="H206" s="41">
        <f>IFERROR(VLOOKUP(A206,Items[],4,0),0)</f>
        <v>383761479.25</v>
      </c>
      <c r="I206" s="41">
        <f>IFERROR(VLOOKUP(A206,Community[],4,0),0)</f>
        <v>0</v>
      </c>
      <c r="J206" s="41">
        <f>IFERROR(VLOOKUP(A206,Community[],5,0),0)</f>
        <v>0</v>
      </c>
      <c r="K206" s="41">
        <f>IFERROR(VLOOKUP(A206,Community[],6,0),0)</f>
        <v>1424892.79</v>
      </c>
      <c r="L206" s="41">
        <f>IFERROR(VLOOKUP(A206,Community[],7,0),0)</f>
        <v>1157988.2</v>
      </c>
      <c r="M206" s="41">
        <f>IFERROR(VLOOKUP(A206,Debt[],3,0),0)</f>
        <v>54943.519999999997</v>
      </c>
      <c r="N206" s="41">
        <f>IFERROR(VLOOKUP(A206,Debt[],4,0),0)</f>
        <v>803667.17</v>
      </c>
      <c r="O206" s="41">
        <f>IFERROR(VLOOKUP(A206,Debt[],5,0),0)</f>
        <v>0</v>
      </c>
      <c r="P206" s="41">
        <f>IFERROR(VLOOKUP(A206,Items[],3,0),0)</f>
        <v>635712.52</v>
      </c>
      <c r="Q206" s="41">
        <f>IFERROR(VLOOKUP($A206,Federal[],2,0),0)</f>
        <v>266947.13</v>
      </c>
      <c r="R206" s="41">
        <f>IFERROR(VLOOKUP($A206,Federal[],4,0),0)</f>
        <v>21075959.699999999</v>
      </c>
      <c r="S206" s="41"/>
      <c r="T206" s="47">
        <f>IFERROR(VLOOKUP($A206,Program[],3,0),0)</f>
        <v>0</v>
      </c>
      <c r="U206" s="47"/>
      <c r="V206" s="41">
        <f>IFERROR(VLOOKUP($A206,Program[],4,0),0)</f>
        <v>0</v>
      </c>
      <c r="W206" s="41">
        <f>IFERROR(VLOOKUP($A206,Program[],5,0),0)</f>
        <v>0</v>
      </c>
      <c r="X206" s="41"/>
      <c r="Y206" s="41"/>
      <c r="Z206" s="41"/>
      <c r="AA206" s="41">
        <f>IFERROR(VLOOKUP($A206,Program[],6,0),0)</f>
        <v>0</v>
      </c>
      <c r="AB206" s="41"/>
      <c r="AC206" s="41"/>
      <c r="AD206" s="41">
        <f>IFERROR(VLOOKUP($A206,Program[],7,0),0)</f>
        <v>0</v>
      </c>
      <c r="AE206" s="41">
        <f>IFERROR(VLOOKUP($A206,Program[],8,0),0)</f>
        <v>0</v>
      </c>
      <c r="AF206" s="41">
        <f>IFERROR(VLOOKUP($A206,Program[],9,0),0)</f>
        <v>0</v>
      </c>
      <c r="AG206" s="41">
        <f>IFERROR(VLOOKUP($A206,Program[],10,0),0)</f>
        <v>0</v>
      </c>
      <c r="AH206" s="41">
        <f>IFERROR(VLOOKUP($A206,Program[],11,0),0)</f>
        <v>0</v>
      </c>
      <c r="AI206" s="41">
        <f>IFERROR(VLOOKUP($A206,Program[],12,0),0)</f>
        <v>0</v>
      </c>
      <c r="AJ206" s="41"/>
      <c r="AK206" s="41">
        <f>IFERROR(VLOOKUP($A206,Program[],13,0),0)</f>
        <v>0</v>
      </c>
      <c r="AL206" s="41"/>
      <c r="AM206" s="41"/>
      <c r="AN206" s="41"/>
      <c r="AO206" s="41"/>
      <c r="AP206" s="41"/>
      <c r="AQ206" s="41"/>
      <c r="AR206" s="41"/>
      <c r="AS206" s="41">
        <f>IFERROR(VLOOKUP($A206,Program[],14,0),0)</f>
        <v>0</v>
      </c>
      <c r="AT206" s="41"/>
      <c r="AU206" s="41"/>
      <c r="AV206" s="41">
        <f>IFERROR(VLOOKUP($A206,Program[],15,0),0)</f>
        <v>0</v>
      </c>
      <c r="AW206" s="41"/>
      <c r="AX206" s="41">
        <f>IFERROR(VLOOKUP($A206,Program[],16,0),0)</f>
        <v>0</v>
      </c>
      <c r="AY206" s="41">
        <f>IFERROR(VLOOKUP($A206,Program[],17,0),0)</f>
        <v>0</v>
      </c>
      <c r="AZ206" s="41">
        <f>IFERROR(VLOOKUP($A206,Program[],18,0),0)</f>
        <v>29464.03</v>
      </c>
      <c r="BA206" s="41">
        <f>IFERROR(VLOOKUP($A206,Program[],19,0),0)</f>
        <v>13186.05</v>
      </c>
      <c r="BB206" s="77">
        <f t="shared" si="59"/>
        <v>0</v>
      </c>
      <c r="BC206" s="41">
        <f>IFERROR(VLOOKUP(A206,Food[],3,0),0)</f>
        <v>13296625.82</v>
      </c>
      <c r="BD206" s="41">
        <f>IFERROR(VLOOKUP($A206,FoodRev[],2,0),0)</f>
        <v>45091.78</v>
      </c>
      <c r="BE206" s="41">
        <f>IFERROR(VLOOKUP($A206,FoodRev[],3,0),0)</f>
        <v>4387886.4800000004</v>
      </c>
      <c r="BF206" s="41">
        <f>IFERROR(VLOOKUP($A206,FoodRev[],4,0),0)</f>
        <v>0</v>
      </c>
      <c r="BG206" s="41">
        <f>IFERROR(VLOOKUP($A206,FoodRev[],5,0),0)</f>
        <v>8241372.3499999996</v>
      </c>
      <c r="BH206" s="41">
        <f>IFERROR(VLOOKUP($A206,FoodRev[],6,0),0)</f>
        <v>0</v>
      </c>
      <c r="BI206" s="41">
        <f>IFERROR(VLOOKUP($A206,FoodRev[],7,0),0)</f>
        <v>0</v>
      </c>
      <c r="BJ206" s="41">
        <f>IFERROR(VLOOKUP($A206,FoodRev[],8,0),0)</f>
        <v>1023095.82</v>
      </c>
      <c r="BK206" s="41">
        <f>IFERROR(VLOOKUP($A206,FoodRev[],9,0),0)</f>
        <v>0</v>
      </c>
      <c r="BL206" s="41">
        <f>IFERROR(VLOOKUP($A206,FoodRev[],10,0),0)</f>
        <v>0</v>
      </c>
      <c r="BM206" s="41">
        <f t="shared" si="60"/>
        <v>13697446.43</v>
      </c>
      <c r="BN206" s="42">
        <f t="shared" si="54"/>
        <v>-400820.60999999905</v>
      </c>
      <c r="BO206" s="78">
        <f t="shared" si="55"/>
        <v>0</v>
      </c>
      <c r="BP206" s="78">
        <f t="shared" si="56"/>
        <v>-400820.60999999905</v>
      </c>
    </row>
    <row r="207" spans="1:68" x14ac:dyDescent="0.25">
      <c r="A207" s="40" t="s">
        <v>222</v>
      </c>
      <c r="B207" s="40" t="s">
        <v>888</v>
      </c>
      <c r="D207" s="203">
        <f t="shared" si="57"/>
        <v>3.7252902984619141E-9</v>
      </c>
      <c r="E207" s="41">
        <f>IFERROR(VLOOKUP(A207,Items[],5,0),0)</f>
        <v>33094248.850000001</v>
      </c>
      <c r="F207" s="42">
        <f t="shared" si="58"/>
        <v>33094248.849999998</v>
      </c>
      <c r="G207" s="41">
        <v>0</v>
      </c>
      <c r="H207" s="41">
        <f>IFERROR(VLOOKUP(A207,Items[],4,0),0)</f>
        <v>36099031.759999998</v>
      </c>
      <c r="I207" s="41">
        <f>IFERROR(VLOOKUP(A207,Community[],4,0),0)</f>
        <v>0</v>
      </c>
      <c r="J207" s="41">
        <f>IFERROR(VLOOKUP(A207,Community[],5,0),0)</f>
        <v>0</v>
      </c>
      <c r="K207" s="41">
        <f>IFERROR(VLOOKUP(A207,Community[],6,0),0)</f>
        <v>306284.37</v>
      </c>
      <c r="L207" s="41">
        <f>IFERROR(VLOOKUP(A207,Community[],7,0),0)</f>
        <v>152486.41999999998</v>
      </c>
      <c r="M207" s="41">
        <f>IFERROR(VLOOKUP(A207,Debt[],3,0),0)</f>
        <v>4530.7299999999996</v>
      </c>
      <c r="N207" s="41">
        <f>IFERROR(VLOOKUP(A207,Debt[],4,0),0)</f>
        <v>33522.269999999997</v>
      </c>
      <c r="O207" s="41">
        <f>IFERROR(VLOOKUP(A207,Debt[],5,0),0)</f>
        <v>0</v>
      </c>
      <c r="P207" s="41">
        <f>IFERROR(VLOOKUP(A207,Items[],3,0),0)</f>
        <v>206509.14</v>
      </c>
      <c r="Q207" s="41">
        <f>IFERROR(VLOOKUP($A207,Federal[],2,0),0)</f>
        <v>1002.28</v>
      </c>
      <c r="R207" s="41">
        <f>IFERROR(VLOOKUP($A207,Federal[],4,0),0)</f>
        <v>1907125.21</v>
      </c>
      <c r="S207" s="41"/>
      <c r="T207" s="47">
        <f>IFERROR(VLOOKUP($A207,Program[],3,0),0)</f>
        <v>0</v>
      </c>
      <c r="U207" s="47"/>
      <c r="V207" s="41">
        <f>IFERROR(VLOOKUP($A207,Program[],4,0),0)</f>
        <v>0</v>
      </c>
      <c r="W207" s="41">
        <f>IFERROR(VLOOKUP($A207,Program[],5,0),0)</f>
        <v>0</v>
      </c>
      <c r="X207" s="41"/>
      <c r="Y207" s="41"/>
      <c r="Z207" s="41"/>
      <c r="AA207" s="41">
        <f>IFERROR(VLOOKUP($A207,Program[],6,0),0)</f>
        <v>0</v>
      </c>
      <c r="AB207" s="41"/>
      <c r="AC207" s="41"/>
      <c r="AD207" s="41">
        <f>IFERROR(VLOOKUP($A207,Program[],7,0),0)</f>
        <v>0</v>
      </c>
      <c r="AE207" s="41">
        <f>IFERROR(VLOOKUP($A207,Program[],8,0),0)</f>
        <v>0</v>
      </c>
      <c r="AF207" s="41">
        <f>IFERROR(VLOOKUP($A207,Program[],9,0),0)</f>
        <v>0</v>
      </c>
      <c r="AG207" s="41">
        <f>IFERROR(VLOOKUP($A207,Program[],10,0),0)</f>
        <v>0</v>
      </c>
      <c r="AH207" s="41">
        <f>IFERROR(VLOOKUP($A207,Program[],11,0),0)</f>
        <v>0</v>
      </c>
      <c r="AI207" s="41">
        <f>IFERROR(VLOOKUP($A207,Program[],12,0),0)</f>
        <v>0</v>
      </c>
      <c r="AJ207" s="41"/>
      <c r="AK207" s="41">
        <f>IFERROR(VLOOKUP($A207,Program[],13,0),0)</f>
        <v>0</v>
      </c>
      <c r="AL207" s="41"/>
      <c r="AM207" s="41"/>
      <c r="AN207" s="41"/>
      <c r="AO207" s="41"/>
      <c r="AP207" s="41"/>
      <c r="AQ207" s="41"/>
      <c r="AR207" s="41"/>
      <c r="AS207" s="41">
        <f>IFERROR(VLOOKUP($A207,Program[],14,0),0)</f>
        <v>0</v>
      </c>
      <c r="AT207" s="41"/>
      <c r="AU207" s="41"/>
      <c r="AV207" s="41">
        <f>IFERROR(VLOOKUP($A207,Program[],15,0),0)</f>
        <v>122753.27</v>
      </c>
      <c r="AW207" s="41"/>
      <c r="AX207" s="41">
        <f>IFERROR(VLOOKUP($A207,Program[],16,0),0)</f>
        <v>0</v>
      </c>
      <c r="AY207" s="41">
        <f>IFERROR(VLOOKUP($A207,Program[],17,0),0)</f>
        <v>0</v>
      </c>
      <c r="AZ207" s="41">
        <f>IFERROR(VLOOKUP($A207,Program[],18,0),0)</f>
        <v>0</v>
      </c>
      <c r="BA207" s="41">
        <f>IFERROR(VLOOKUP($A207,Program[],19,0),0)</f>
        <v>0</v>
      </c>
      <c r="BB207" s="77">
        <f t="shared" si="59"/>
        <v>170151.83000000013</v>
      </c>
      <c r="BC207" s="41">
        <f>IFERROR(VLOOKUP(A207,Food[],3,0),0)</f>
        <v>1344447.76</v>
      </c>
      <c r="BD207" s="41">
        <f>IFERROR(VLOOKUP($A207,FoodRev[],2,0),0)</f>
        <v>216733.14</v>
      </c>
      <c r="BE207" s="41">
        <f>IFERROR(VLOOKUP($A207,FoodRev[],3,0),0)</f>
        <v>299342.62</v>
      </c>
      <c r="BF207" s="41">
        <f>IFERROR(VLOOKUP($A207,FoodRev[],4,0),0)</f>
        <v>0</v>
      </c>
      <c r="BG207" s="41">
        <f>IFERROR(VLOOKUP($A207,FoodRev[],5,0),0)</f>
        <v>580897.75</v>
      </c>
      <c r="BH207" s="41">
        <f>IFERROR(VLOOKUP($A207,FoodRev[],6,0),0)</f>
        <v>0</v>
      </c>
      <c r="BI207" s="41">
        <f>IFERROR(VLOOKUP($A207,FoodRev[],7,0),0)</f>
        <v>0</v>
      </c>
      <c r="BJ207" s="41">
        <f>IFERROR(VLOOKUP($A207,FoodRev[],8,0),0)</f>
        <v>77322.42</v>
      </c>
      <c r="BK207" s="41">
        <f>IFERROR(VLOOKUP($A207,FoodRev[],9,0),0)</f>
        <v>0</v>
      </c>
      <c r="BL207" s="41">
        <f>IFERROR(VLOOKUP($A207,FoodRev[],10,0),0)</f>
        <v>0</v>
      </c>
      <c r="BM207" s="41">
        <f t="shared" si="60"/>
        <v>1174295.93</v>
      </c>
      <c r="BN207" s="42">
        <f t="shared" si="54"/>
        <v>170151.83000000013</v>
      </c>
      <c r="BO207" s="78">
        <f t="shared" si="55"/>
        <v>170151.83000000013</v>
      </c>
      <c r="BP207" s="78">
        <f t="shared" si="56"/>
        <v>0</v>
      </c>
    </row>
    <row r="208" spans="1:68" x14ac:dyDescent="0.25">
      <c r="A208" s="40" t="s">
        <v>156</v>
      </c>
      <c r="B208" s="40" t="s">
        <v>889</v>
      </c>
      <c r="D208" s="203">
        <f t="shared" si="57"/>
        <v>0</v>
      </c>
      <c r="E208" s="41">
        <f>IFERROR(VLOOKUP(A208,Items[],5,0),0)</f>
        <v>71591660.140000001</v>
      </c>
      <c r="F208" s="42">
        <f t="shared" si="58"/>
        <v>71591660.140000001</v>
      </c>
      <c r="G208" s="41">
        <v>0</v>
      </c>
      <c r="H208" s="41">
        <f>IFERROR(VLOOKUP(A208,Items[],4,0),0)</f>
        <v>76444232.620000005</v>
      </c>
      <c r="I208" s="41">
        <f>IFERROR(VLOOKUP(A208,Community[],4,0),0)</f>
        <v>0</v>
      </c>
      <c r="J208" s="41">
        <f>IFERROR(VLOOKUP(A208,Community[],5,0),0)</f>
        <v>0</v>
      </c>
      <c r="K208" s="41">
        <f>IFERROR(VLOOKUP(A208,Community[],6,0),0)</f>
        <v>270075.05</v>
      </c>
      <c r="L208" s="41">
        <f>IFERROR(VLOOKUP(A208,Community[],7,0),0)</f>
        <v>932479.26</v>
      </c>
      <c r="M208" s="41">
        <f>IFERROR(VLOOKUP(A208,Debt[],3,0),0)</f>
        <v>4159.74</v>
      </c>
      <c r="N208" s="41">
        <f>IFERROR(VLOOKUP(A208,Debt[],4,0),0)</f>
        <v>41712.660000000003</v>
      </c>
      <c r="O208" s="41">
        <f>IFERROR(VLOOKUP(A208,Debt[],5,0),0)</f>
        <v>0</v>
      </c>
      <c r="P208" s="41">
        <f>IFERROR(VLOOKUP(A208,Items[],3,0),0)</f>
        <v>305691.21000000002</v>
      </c>
      <c r="Q208" s="41">
        <f>IFERROR(VLOOKUP($A208,Federal[],2,0),0)</f>
        <v>2195.0100000000002</v>
      </c>
      <c r="R208" s="41">
        <f>IFERROR(VLOOKUP($A208,Federal[],4,0),0)</f>
        <v>2468016.61</v>
      </c>
      <c r="S208" s="41"/>
      <c r="T208" s="47">
        <f>IFERROR(VLOOKUP($A208,Program[],3,0),0)</f>
        <v>0</v>
      </c>
      <c r="U208" s="47"/>
      <c r="V208" s="41">
        <f>IFERROR(VLOOKUP($A208,Program[],4,0),0)</f>
        <v>0</v>
      </c>
      <c r="W208" s="41">
        <f>IFERROR(VLOOKUP($A208,Program[],5,0),0)</f>
        <v>0</v>
      </c>
      <c r="X208" s="41"/>
      <c r="Y208" s="41"/>
      <c r="Z208" s="41"/>
      <c r="AA208" s="41">
        <f>IFERROR(VLOOKUP($A208,Program[],6,0),0)</f>
        <v>0</v>
      </c>
      <c r="AB208" s="41"/>
      <c r="AC208" s="41"/>
      <c r="AD208" s="41">
        <f>IFERROR(VLOOKUP($A208,Program[],7,0),0)</f>
        <v>0</v>
      </c>
      <c r="AE208" s="41">
        <f>IFERROR(VLOOKUP($A208,Program[],8,0),0)</f>
        <v>0</v>
      </c>
      <c r="AF208" s="41">
        <f>IFERROR(VLOOKUP($A208,Program[],9,0),0)</f>
        <v>0</v>
      </c>
      <c r="AG208" s="41">
        <f>IFERROR(VLOOKUP($A208,Program[],10,0),0)</f>
        <v>0</v>
      </c>
      <c r="AH208" s="41">
        <f>IFERROR(VLOOKUP($A208,Program[],11,0),0)</f>
        <v>0</v>
      </c>
      <c r="AI208" s="41">
        <f>IFERROR(VLOOKUP($A208,Program[],12,0),0)</f>
        <v>0</v>
      </c>
      <c r="AJ208" s="41"/>
      <c r="AK208" s="41">
        <f>IFERROR(VLOOKUP($A208,Program[],13,0),0)</f>
        <v>0</v>
      </c>
      <c r="AL208" s="41"/>
      <c r="AM208" s="41"/>
      <c r="AN208" s="41"/>
      <c r="AO208" s="41"/>
      <c r="AP208" s="41"/>
      <c r="AQ208" s="41"/>
      <c r="AR208" s="41"/>
      <c r="AS208" s="41">
        <f>IFERROR(VLOOKUP($A208,Program[],14,0),0)</f>
        <v>0</v>
      </c>
      <c r="AT208" s="41"/>
      <c r="AU208" s="41"/>
      <c r="AV208" s="41">
        <f>IFERROR(VLOOKUP($A208,Program[],15,0),0)</f>
        <v>0</v>
      </c>
      <c r="AW208" s="41"/>
      <c r="AX208" s="41">
        <f>IFERROR(VLOOKUP($A208,Program[],16,0),0)</f>
        <v>0</v>
      </c>
      <c r="AY208" s="41">
        <f>IFERROR(VLOOKUP($A208,Program[],17,0),0)</f>
        <v>0</v>
      </c>
      <c r="AZ208" s="41">
        <f>IFERROR(VLOOKUP($A208,Program[],18,0),0)</f>
        <v>0</v>
      </c>
      <c r="BA208" s="41">
        <f>IFERROR(VLOOKUP($A208,Program[],19,0),0)</f>
        <v>0</v>
      </c>
      <c r="BB208" s="77">
        <f t="shared" si="59"/>
        <v>400656.71999999945</v>
      </c>
      <c r="BC208" s="41">
        <f>IFERROR(VLOOKUP(A208,Food[],3,0),0)</f>
        <v>2147929.8399999994</v>
      </c>
      <c r="BD208" s="41">
        <f>IFERROR(VLOOKUP($A208,FoodRev[],2,0),0)</f>
        <v>617599.68999999994</v>
      </c>
      <c r="BE208" s="41">
        <f>IFERROR(VLOOKUP($A208,FoodRev[],3,0),0)</f>
        <v>150257.54999999999</v>
      </c>
      <c r="BF208" s="41">
        <f>IFERROR(VLOOKUP($A208,FoodRev[],4,0),0)</f>
        <v>0</v>
      </c>
      <c r="BG208" s="41">
        <f>IFERROR(VLOOKUP($A208,FoodRev[],5,0),0)</f>
        <v>809076.69</v>
      </c>
      <c r="BH208" s="41">
        <f>IFERROR(VLOOKUP($A208,FoodRev[],6,0),0)</f>
        <v>0</v>
      </c>
      <c r="BI208" s="41">
        <f>IFERROR(VLOOKUP($A208,FoodRev[],7,0),0)</f>
        <v>0</v>
      </c>
      <c r="BJ208" s="41">
        <f>IFERROR(VLOOKUP($A208,FoodRev[],8,0),0)</f>
        <v>109953.49</v>
      </c>
      <c r="BK208" s="41">
        <f>IFERROR(VLOOKUP($A208,FoodRev[],9,0),0)</f>
        <v>60385.7</v>
      </c>
      <c r="BL208" s="41">
        <f>IFERROR(VLOOKUP($A208,FoodRev[],10,0),0)</f>
        <v>0</v>
      </c>
      <c r="BM208" s="41">
        <f t="shared" si="60"/>
        <v>1747273.1199999999</v>
      </c>
      <c r="BN208" s="42">
        <f t="shared" si="54"/>
        <v>400656.71999999945</v>
      </c>
      <c r="BO208" s="78">
        <f t="shared" si="55"/>
        <v>400656.71999999945</v>
      </c>
      <c r="BP208" s="78">
        <f t="shared" si="56"/>
        <v>0</v>
      </c>
    </row>
    <row r="209" spans="1:137" x14ac:dyDescent="0.25">
      <c r="A209" s="40" t="s">
        <v>152</v>
      </c>
      <c r="B209" s="40" t="s">
        <v>890</v>
      </c>
      <c r="D209" s="203">
        <f t="shared" si="57"/>
        <v>-1.4901161193847656E-8</v>
      </c>
      <c r="E209" s="41">
        <f>IFERROR(VLOOKUP(A209,Items[],5,0),0)</f>
        <v>69556202.579999998</v>
      </c>
      <c r="F209" s="42">
        <f t="shared" si="58"/>
        <v>69556202.580000013</v>
      </c>
      <c r="G209" s="41">
        <v>0</v>
      </c>
      <c r="H209" s="41">
        <f>IFERROR(VLOOKUP(A209,Items[],4,0),0)</f>
        <v>73816648.310000002</v>
      </c>
      <c r="I209" s="41">
        <f>IFERROR(VLOOKUP(A209,Community[],4,0),0)</f>
        <v>0</v>
      </c>
      <c r="J209" s="41">
        <f>IFERROR(VLOOKUP(A209,Community[],5,0),0)</f>
        <v>0</v>
      </c>
      <c r="K209" s="41">
        <f>IFERROR(VLOOKUP(A209,Community[],6,0),0)</f>
        <v>451812.85</v>
      </c>
      <c r="L209" s="41">
        <f>IFERROR(VLOOKUP(A209,Community[],7,0),0)</f>
        <v>38163.300000000003</v>
      </c>
      <c r="M209" s="41">
        <f>IFERROR(VLOOKUP(A209,Debt[],3,0),0)</f>
        <v>754.3</v>
      </c>
      <c r="N209" s="41">
        <f>IFERROR(VLOOKUP(A209,Debt[],4,0),0)</f>
        <v>13377.18</v>
      </c>
      <c r="O209" s="41">
        <f>IFERROR(VLOOKUP(A209,Debt[],5,0),0)</f>
        <v>0</v>
      </c>
      <c r="P209" s="41">
        <f>IFERROR(VLOOKUP(A209,Items[],3,0),0)</f>
        <v>114198.17</v>
      </c>
      <c r="Q209" s="41">
        <f>IFERROR(VLOOKUP($A209,Federal[],2,0),0)</f>
        <v>2024.2</v>
      </c>
      <c r="R209" s="41">
        <f>IFERROR(VLOOKUP($A209,Federal[],4,0),0)</f>
        <v>3073602.72</v>
      </c>
      <c r="S209" s="41"/>
      <c r="T209" s="47">
        <f>IFERROR(VLOOKUP($A209,Program[],3,0),0)</f>
        <v>0</v>
      </c>
      <c r="U209" s="47"/>
      <c r="V209" s="41">
        <f>IFERROR(VLOOKUP($A209,Program[],4,0),0)</f>
        <v>0</v>
      </c>
      <c r="W209" s="41">
        <f>IFERROR(VLOOKUP($A209,Program[],5,0),0)</f>
        <v>0</v>
      </c>
      <c r="X209" s="41"/>
      <c r="Y209" s="41"/>
      <c r="Z209" s="41"/>
      <c r="AA209" s="41">
        <f>IFERROR(VLOOKUP($A209,Program[],6,0),0)</f>
        <v>0</v>
      </c>
      <c r="AB209" s="41"/>
      <c r="AC209" s="41"/>
      <c r="AD209" s="41">
        <f>IFERROR(VLOOKUP($A209,Program[],7,0),0)</f>
        <v>0</v>
      </c>
      <c r="AE209" s="41">
        <f>IFERROR(VLOOKUP($A209,Program[],8,0),0)</f>
        <v>0</v>
      </c>
      <c r="AF209" s="41">
        <f>IFERROR(VLOOKUP($A209,Program[],9,0),0)</f>
        <v>0</v>
      </c>
      <c r="AG209" s="41">
        <f>IFERROR(VLOOKUP($A209,Program[],10,0),0)</f>
        <v>0</v>
      </c>
      <c r="AH209" s="41">
        <f>IFERROR(VLOOKUP($A209,Program[],11,0),0)</f>
        <v>0</v>
      </c>
      <c r="AI209" s="41">
        <f>IFERROR(VLOOKUP($A209,Program[],12,0),0)</f>
        <v>0</v>
      </c>
      <c r="AJ209" s="41"/>
      <c r="AK209" s="41">
        <f>IFERROR(VLOOKUP($A209,Program[],13,0),0)</f>
        <v>0</v>
      </c>
      <c r="AL209" s="41"/>
      <c r="AM209" s="41"/>
      <c r="AN209" s="41"/>
      <c r="AO209" s="41"/>
      <c r="AP209" s="41"/>
      <c r="AQ209" s="41"/>
      <c r="AR209" s="41"/>
      <c r="AS209" s="41">
        <f>IFERROR(VLOOKUP($A209,Program[],14,0),0)</f>
        <v>0</v>
      </c>
      <c r="AT209" s="41"/>
      <c r="AU209" s="41"/>
      <c r="AV209" s="41">
        <f>IFERROR(VLOOKUP($A209,Program[],15,0),0)</f>
        <v>65236.76</v>
      </c>
      <c r="AW209" s="41"/>
      <c r="AX209" s="41">
        <f>IFERROR(VLOOKUP($A209,Program[],16,0),0)</f>
        <v>0</v>
      </c>
      <c r="AY209" s="41">
        <f>IFERROR(VLOOKUP($A209,Program[],17,0),0)</f>
        <v>2750.98</v>
      </c>
      <c r="AZ209" s="41">
        <f>IFERROR(VLOOKUP($A209,Program[],18,0),0)</f>
        <v>0</v>
      </c>
      <c r="BA209" s="41">
        <f>IFERROR(VLOOKUP($A209,Program[],19,0),0)</f>
        <v>0</v>
      </c>
      <c r="BB209" s="77">
        <f t="shared" si="59"/>
        <v>430779.01999999973</v>
      </c>
      <c r="BC209" s="41">
        <f>IFERROR(VLOOKUP(A209,Food[],3,0),0)</f>
        <v>2437902.9499999997</v>
      </c>
      <c r="BD209" s="41">
        <f>IFERROR(VLOOKUP($A209,FoodRev[],2,0),0)</f>
        <v>76369.320000000007</v>
      </c>
      <c r="BE209" s="41">
        <f>IFERROR(VLOOKUP($A209,FoodRev[],3,0),0)</f>
        <v>558131.43000000005</v>
      </c>
      <c r="BF209" s="41">
        <f>IFERROR(VLOOKUP($A209,FoodRev[],4,0),0)</f>
        <v>0</v>
      </c>
      <c r="BG209" s="41">
        <f>IFERROR(VLOOKUP($A209,FoodRev[],5,0),0)</f>
        <v>1265033</v>
      </c>
      <c r="BH209" s="41">
        <f>IFERROR(VLOOKUP($A209,FoodRev[],6,0),0)</f>
        <v>0</v>
      </c>
      <c r="BI209" s="41">
        <f>IFERROR(VLOOKUP($A209,FoodRev[],7,0),0)</f>
        <v>0</v>
      </c>
      <c r="BJ209" s="41">
        <f>IFERROR(VLOOKUP($A209,FoodRev[],8,0),0)</f>
        <v>107590.18</v>
      </c>
      <c r="BK209" s="41">
        <f>IFERROR(VLOOKUP($A209,FoodRev[],9,0),0)</f>
        <v>0</v>
      </c>
      <c r="BL209" s="41">
        <f>IFERROR(VLOOKUP($A209,FoodRev[],10,0),0)</f>
        <v>0</v>
      </c>
      <c r="BM209" s="41">
        <f t="shared" si="60"/>
        <v>2007123.93</v>
      </c>
      <c r="BN209" s="42">
        <f t="shared" si="54"/>
        <v>430779.01999999973</v>
      </c>
      <c r="BO209" s="78">
        <f t="shared" si="55"/>
        <v>430779.01999999973</v>
      </c>
      <c r="BP209" s="78">
        <f t="shared" si="56"/>
        <v>0</v>
      </c>
    </row>
    <row r="210" spans="1:137" x14ac:dyDescent="0.25">
      <c r="A210" s="45" t="s">
        <v>1154</v>
      </c>
      <c r="B210" s="40" t="s">
        <v>1163</v>
      </c>
      <c r="D210" s="203">
        <f t="shared" si="57"/>
        <v>0</v>
      </c>
      <c r="E210" s="41">
        <f>IFERROR(VLOOKUP(A210,Items[],5,0),0)</f>
        <v>9723551.6400000006</v>
      </c>
      <c r="F210" s="42">
        <f t="shared" si="58"/>
        <v>9723551.6400000006</v>
      </c>
      <c r="G210" s="41">
        <v>0</v>
      </c>
      <c r="H210" s="41">
        <f>IFERROR(VLOOKUP(A210,Items[],4,0),0)</f>
        <v>12444394.5</v>
      </c>
      <c r="I210" s="41">
        <f>IFERROR(VLOOKUP(A210,Community[],4,0),0)</f>
        <v>0</v>
      </c>
      <c r="J210" s="41">
        <f>IFERROR(VLOOKUP(A210,Community[],5,0),0)</f>
        <v>0</v>
      </c>
      <c r="K210" s="41">
        <f>IFERROR(VLOOKUP(A210,Community[],6,0),0)</f>
        <v>1780221.4499999997</v>
      </c>
      <c r="L210" s="41">
        <f>IFERROR(VLOOKUP(A210,Community[],7,0),0)</f>
        <v>0</v>
      </c>
      <c r="M210" s="41">
        <f>IFERROR(VLOOKUP(A210,Debt[],3,0),0)</f>
        <v>0</v>
      </c>
      <c r="N210" s="41">
        <f>IFERROR(VLOOKUP(A210,Debt[],4,0),0)</f>
        <v>0</v>
      </c>
      <c r="O210" s="41">
        <f>IFERROR(VLOOKUP(A210,Debt[],5,0),0)</f>
        <v>0</v>
      </c>
      <c r="P210" s="41">
        <f>IFERROR(VLOOKUP(A210,Items[],3,0),0)</f>
        <v>83156.600000000006</v>
      </c>
      <c r="Q210" s="41">
        <f>IFERROR(VLOOKUP($A210,Federal[],2,0),0)</f>
        <v>0</v>
      </c>
      <c r="R210" s="41">
        <f>IFERROR(VLOOKUP($A210,Federal[],4,0),0)</f>
        <v>699083.28</v>
      </c>
      <c r="S210" s="41"/>
      <c r="T210" s="47">
        <f>IFERROR(VLOOKUP($A210,Program[],3,0),0)</f>
        <v>0</v>
      </c>
      <c r="U210" s="47"/>
      <c r="V210" s="41">
        <f>IFERROR(VLOOKUP($A210,Program[],4,0),0)</f>
        <v>0</v>
      </c>
      <c r="W210" s="41">
        <f>IFERROR(VLOOKUP($A210,Program[],5,0),0)</f>
        <v>0</v>
      </c>
      <c r="X210" s="41"/>
      <c r="Y210" s="41"/>
      <c r="Z210" s="41"/>
      <c r="AA210" s="41">
        <f>IFERROR(VLOOKUP($A210,Program[],6,0),0)</f>
        <v>0</v>
      </c>
      <c r="AB210" s="41"/>
      <c r="AC210" s="41"/>
      <c r="AD210" s="41">
        <f>IFERROR(VLOOKUP($A210,Program[],7,0),0)</f>
        <v>0</v>
      </c>
      <c r="AE210" s="41">
        <f>IFERROR(VLOOKUP($A210,Program[],8,0),0)</f>
        <v>0</v>
      </c>
      <c r="AF210" s="41">
        <f>IFERROR(VLOOKUP($A210,Program[],9,0),0)</f>
        <v>0</v>
      </c>
      <c r="AG210" s="41">
        <f>IFERROR(VLOOKUP($A210,Program[],10,0),0)</f>
        <v>0</v>
      </c>
      <c r="AH210" s="41">
        <f>IFERROR(VLOOKUP($A210,Program[],11,0),0)</f>
        <v>0</v>
      </c>
      <c r="AI210" s="41">
        <f>IFERROR(VLOOKUP($A210,Program[],12,0),0)</f>
        <v>0</v>
      </c>
      <c r="AJ210" s="41"/>
      <c r="AK210" s="41">
        <f>IFERROR(VLOOKUP($A210,Program[],13,0),0)</f>
        <v>0</v>
      </c>
      <c r="AL210" s="41"/>
      <c r="AM210" s="41"/>
      <c r="AN210" s="41"/>
      <c r="AO210" s="41"/>
      <c r="AP210" s="41"/>
      <c r="AQ210" s="41"/>
      <c r="AR210" s="41"/>
      <c r="AS210" s="41">
        <f>IFERROR(VLOOKUP($A210,Program[],14,0),0)</f>
        <v>0</v>
      </c>
      <c r="AT210" s="41"/>
      <c r="AU210" s="41"/>
      <c r="AV210" s="41">
        <f>IFERROR(VLOOKUP($A210,Program[],15,0),0)</f>
        <v>0</v>
      </c>
      <c r="AW210" s="41"/>
      <c r="AX210" s="41">
        <f>IFERROR(VLOOKUP($A210,Program[],16,0),0)</f>
        <v>0</v>
      </c>
      <c r="AY210" s="41">
        <f>IFERROR(VLOOKUP($A210,Program[],17,0),0)</f>
        <v>0</v>
      </c>
      <c r="AZ210" s="41">
        <f>IFERROR(VLOOKUP($A210,Program[],18,0),0)</f>
        <v>0</v>
      </c>
      <c r="BA210" s="41">
        <f>IFERROR(VLOOKUP($A210,Program[],19,0),0)</f>
        <v>0</v>
      </c>
      <c r="BB210" s="77">
        <f t="shared" si="59"/>
        <v>10364.539999999979</v>
      </c>
      <c r="BC210" s="41">
        <f>IFERROR(VLOOKUP(A210,Food[],3,0),0)</f>
        <v>572226.11</v>
      </c>
      <c r="BD210" s="41">
        <f>IFERROR(VLOOKUP($A210,FoodRev[],2,0),0)</f>
        <v>0</v>
      </c>
      <c r="BE210" s="41">
        <f>IFERROR(VLOOKUP($A210,FoodRev[],3,0),0)</f>
        <v>158381.53</v>
      </c>
      <c r="BF210" s="41">
        <f>IFERROR(VLOOKUP($A210,FoodRev[],4,0),0)</f>
        <v>0</v>
      </c>
      <c r="BG210" s="41">
        <f>IFERROR(VLOOKUP($A210,FoodRev[],5,0),0)</f>
        <v>403480.04</v>
      </c>
      <c r="BH210" s="41">
        <f>IFERROR(VLOOKUP($A210,FoodRev[],6,0),0)</f>
        <v>0</v>
      </c>
      <c r="BI210" s="41">
        <f>IFERROR(VLOOKUP($A210,FoodRev[],7,0),0)</f>
        <v>0</v>
      </c>
      <c r="BJ210" s="41">
        <f>IFERROR(VLOOKUP($A210,FoodRev[],8,0),0)</f>
        <v>0</v>
      </c>
      <c r="BK210" s="41">
        <f>IFERROR(VLOOKUP($A210,FoodRev[],9,0),0)</f>
        <v>0</v>
      </c>
      <c r="BL210" s="41">
        <f>IFERROR(VLOOKUP($A210,FoodRev[],10,0),0)</f>
        <v>0</v>
      </c>
      <c r="BM210" s="41">
        <f t="shared" si="60"/>
        <v>561861.56999999995</v>
      </c>
      <c r="BN210" s="42">
        <f t="shared" si="54"/>
        <v>10364.539999999979</v>
      </c>
      <c r="BO210" s="78">
        <f t="shared" si="55"/>
        <v>10364.539999999979</v>
      </c>
      <c r="BP210" s="78">
        <f t="shared" si="56"/>
        <v>0</v>
      </c>
    </row>
    <row r="211" spans="1:137" x14ac:dyDescent="0.25">
      <c r="A211" s="45" t="s">
        <v>1193</v>
      </c>
      <c r="B211" s="40" t="s">
        <v>1225</v>
      </c>
      <c r="D211" s="203">
        <f t="shared" si="57"/>
        <v>-1.862645149230957E-9</v>
      </c>
      <c r="E211" s="41">
        <f>IFERROR(VLOOKUP(A211,Items[],5,0),0)</f>
        <v>4794193.51</v>
      </c>
      <c r="F211" s="42">
        <f t="shared" si="58"/>
        <v>4794193.5100000016</v>
      </c>
      <c r="G211" s="41">
        <v>0</v>
      </c>
      <c r="H211" s="41">
        <f>IFERROR(VLOOKUP(A211,Items[],4,0),0)</f>
        <v>5351626.9400000004</v>
      </c>
      <c r="I211" s="41">
        <f>IFERROR(VLOOKUP(A211,Community[],4,0),0)</f>
        <v>0</v>
      </c>
      <c r="J211" s="41">
        <f>IFERROR(VLOOKUP(A211,Community[],5,0),0)</f>
        <v>0</v>
      </c>
      <c r="K211" s="41">
        <f>IFERROR(VLOOKUP(A211,Community[],6,0),0)</f>
        <v>0</v>
      </c>
      <c r="L211" s="41">
        <f>IFERROR(VLOOKUP(A211,Community[],7,0),0)</f>
        <v>0</v>
      </c>
      <c r="M211" s="41">
        <f>IFERROR(VLOOKUP(A211,Debt[],3,0),0)</f>
        <v>0</v>
      </c>
      <c r="N211" s="41">
        <f>IFERROR(VLOOKUP(A211,Debt[],4,0),0)</f>
        <v>0</v>
      </c>
      <c r="O211" s="41">
        <f>IFERROR(VLOOKUP(A211,Debt[],5,0),0)</f>
        <v>0</v>
      </c>
      <c r="P211" s="41">
        <f>IFERROR(VLOOKUP(A211,Items[],3,0),0)</f>
        <v>0</v>
      </c>
      <c r="Q211" s="41">
        <f>IFERROR(VLOOKUP($A211,Federal[],2,0),0)</f>
        <v>0</v>
      </c>
      <c r="R211" s="41">
        <f>IFERROR(VLOOKUP($A211,Federal[],4,0),0)</f>
        <v>507302.01</v>
      </c>
      <c r="S211" s="41"/>
      <c r="T211" s="47">
        <f>IFERROR(VLOOKUP($A211,Program[],3,0),0)</f>
        <v>0</v>
      </c>
      <c r="U211" s="47"/>
      <c r="V211" s="41">
        <f>IFERROR(VLOOKUP($A211,Program[],4,0),0)</f>
        <v>0</v>
      </c>
      <c r="W211" s="41">
        <f>IFERROR(VLOOKUP($A211,Program[],5,0),0)</f>
        <v>0</v>
      </c>
      <c r="X211" s="41"/>
      <c r="Y211" s="41"/>
      <c r="Z211" s="41"/>
      <c r="AA211" s="41">
        <f>IFERROR(VLOOKUP($A211,Program[],6,0),0)</f>
        <v>0</v>
      </c>
      <c r="AB211" s="41"/>
      <c r="AC211" s="41"/>
      <c r="AD211" s="41">
        <f>IFERROR(VLOOKUP($A211,Program[],7,0),0)</f>
        <v>0</v>
      </c>
      <c r="AE211" s="41">
        <f>IFERROR(VLOOKUP($A211,Program[],8,0),0)</f>
        <v>0</v>
      </c>
      <c r="AF211" s="41">
        <f>IFERROR(VLOOKUP($A211,Program[],9,0),0)</f>
        <v>0</v>
      </c>
      <c r="AG211" s="41">
        <f>IFERROR(VLOOKUP($A211,Program[],10,0),0)</f>
        <v>0</v>
      </c>
      <c r="AH211" s="41">
        <f>IFERROR(VLOOKUP($A211,Program[],11,0),0)</f>
        <v>0</v>
      </c>
      <c r="AI211" s="41">
        <f>IFERROR(VLOOKUP($A211,Program[],12,0),0)</f>
        <v>0</v>
      </c>
      <c r="AJ211" s="41"/>
      <c r="AK211" s="41">
        <f>IFERROR(VLOOKUP($A211,Program[],13,0),0)</f>
        <v>0</v>
      </c>
      <c r="AL211" s="41"/>
      <c r="AM211" s="41"/>
      <c r="AN211" s="41"/>
      <c r="AO211" s="41"/>
      <c r="AP211" s="41"/>
      <c r="AQ211" s="41"/>
      <c r="AR211" s="41"/>
      <c r="AS211" s="41">
        <f>IFERROR(VLOOKUP($A211,Program[],14,0),0)</f>
        <v>0</v>
      </c>
      <c r="AT211" s="41"/>
      <c r="AU211" s="41"/>
      <c r="AV211" s="41">
        <f>IFERROR(VLOOKUP($A211,Program[],15,0),0)</f>
        <v>0</v>
      </c>
      <c r="AW211" s="41"/>
      <c r="AX211" s="41">
        <f>IFERROR(VLOOKUP($A211,Program[],16,0),0)</f>
        <v>0</v>
      </c>
      <c r="AY211" s="41">
        <f>IFERROR(VLOOKUP($A211,Program[],17,0),0)</f>
        <v>0</v>
      </c>
      <c r="AZ211" s="41">
        <f>IFERROR(VLOOKUP($A211,Program[],18,0),0)</f>
        <v>0</v>
      </c>
      <c r="BA211" s="41">
        <f>IFERROR(VLOOKUP($A211,Program[],19,0),0)</f>
        <v>0</v>
      </c>
      <c r="BB211" s="77">
        <f t="shared" si="59"/>
        <v>37128.780000000028</v>
      </c>
      <c r="BC211" s="41">
        <f>IFERROR(VLOOKUP(A211,Food[],3,0),0)</f>
        <v>209898.02000000002</v>
      </c>
      <c r="BD211" s="41">
        <f>IFERROR(VLOOKUP($A211,FoodRev[],2,0),0)</f>
        <v>0</v>
      </c>
      <c r="BE211" s="41">
        <f>IFERROR(VLOOKUP($A211,FoodRev[],3,0),0)</f>
        <v>50131.42</v>
      </c>
      <c r="BF211" s="41">
        <f>IFERROR(VLOOKUP($A211,FoodRev[],4,0),0)</f>
        <v>0</v>
      </c>
      <c r="BG211" s="41">
        <f>IFERROR(VLOOKUP($A211,FoodRev[],5,0),0)</f>
        <v>122637.82</v>
      </c>
      <c r="BH211" s="41">
        <f>IFERROR(VLOOKUP($A211,FoodRev[],6,0),0)</f>
        <v>0</v>
      </c>
      <c r="BI211" s="41">
        <f>IFERROR(VLOOKUP($A211,FoodRev[],7,0),0)</f>
        <v>0</v>
      </c>
      <c r="BJ211" s="41">
        <f>IFERROR(VLOOKUP($A211,FoodRev[],8,0),0)</f>
        <v>0</v>
      </c>
      <c r="BK211" s="41">
        <f>IFERROR(VLOOKUP($A211,FoodRev[],9,0),0)</f>
        <v>0</v>
      </c>
      <c r="BL211" s="41">
        <f>IFERROR(VLOOKUP($A211,FoodRev[],10,0),0)</f>
        <v>0</v>
      </c>
      <c r="BM211" s="41">
        <f t="shared" ref="BM211" si="61">SUM(BD211:BL211)</f>
        <v>172769.24</v>
      </c>
      <c r="BN211" s="42">
        <f t="shared" si="54"/>
        <v>37128.780000000028</v>
      </c>
      <c r="BO211" s="78">
        <f t="shared" ref="BO211" si="62">IF(BN211&lt;0,0,BN211)</f>
        <v>37128.780000000028</v>
      </c>
      <c r="BP211" s="78">
        <f t="shared" ref="BP211" si="63">IF(BN211&lt;0,BN211,0)</f>
        <v>0</v>
      </c>
    </row>
    <row r="212" spans="1:137" x14ac:dyDescent="0.25">
      <c r="A212" s="43" t="s">
        <v>514</v>
      </c>
      <c r="B212" s="43" t="s">
        <v>1018</v>
      </c>
      <c r="D212" s="203">
        <f t="shared" si="57"/>
        <v>0</v>
      </c>
      <c r="E212" s="41">
        <f>IFERROR(VLOOKUP(A212,Items[],5,0),0)</f>
        <v>3814578.19</v>
      </c>
      <c r="F212" s="42">
        <f t="shared" si="58"/>
        <v>3814578.19</v>
      </c>
      <c r="G212" s="41">
        <v>0</v>
      </c>
      <c r="H212" s="41">
        <f>IFERROR(VLOOKUP(A212,Items[],4,0),0)</f>
        <v>3967697.59</v>
      </c>
      <c r="I212" s="41">
        <f>IFERROR(VLOOKUP(A212,Community[],4,0),0)</f>
        <v>0</v>
      </c>
      <c r="J212" s="41">
        <f>IFERROR(VLOOKUP(A212,Community[],5,0),0)</f>
        <v>0</v>
      </c>
      <c r="K212" s="41">
        <f>IFERROR(VLOOKUP(A212,Community[],6,0),0)</f>
        <v>0</v>
      </c>
      <c r="L212" s="41">
        <f>IFERROR(VLOOKUP(A212,Community[],7,0),0)</f>
        <v>0</v>
      </c>
      <c r="M212" s="41">
        <f>IFERROR(VLOOKUP(A212,Debt[],3,0),0)</f>
        <v>0</v>
      </c>
      <c r="N212" s="41">
        <f>IFERROR(VLOOKUP(A212,Debt[],4,0),0)</f>
        <v>0</v>
      </c>
      <c r="O212" s="41">
        <f>IFERROR(VLOOKUP(A212,Debt[],5,0),0)</f>
        <v>0</v>
      </c>
      <c r="P212" s="41">
        <f>IFERROR(VLOOKUP(A212,Items[],3,0),0)</f>
        <v>0</v>
      </c>
      <c r="Q212" s="41">
        <f>IFERROR(VLOOKUP($A212,Federal[],2,0),0)</f>
        <v>0</v>
      </c>
      <c r="R212" s="41">
        <f>IFERROR(VLOOKUP($A212,Federal[],4,0),0)</f>
        <v>141540.70000000001</v>
      </c>
      <c r="S212" s="41"/>
      <c r="T212" s="47">
        <f>IFERROR(VLOOKUP($A212,Program[],3,0),0)</f>
        <v>0</v>
      </c>
      <c r="U212" s="47"/>
      <c r="V212" s="41">
        <f>IFERROR(VLOOKUP($A212,Program[],4,0),0)</f>
        <v>0</v>
      </c>
      <c r="W212" s="41">
        <f>IFERROR(VLOOKUP($A212,Program[],5,0),0)</f>
        <v>0</v>
      </c>
      <c r="X212" s="41"/>
      <c r="Y212" s="41"/>
      <c r="Z212" s="41"/>
      <c r="AA212" s="41">
        <f>IFERROR(VLOOKUP($A212,Program[],6,0),0)</f>
        <v>0</v>
      </c>
      <c r="AB212" s="41"/>
      <c r="AC212" s="41"/>
      <c r="AD212" s="41">
        <f>IFERROR(VLOOKUP($A212,Program[],7,0),0)</f>
        <v>0</v>
      </c>
      <c r="AE212" s="41">
        <f>IFERROR(VLOOKUP($A212,Program[],8,0),0)</f>
        <v>0</v>
      </c>
      <c r="AF212" s="41">
        <f>IFERROR(VLOOKUP($A212,Program[],9,0),0)</f>
        <v>0</v>
      </c>
      <c r="AG212" s="41">
        <f>IFERROR(VLOOKUP($A212,Program[],10,0),0)</f>
        <v>0</v>
      </c>
      <c r="AH212" s="41">
        <f>IFERROR(VLOOKUP($A212,Program[],11,0),0)</f>
        <v>0</v>
      </c>
      <c r="AI212" s="41">
        <f>IFERROR(VLOOKUP($A212,Program[],12,0),0)</f>
        <v>0</v>
      </c>
      <c r="AJ212" s="41"/>
      <c r="AK212" s="41">
        <f>IFERROR(VLOOKUP($A212,Program[],13,0),0)</f>
        <v>0</v>
      </c>
      <c r="AL212" s="41"/>
      <c r="AM212" s="41"/>
      <c r="AN212" s="41"/>
      <c r="AO212" s="41"/>
      <c r="AP212" s="41"/>
      <c r="AQ212" s="41"/>
      <c r="AR212" s="41"/>
      <c r="AS212" s="41">
        <f>IFERROR(VLOOKUP($A212,Program[],14,0),0)</f>
        <v>0</v>
      </c>
      <c r="AT212" s="41"/>
      <c r="AU212" s="41"/>
      <c r="AV212" s="41">
        <f>IFERROR(VLOOKUP($A212,Program[],15,0),0)</f>
        <v>0</v>
      </c>
      <c r="AW212" s="41"/>
      <c r="AX212" s="41">
        <f>IFERROR(VLOOKUP($A212,Program[],16,0),0)</f>
        <v>0</v>
      </c>
      <c r="AY212" s="41">
        <f>IFERROR(VLOOKUP($A212,Program[],17,0),0)</f>
        <v>0</v>
      </c>
      <c r="AZ212" s="41">
        <f>IFERROR(VLOOKUP($A212,Program[],18,0),0)</f>
        <v>0</v>
      </c>
      <c r="BA212" s="41">
        <f>IFERROR(VLOOKUP($A212,Program[],19,0),0)</f>
        <v>0</v>
      </c>
      <c r="BB212" s="77">
        <f t="shared" si="59"/>
        <v>13214.639999999996</v>
      </c>
      <c r="BC212" s="41">
        <f>IFERROR(VLOOKUP(A212,Food[],3,0),0)</f>
        <v>54365.04</v>
      </c>
      <c r="BD212" s="41">
        <f>IFERROR(VLOOKUP($A212,FoodRev[],2,0),0)</f>
        <v>0</v>
      </c>
      <c r="BE212" s="41">
        <f>IFERROR(VLOOKUP($A212,FoodRev[],3,0),0)</f>
        <v>11578.7</v>
      </c>
      <c r="BF212" s="41">
        <f>IFERROR(VLOOKUP($A212,FoodRev[],4,0),0)</f>
        <v>0</v>
      </c>
      <c r="BG212" s="41">
        <f>IFERROR(VLOOKUP($A212,FoodRev[],5,0),0)</f>
        <v>29571.7</v>
      </c>
      <c r="BH212" s="41">
        <f>IFERROR(VLOOKUP($A212,FoodRev[],6,0),0)</f>
        <v>0</v>
      </c>
      <c r="BI212" s="41">
        <f>IFERROR(VLOOKUP($A212,FoodRev[],7,0),0)</f>
        <v>0</v>
      </c>
      <c r="BJ212" s="41">
        <f>IFERROR(VLOOKUP($A212,FoodRev[],8,0),0)</f>
        <v>0</v>
      </c>
      <c r="BK212" s="41">
        <f>IFERROR(VLOOKUP($A212,FoodRev[],9,0),0)</f>
        <v>0</v>
      </c>
      <c r="BL212" s="41">
        <f>IFERROR(VLOOKUP($A212,FoodRev[],10,0),0)</f>
        <v>0</v>
      </c>
      <c r="BM212" s="41">
        <f t="shared" si="60"/>
        <v>41150.400000000001</v>
      </c>
      <c r="BN212" s="42">
        <f t="shared" si="54"/>
        <v>13214.639999999996</v>
      </c>
      <c r="BO212" s="78">
        <f t="shared" si="55"/>
        <v>13214.639999999996</v>
      </c>
      <c r="BP212" s="78">
        <f t="shared" si="56"/>
        <v>0</v>
      </c>
    </row>
    <row r="213" spans="1:137" x14ac:dyDescent="0.25">
      <c r="A213" s="40" t="s">
        <v>608</v>
      </c>
      <c r="B213" s="40" t="s">
        <v>891</v>
      </c>
      <c r="D213" s="203">
        <f t="shared" si="57"/>
        <v>0</v>
      </c>
      <c r="E213" s="41">
        <f>IFERROR(VLOOKUP(A213,Items[],5,0),0)</f>
        <v>378176.33</v>
      </c>
      <c r="F213" s="42">
        <f t="shared" si="58"/>
        <v>378176.33</v>
      </c>
      <c r="G213" s="41">
        <v>0</v>
      </c>
      <c r="H213" s="41">
        <f>IFERROR(VLOOKUP(A213,Items[],4,0),0)</f>
        <v>422184.71</v>
      </c>
      <c r="I213" s="41">
        <f>IFERROR(VLOOKUP(A213,Community[],4,0),0)</f>
        <v>0</v>
      </c>
      <c r="J213" s="41">
        <f>IFERROR(VLOOKUP(A213,Community[],5,0),0)</f>
        <v>0</v>
      </c>
      <c r="K213" s="41">
        <f>IFERROR(VLOOKUP(A213,Community[],6,0),0)</f>
        <v>0</v>
      </c>
      <c r="L213" s="41">
        <f>IFERROR(VLOOKUP(A213,Community[],7,0),0)</f>
        <v>0</v>
      </c>
      <c r="M213" s="41">
        <f>IFERROR(VLOOKUP(A213,Debt[],3,0),0)</f>
        <v>0.12</v>
      </c>
      <c r="N213" s="41">
        <f>IFERROR(VLOOKUP(A213,Debt[],4,0),0)</f>
        <v>1237.68</v>
      </c>
      <c r="O213" s="41">
        <f>IFERROR(VLOOKUP(A213,Debt[],5,0),0)</f>
        <v>0</v>
      </c>
      <c r="P213" s="41">
        <f>IFERROR(VLOOKUP(A213,Items[],3,0),0)</f>
        <v>0</v>
      </c>
      <c r="Q213" s="41">
        <f>IFERROR(VLOOKUP($A213,Federal[],2,0),0)</f>
        <v>0</v>
      </c>
      <c r="R213" s="41">
        <f>IFERROR(VLOOKUP($A213,Federal[],4,0),0)</f>
        <v>42770.58</v>
      </c>
      <c r="S213" s="41"/>
      <c r="T213" s="47">
        <f>IFERROR(VLOOKUP($A213,Program[],3,0),0)</f>
        <v>0</v>
      </c>
      <c r="U213" s="47"/>
      <c r="V213" s="41">
        <f>IFERROR(VLOOKUP($A213,Program[],4,0),0)</f>
        <v>0</v>
      </c>
      <c r="W213" s="41">
        <f>IFERROR(VLOOKUP($A213,Program[],5,0),0)</f>
        <v>0</v>
      </c>
      <c r="X213" s="41"/>
      <c r="Y213" s="41"/>
      <c r="Z213" s="41"/>
      <c r="AA213" s="41">
        <f>IFERROR(VLOOKUP($A213,Program[],6,0),0)</f>
        <v>0</v>
      </c>
      <c r="AB213" s="41"/>
      <c r="AC213" s="41"/>
      <c r="AD213" s="41">
        <f>IFERROR(VLOOKUP($A213,Program[],7,0),0)</f>
        <v>0</v>
      </c>
      <c r="AE213" s="41">
        <f>IFERROR(VLOOKUP($A213,Program[],8,0),0)</f>
        <v>0</v>
      </c>
      <c r="AF213" s="41">
        <f>IFERROR(VLOOKUP($A213,Program[],9,0),0)</f>
        <v>0</v>
      </c>
      <c r="AG213" s="41">
        <f>IFERROR(VLOOKUP($A213,Program[],10,0),0)</f>
        <v>0</v>
      </c>
      <c r="AH213" s="41">
        <f>IFERROR(VLOOKUP($A213,Program[],11,0),0)</f>
        <v>0</v>
      </c>
      <c r="AI213" s="41">
        <f>IFERROR(VLOOKUP($A213,Program[],12,0),0)</f>
        <v>0</v>
      </c>
      <c r="AJ213" s="41"/>
      <c r="AK213" s="41">
        <f>IFERROR(VLOOKUP($A213,Program[],13,0),0)</f>
        <v>0</v>
      </c>
      <c r="AL213" s="41"/>
      <c r="AM213" s="41"/>
      <c r="AN213" s="41"/>
      <c r="AO213" s="41"/>
      <c r="AP213" s="41"/>
      <c r="AQ213" s="41"/>
      <c r="AR213" s="41"/>
      <c r="AS213" s="41">
        <f>IFERROR(VLOOKUP($A213,Program[],14,0),0)</f>
        <v>0</v>
      </c>
      <c r="AT213" s="41"/>
      <c r="AU213" s="41"/>
      <c r="AV213" s="41">
        <f>IFERROR(VLOOKUP($A213,Program[],15,0),0)</f>
        <v>0</v>
      </c>
      <c r="AW213" s="41"/>
      <c r="AX213" s="41">
        <f>IFERROR(VLOOKUP($A213,Program[],16,0),0)</f>
        <v>0</v>
      </c>
      <c r="AY213" s="41">
        <f>IFERROR(VLOOKUP($A213,Program[],17,0),0)</f>
        <v>0</v>
      </c>
      <c r="AZ213" s="41">
        <f>IFERROR(VLOOKUP($A213,Program[],18,0),0)</f>
        <v>0</v>
      </c>
      <c r="BA213" s="41">
        <f>IFERROR(VLOOKUP($A213,Program[],19,0),0)</f>
        <v>0</v>
      </c>
      <c r="BB213" s="77">
        <f t="shared" si="59"/>
        <v>0</v>
      </c>
      <c r="BC213" s="41">
        <f>IFERROR(VLOOKUP(A213,Food[],3,0),0)</f>
        <v>0</v>
      </c>
      <c r="BD213" s="41">
        <f>IFERROR(VLOOKUP($A213,FoodRev[],2,0),0)</f>
        <v>0</v>
      </c>
      <c r="BE213" s="41">
        <f>IFERROR(VLOOKUP($A213,FoodRev[],3,0),0)</f>
        <v>0</v>
      </c>
      <c r="BF213" s="41">
        <f>IFERROR(VLOOKUP($A213,FoodRev[],4,0),0)</f>
        <v>0</v>
      </c>
      <c r="BG213" s="41">
        <f>IFERROR(VLOOKUP($A213,FoodRev[],5,0),0)</f>
        <v>0</v>
      </c>
      <c r="BH213" s="41">
        <f>IFERROR(VLOOKUP($A213,FoodRev[],6,0),0)</f>
        <v>0</v>
      </c>
      <c r="BI213" s="41">
        <f>IFERROR(VLOOKUP($A213,FoodRev[],7,0),0)</f>
        <v>0</v>
      </c>
      <c r="BJ213" s="41">
        <f>IFERROR(VLOOKUP($A213,FoodRev[],8,0),0)</f>
        <v>0</v>
      </c>
      <c r="BK213" s="41">
        <f>IFERROR(VLOOKUP($A213,FoodRev[],9,0),0)</f>
        <v>0</v>
      </c>
      <c r="BL213" s="41">
        <f>IFERROR(VLOOKUP($A213,FoodRev[],10,0),0)</f>
        <v>0</v>
      </c>
      <c r="BM213" s="41">
        <f t="shared" si="60"/>
        <v>0</v>
      </c>
      <c r="BN213" s="42">
        <f t="shared" si="54"/>
        <v>0</v>
      </c>
      <c r="BO213" s="78">
        <f t="shared" si="55"/>
        <v>0</v>
      </c>
      <c r="BP213" s="78">
        <f t="shared" si="56"/>
        <v>0</v>
      </c>
    </row>
    <row r="214" spans="1:137" x14ac:dyDescent="0.25">
      <c r="A214" s="40" t="s">
        <v>328</v>
      </c>
      <c r="B214" s="40" t="s">
        <v>1019</v>
      </c>
      <c r="D214" s="203">
        <f t="shared" si="57"/>
        <v>-1.862645149230957E-9</v>
      </c>
      <c r="E214" s="41">
        <f>IFERROR(VLOOKUP(A214,Items[],5,0),0)</f>
        <v>14835290.449999999</v>
      </c>
      <c r="F214" s="42">
        <f t="shared" si="58"/>
        <v>14835290.450000001</v>
      </c>
      <c r="G214" s="41">
        <v>0</v>
      </c>
      <c r="H214" s="41">
        <f>IFERROR(VLOOKUP(A214,Items[],4,0),0)</f>
        <v>15724940.470000001</v>
      </c>
      <c r="I214" s="41">
        <f>IFERROR(VLOOKUP(A214,Community[],4,0),0)</f>
        <v>0</v>
      </c>
      <c r="J214" s="41">
        <f>IFERROR(VLOOKUP(A214,Community[],5,0),0)</f>
        <v>0</v>
      </c>
      <c r="K214" s="41">
        <f>IFERROR(VLOOKUP(A214,Community[],6,0),0)</f>
        <v>0</v>
      </c>
      <c r="L214" s="41">
        <f>IFERROR(VLOOKUP(A214,Community[],7,0),0)</f>
        <v>3000</v>
      </c>
      <c r="M214" s="41">
        <f>IFERROR(VLOOKUP(A214,Debt[],3,0),0)</f>
        <v>257.67</v>
      </c>
      <c r="N214" s="41">
        <f>IFERROR(VLOOKUP(A214,Debt[],4,0),0)</f>
        <v>20018.560000000001</v>
      </c>
      <c r="O214" s="41">
        <f>IFERROR(VLOOKUP(A214,Debt[],5,0),0)</f>
        <v>0</v>
      </c>
      <c r="P214" s="41">
        <f>IFERROR(VLOOKUP(A214,Items[],3,0),0)</f>
        <v>170094</v>
      </c>
      <c r="Q214" s="41">
        <f>IFERROR(VLOOKUP($A214,Federal[],2,0),0)</f>
        <v>0</v>
      </c>
      <c r="R214" s="41">
        <f>IFERROR(VLOOKUP($A214,Federal[],4,0),0)</f>
        <v>553434.92000000004</v>
      </c>
      <c r="S214" s="41"/>
      <c r="T214" s="47">
        <f>IFERROR(VLOOKUP($A214,Program[],3,0),0)</f>
        <v>0</v>
      </c>
      <c r="U214" s="47"/>
      <c r="V214" s="41">
        <f>IFERROR(VLOOKUP($A214,Program[],4,0),0)</f>
        <v>0</v>
      </c>
      <c r="W214" s="41">
        <f>IFERROR(VLOOKUP($A214,Program[],5,0),0)</f>
        <v>0</v>
      </c>
      <c r="X214" s="41"/>
      <c r="Y214" s="41"/>
      <c r="Z214" s="41"/>
      <c r="AA214" s="41">
        <f>IFERROR(VLOOKUP($A214,Program[],6,0),0)</f>
        <v>0</v>
      </c>
      <c r="AB214" s="41"/>
      <c r="AC214" s="41"/>
      <c r="AD214" s="41">
        <f>IFERROR(VLOOKUP($A214,Program[],7,0),0)</f>
        <v>0</v>
      </c>
      <c r="AE214" s="41">
        <f>IFERROR(VLOOKUP($A214,Program[],8,0),0)</f>
        <v>0</v>
      </c>
      <c r="AF214" s="41">
        <f>IFERROR(VLOOKUP($A214,Program[],9,0),0)</f>
        <v>0</v>
      </c>
      <c r="AG214" s="41">
        <f>IFERROR(VLOOKUP($A214,Program[],10,0),0)</f>
        <v>0</v>
      </c>
      <c r="AH214" s="41">
        <f>IFERROR(VLOOKUP($A214,Program[],11,0),0)</f>
        <v>0</v>
      </c>
      <c r="AI214" s="41">
        <f>IFERROR(VLOOKUP($A214,Program[],12,0),0)</f>
        <v>0</v>
      </c>
      <c r="AJ214" s="41"/>
      <c r="AK214" s="41">
        <f>IFERROR(VLOOKUP($A214,Program[],13,0),0)</f>
        <v>0</v>
      </c>
      <c r="AL214" s="41"/>
      <c r="AM214" s="41"/>
      <c r="AN214" s="41"/>
      <c r="AO214" s="41"/>
      <c r="AP214" s="41"/>
      <c r="AQ214" s="41"/>
      <c r="AR214" s="41"/>
      <c r="AS214" s="41">
        <f>IFERROR(VLOOKUP($A214,Program[],14,0),0)</f>
        <v>0</v>
      </c>
      <c r="AT214" s="41"/>
      <c r="AU214" s="41"/>
      <c r="AV214" s="41">
        <f>IFERROR(VLOOKUP($A214,Program[],15,0),0)</f>
        <v>0</v>
      </c>
      <c r="AW214" s="41"/>
      <c r="AX214" s="41">
        <f>IFERROR(VLOOKUP($A214,Program[],16,0),0)</f>
        <v>0</v>
      </c>
      <c r="AY214" s="41">
        <f>IFERROR(VLOOKUP($A214,Program[],17,0),0)</f>
        <v>0</v>
      </c>
      <c r="AZ214" s="41">
        <f>IFERROR(VLOOKUP($A214,Program[],18,0),0)</f>
        <v>0</v>
      </c>
      <c r="BA214" s="41">
        <f>IFERROR(VLOOKUP($A214,Program[],19,0),0)</f>
        <v>5831.4</v>
      </c>
      <c r="BB214" s="77">
        <f t="shared" si="59"/>
        <v>121158.65999999997</v>
      </c>
      <c r="BC214" s="41">
        <f>IFERROR(VLOOKUP(A214,Food[],3,0),0)</f>
        <v>425443.68</v>
      </c>
      <c r="BD214" s="41">
        <f>IFERROR(VLOOKUP($A214,FoodRev[],2,0),0)</f>
        <v>78624.850000000006</v>
      </c>
      <c r="BE214" s="41">
        <f>IFERROR(VLOOKUP($A214,FoodRev[],3,0),0)</f>
        <v>70051.42</v>
      </c>
      <c r="BF214" s="41">
        <f>IFERROR(VLOOKUP($A214,FoodRev[],4,0),0)</f>
        <v>0</v>
      </c>
      <c r="BG214" s="41">
        <f>IFERROR(VLOOKUP($A214,FoodRev[],5,0),0)</f>
        <v>132290.37</v>
      </c>
      <c r="BH214" s="41">
        <f>IFERROR(VLOOKUP($A214,FoodRev[],6,0),0)</f>
        <v>0</v>
      </c>
      <c r="BI214" s="41">
        <f>IFERROR(VLOOKUP($A214,FoodRev[],7,0),0)</f>
        <v>0</v>
      </c>
      <c r="BJ214" s="41">
        <f>IFERROR(VLOOKUP($A214,FoodRev[],8,0),0)</f>
        <v>23318.38</v>
      </c>
      <c r="BK214" s="41">
        <f>IFERROR(VLOOKUP($A214,FoodRev[],9,0),0)</f>
        <v>0</v>
      </c>
      <c r="BL214" s="41">
        <f>IFERROR(VLOOKUP($A214,FoodRev[],10,0),0)</f>
        <v>0</v>
      </c>
      <c r="BM214" s="41">
        <f t="shared" si="60"/>
        <v>304285.02</v>
      </c>
      <c r="BN214" s="42">
        <f t="shared" si="54"/>
        <v>121158.65999999997</v>
      </c>
      <c r="BO214" s="78">
        <f t="shared" si="55"/>
        <v>121158.65999999997</v>
      </c>
      <c r="BP214" s="78">
        <f t="shared" si="56"/>
        <v>0</v>
      </c>
    </row>
    <row r="215" spans="1:137" x14ac:dyDescent="0.25">
      <c r="A215" s="40" t="s">
        <v>450</v>
      </c>
      <c r="B215" s="40" t="s">
        <v>1020</v>
      </c>
      <c r="D215" s="203">
        <f t="shared" si="57"/>
        <v>9.3132257461547852E-10</v>
      </c>
      <c r="E215" s="41">
        <f>IFERROR(VLOOKUP(A215,Items[],5,0),0)</f>
        <v>6460351.6200000001</v>
      </c>
      <c r="F215" s="42">
        <f t="shared" si="58"/>
        <v>6460351.6199999992</v>
      </c>
      <c r="G215" s="41">
        <v>0</v>
      </c>
      <c r="H215" s="41">
        <f>IFERROR(VLOOKUP(A215,Items[],4,0),0)</f>
        <v>6873843.0599999996</v>
      </c>
      <c r="I215" s="41">
        <f>IFERROR(VLOOKUP(A215,Community[],4,0),0)</f>
        <v>0</v>
      </c>
      <c r="J215" s="41">
        <f>IFERROR(VLOOKUP(A215,Community[],5,0),0)</f>
        <v>0</v>
      </c>
      <c r="K215" s="41">
        <f>IFERROR(VLOOKUP(A215,Community[],6,0),0)</f>
        <v>0</v>
      </c>
      <c r="L215" s="41">
        <f>IFERROR(VLOOKUP(A215,Community[],7,0),0)</f>
        <v>0</v>
      </c>
      <c r="M215" s="41">
        <f>IFERROR(VLOOKUP(A215,Debt[],3,0),0)</f>
        <v>1690.37</v>
      </c>
      <c r="N215" s="41">
        <f>IFERROR(VLOOKUP(A215,Debt[],4,0),0)</f>
        <v>0</v>
      </c>
      <c r="O215" s="41">
        <f>IFERROR(VLOOKUP(A215,Debt[],5,0),0)</f>
        <v>0</v>
      </c>
      <c r="P215" s="41">
        <f>IFERROR(VLOOKUP(A215,Items[],3,0),0)</f>
        <v>71942.66</v>
      </c>
      <c r="Q215" s="41">
        <f>IFERROR(VLOOKUP($A215,Federal[],2,0),0)</f>
        <v>0</v>
      </c>
      <c r="R215" s="41">
        <f>IFERROR(VLOOKUP($A215,Federal[],4,0),0)</f>
        <v>313277.90999999997</v>
      </c>
      <c r="S215" s="41"/>
      <c r="T215" s="47">
        <f>IFERROR(VLOOKUP($A215,Program[],3,0),0)</f>
        <v>0</v>
      </c>
      <c r="U215" s="47"/>
      <c r="V215" s="41">
        <f>IFERROR(VLOOKUP($A215,Program[],4,0),0)</f>
        <v>0</v>
      </c>
      <c r="W215" s="41">
        <f>IFERROR(VLOOKUP($A215,Program[],5,0),0)</f>
        <v>0</v>
      </c>
      <c r="X215" s="41"/>
      <c r="Y215" s="41"/>
      <c r="Z215" s="41"/>
      <c r="AA215" s="41">
        <f>IFERROR(VLOOKUP($A215,Program[],6,0),0)</f>
        <v>0</v>
      </c>
      <c r="AB215" s="41"/>
      <c r="AC215" s="41"/>
      <c r="AD215" s="41">
        <f>IFERROR(VLOOKUP($A215,Program[],7,0),0)</f>
        <v>0</v>
      </c>
      <c r="AE215" s="41">
        <f>IFERROR(VLOOKUP($A215,Program[],8,0),0)</f>
        <v>0</v>
      </c>
      <c r="AF215" s="41">
        <f>IFERROR(VLOOKUP($A215,Program[],9,0),0)</f>
        <v>0</v>
      </c>
      <c r="AG215" s="41">
        <f>IFERROR(VLOOKUP($A215,Program[],10,0),0)</f>
        <v>0</v>
      </c>
      <c r="AH215" s="41">
        <f>IFERROR(VLOOKUP($A215,Program[],11,0),0)</f>
        <v>0</v>
      </c>
      <c r="AI215" s="41">
        <f>IFERROR(VLOOKUP($A215,Program[],12,0),0)</f>
        <v>0</v>
      </c>
      <c r="AJ215" s="41"/>
      <c r="AK215" s="41">
        <f>IFERROR(VLOOKUP($A215,Program[],13,0),0)</f>
        <v>0</v>
      </c>
      <c r="AL215" s="41"/>
      <c r="AM215" s="41"/>
      <c r="AN215" s="41"/>
      <c r="AO215" s="41"/>
      <c r="AP215" s="41"/>
      <c r="AQ215" s="41"/>
      <c r="AR215" s="41"/>
      <c r="AS215" s="41">
        <f>IFERROR(VLOOKUP($A215,Program[],14,0),0)</f>
        <v>0</v>
      </c>
      <c r="AT215" s="41"/>
      <c r="AU215" s="41"/>
      <c r="AV215" s="41">
        <f>IFERROR(VLOOKUP($A215,Program[],15,0),0)</f>
        <v>0</v>
      </c>
      <c r="AW215" s="41"/>
      <c r="AX215" s="41">
        <f>IFERROR(VLOOKUP($A215,Program[],16,0),0)</f>
        <v>0</v>
      </c>
      <c r="AY215" s="41">
        <f>IFERROR(VLOOKUP($A215,Program[],17,0),0)</f>
        <v>0</v>
      </c>
      <c r="AZ215" s="41">
        <f>IFERROR(VLOOKUP($A215,Program[],18,0),0)</f>
        <v>0</v>
      </c>
      <c r="BA215" s="41">
        <f>IFERROR(VLOOKUP($A215,Program[],19,0),0)</f>
        <v>31874.14</v>
      </c>
      <c r="BB215" s="77">
        <f t="shared" si="59"/>
        <v>149218.82999999999</v>
      </c>
      <c r="BC215" s="41">
        <f>IFERROR(VLOOKUP(A215,Food[],3,0),0)</f>
        <v>278316.12</v>
      </c>
      <c r="BD215" s="41">
        <f>IFERROR(VLOOKUP($A215,FoodRev[],2,0),0)</f>
        <v>16851.89</v>
      </c>
      <c r="BE215" s="41">
        <f>IFERROR(VLOOKUP($A215,FoodRev[],3,0),0)</f>
        <v>41602.75</v>
      </c>
      <c r="BF215" s="41">
        <f>IFERROR(VLOOKUP($A215,FoodRev[],4,0),0)</f>
        <v>0</v>
      </c>
      <c r="BG215" s="41">
        <f>IFERROR(VLOOKUP($A215,FoodRev[],5,0),0)</f>
        <v>70642.649999999994</v>
      </c>
      <c r="BH215" s="41">
        <f>IFERROR(VLOOKUP($A215,FoodRev[],6,0),0)</f>
        <v>0</v>
      </c>
      <c r="BI215" s="41">
        <f>IFERROR(VLOOKUP($A215,FoodRev[],7,0),0)</f>
        <v>0</v>
      </c>
      <c r="BJ215" s="41">
        <f>IFERROR(VLOOKUP($A215,FoodRev[],8,0),0)</f>
        <v>0</v>
      </c>
      <c r="BK215" s="41">
        <f>IFERROR(VLOOKUP($A215,FoodRev[],9,0),0)</f>
        <v>0</v>
      </c>
      <c r="BL215" s="41">
        <f>IFERROR(VLOOKUP($A215,FoodRev[],10,0),0)</f>
        <v>0</v>
      </c>
      <c r="BM215" s="41">
        <f t="shared" si="60"/>
        <v>129097.29</v>
      </c>
      <c r="BN215" s="42">
        <f t="shared" si="54"/>
        <v>149218.82999999999</v>
      </c>
      <c r="BO215" s="78">
        <f t="shared" si="55"/>
        <v>149218.82999999999</v>
      </c>
      <c r="BP215" s="78">
        <f t="shared" si="56"/>
        <v>0</v>
      </c>
    </row>
    <row r="216" spans="1:137" x14ac:dyDescent="0.25">
      <c r="A216" s="40" t="s">
        <v>320</v>
      </c>
      <c r="B216" s="40" t="s">
        <v>892</v>
      </c>
      <c r="D216" s="203">
        <f t="shared" si="57"/>
        <v>-3.7252902984619141E-9</v>
      </c>
      <c r="E216" s="41">
        <f>IFERROR(VLOOKUP(A216,Items[],5,0),0)</f>
        <v>15922212.76</v>
      </c>
      <c r="F216" s="42">
        <f t="shared" si="58"/>
        <v>15922212.760000004</v>
      </c>
      <c r="G216" s="41">
        <v>0</v>
      </c>
      <c r="H216" s="41">
        <f>IFERROR(VLOOKUP(A216,Items[],4,0),0)</f>
        <v>17075426.329999998</v>
      </c>
      <c r="I216" s="41">
        <f>IFERROR(VLOOKUP(A216,Community[],4,0),0)</f>
        <v>0</v>
      </c>
      <c r="J216" s="41">
        <f>IFERROR(VLOOKUP(A216,Community[],5,0),0)</f>
        <v>0</v>
      </c>
      <c r="K216" s="41">
        <f>IFERROR(VLOOKUP(A216,Community[],6,0),0)</f>
        <v>192571.33</v>
      </c>
      <c r="L216" s="41">
        <f>IFERROR(VLOOKUP(A216,Community[],7,0),0)</f>
        <v>3848.06</v>
      </c>
      <c r="M216" s="41">
        <f>IFERROR(VLOOKUP(A216,Debt[],3,0),0)</f>
        <v>0</v>
      </c>
      <c r="N216" s="41">
        <f>IFERROR(VLOOKUP(A216,Debt[],4,0),0)</f>
        <v>0</v>
      </c>
      <c r="O216" s="41">
        <f>IFERROR(VLOOKUP(A216,Debt[],5,0),0)</f>
        <v>0</v>
      </c>
      <c r="P216" s="41">
        <f>IFERROR(VLOOKUP(A216,Items[],3,0),0)</f>
        <v>0</v>
      </c>
      <c r="Q216" s="41">
        <f>IFERROR(VLOOKUP($A216,Federal[],2,0),0)</f>
        <v>0</v>
      </c>
      <c r="R216" s="41">
        <f>IFERROR(VLOOKUP($A216,Federal[],4,0),0)</f>
        <v>734442.2</v>
      </c>
      <c r="S216" s="41"/>
      <c r="T216" s="47">
        <f>IFERROR(VLOOKUP($A216,Program[],3,0),0)</f>
        <v>0</v>
      </c>
      <c r="U216" s="47"/>
      <c r="V216" s="41">
        <f>IFERROR(VLOOKUP($A216,Program[],4,0),0)</f>
        <v>0</v>
      </c>
      <c r="W216" s="41">
        <f>IFERROR(VLOOKUP($A216,Program[],5,0),0)</f>
        <v>0</v>
      </c>
      <c r="X216" s="41"/>
      <c r="Y216" s="41"/>
      <c r="Z216" s="41"/>
      <c r="AA216" s="41">
        <f>IFERROR(VLOOKUP($A216,Program[],6,0),0)</f>
        <v>0</v>
      </c>
      <c r="AB216" s="41"/>
      <c r="AC216" s="41"/>
      <c r="AD216" s="41">
        <f>IFERROR(VLOOKUP($A216,Program[],7,0),0)</f>
        <v>0</v>
      </c>
      <c r="AE216" s="41">
        <f>IFERROR(VLOOKUP($A216,Program[],8,0),0)</f>
        <v>0</v>
      </c>
      <c r="AF216" s="41">
        <f>IFERROR(VLOOKUP($A216,Program[],9,0),0)</f>
        <v>0</v>
      </c>
      <c r="AG216" s="41">
        <f>IFERROR(VLOOKUP($A216,Program[],10,0),0)</f>
        <v>0</v>
      </c>
      <c r="AH216" s="41">
        <f>IFERROR(VLOOKUP($A216,Program[],11,0),0)</f>
        <v>0</v>
      </c>
      <c r="AI216" s="41">
        <f>IFERROR(VLOOKUP($A216,Program[],12,0),0)</f>
        <v>0</v>
      </c>
      <c r="AJ216" s="41"/>
      <c r="AK216" s="41">
        <f>IFERROR(VLOOKUP($A216,Program[],13,0),0)</f>
        <v>0</v>
      </c>
      <c r="AL216" s="41"/>
      <c r="AM216" s="41"/>
      <c r="AN216" s="41"/>
      <c r="AO216" s="41"/>
      <c r="AP216" s="41"/>
      <c r="AQ216" s="41"/>
      <c r="AR216" s="41"/>
      <c r="AS216" s="41">
        <f>IFERROR(VLOOKUP($A216,Program[],14,0),0)</f>
        <v>0</v>
      </c>
      <c r="AT216" s="41"/>
      <c r="AU216" s="41"/>
      <c r="AV216" s="41">
        <f>IFERROR(VLOOKUP($A216,Program[],15,0),0)</f>
        <v>0</v>
      </c>
      <c r="AW216" s="41"/>
      <c r="AX216" s="41">
        <f>IFERROR(VLOOKUP($A216,Program[],16,0),0)</f>
        <v>0</v>
      </c>
      <c r="AY216" s="41">
        <f>IFERROR(VLOOKUP($A216,Program[],17,0),0)</f>
        <v>0</v>
      </c>
      <c r="AZ216" s="41">
        <f>IFERROR(VLOOKUP($A216,Program[],18,0),0)</f>
        <v>0</v>
      </c>
      <c r="BA216" s="41">
        <f>IFERROR(VLOOKUP($A216,Program[],19,0),0)</f>
        <v>0</v>
      </c>
      <c r="BB216" s="77">
        <f t="shared" si="59"/>
        <v>123085.71000000004</v>
      </c>
      <c r="BC216" s="41">
        <f>IFERROR(VLOOKUP(A216,Food[],3,0),0)</f>
        <v>547557.26</v>
      </c>
      <c r="BD216" s="41">
        <f>IFERROR(VLOOKUP($A216,FoodRev[],2,0),0)</f>
        <v>103232.76</v>
      </c>
      <c r="BE216" s="41">
        <f>IFERROR(VLOOKUP($A216,FoodRev[],3,0),0)</f>
        <v>107119.22</v>
      </c>
      <c r="BF216" s="41">
        <f>IFERROR(VLOOKUP($A216,FoodRev[],4,0),0)</f>
        <v>12000</v>
      </c>
      <c r="BG216" s="41">
        <f>IFERROR(VLOOKUP($A216,FoodRev[],5,0),0)</f>
        <v>174331.06</v>
      </c>
      <c r="BH216" s="41">
        <f>IFERROR(VLOOKUP($A216,FoodRev[],6,0),0)</f>
        <v>0</v>
      </c>
      <c r="BI216" s="41">
        <f>IFERROR(VLOOKUP($A216,FoodRev[],7,0),0)</f>
        <v>0</v>
      </c>
      <c r="BJ216" s="41">
        <f>IFERROR(VLOOKUP($A216,FoodRev[],8,0),0)</f>
        <v>27788.51</v>
      </c>
      <c r="BK216" s="41">
        <f>IFERROR(VLOOKUP($A216,FoodRev[],9,0),0)</f>
        <v>0</v>
      </c>
      <c r="BL216" s="41">
        <f>IFERROR(VLOOKUP($A216,FoodRev[],10,0),0)</f>
        <v>0</v>
      </c>
      <c r="BM216" s="41">
        <f t="shared" si="60"/>
        <v>424471.55</v>
      </c>
      <c r="BN216" s="42">
        <f t="shared" si="54"/>
        <v>123085.71000000004</v>
      </c>
      <c r="BO216" s="78">
        <f t="shared" si="55"/>
        <v>123085.71000000004</v>
      </c>
      <c r="BP216" s="78">
        <f t="shared" si="56"/>
        <v>0</v>
      </c>
    </row>
    <row r="217" spans="1:137" x14ac:dyDescent="0.25">
      <c r="A217" s="40" t="s">
        <v>380</v>
      </c>
      <c r="B217" s="40" t="s">
        <v>893</v>
      </c>
      <c r="D217" s="203">
        <f t="shared" si="57"/>
        <v>0</v>
      </c>
      <c r="E217" s="41">
        <f>IFERROR(VLOOKUP(A217,Items[],5,0),0)</f>
        <v>11229223.65</v>
      </c>
      <c r="F217" s="42">
        <f t="shared" si="58"/>
        <v>11229223.65</v>
      </c>
      <c r="G217" s="41">
        <v>0</v>
      </c>
      <c r="H217" s="41">
        <f>IFERROR(VLOOKUP(A217,Items[],4,0),0)</f>
        <v>12404966.699999999</v>
      </c>
      <c r="I217" s="41">
        <f>IFERROR(VLOOKUP(A217,Community[],4,0),0)</f>
        <v>0</v>
      </c>
      <c r="J217" s="41">
        <f>IFERROR(VLOOKUP(A217,Community[],5,0),0)</f>
        <v>4776.1400000000003</v>
      </c>
      <c r="K217" s="41">
        <f>IFERROR(VLOOKUP(A217,Community[],6,0),0)</f>
        <v>0</v>
      </c>
      <c r="L217" s="41">
        <f>IFERROR(VLOOKUP(A217,Community[],7,0),0)</f>
        <v>20216.990000000002</v>
      </c>
      <c r="M217" s="41">
        <f>IFERROR(VLOOKUP(A217,Debt[],3,0),0)</f>
        <v>0</v>
      </c>
      <c r="N217" s="41">
        <f>IFERROR(VLOOKUP(A217,Debt[],4,0),0)</f>
        <v>0</v>
      </c>
      <c r="O217" s="41">
        <f>IFERROR(VLOOKUP(A217,Debt[],5,0),0)</f>
        <v>0</v>
      </c>
      <c r="P217" s="41">
        <f>IFERROR(VLOOKUP(A217,Items[],3,0),0)</f>
        <v>22782.92</v>
      </c>
      <c r="Q217" s="41">
        <f>IFERROR(VLOOKUP($A217,Federal[],2,0),0)</f>
        <v>575.41999999999996</v>
      </c>
      <c r="R217" s="41">
        <f>IFERROR(VLOOKUP($A217,Federal[],4,0),0)</f>
        <v>1034742.35</v>
      </c>
      <c r="S217" s="41"/>
      <c r="T217" s="47">
        <f>IFERROR(VLOOKUP($A217,Program[],3,0),0)</f>
        <v>0</v>
      </c>
      <c r="U217" s="47"/>
      <c r="V217" s="41">
        <f>IFERROR(VLOOKUP($A217,Program[],4,0),0)</f>
        <v>0</v>
      </c>
      <c r="W217" s="41">
        <f>IFERROR(VLOOKUP($A217,Program[],5,0),0)</f>
        <v>0</v>
      </c>
      <c r="X217" s="41"/>
      <c r="Y217" s="41"/>
      <c r="Z217" s="41"/>
      <c r="AA217" s="41">
        <f>IFERROR(VLOOKUP($A217,Program[],6,0),0)</f>
        <v>0</v>
      </c>
      <c r="AB217" s="41"/>
      <c r="AC217" s="41"/>
      <c r="AD217" s="41">
        <f>IFERROR(VLOOKUP($A217,Program[],7,0),0)</f>
        <v>0</v>
      </c>
      <c r="AE217" s="41">
        <f>IFERROR(VLOOKUP($A217,Program[],8,0),0)</f>
        <v>0</v>
      </c>
      <c r="AF217" s="41">
        <f>IFERROR(VLOOKUP($A217,Program[],9,0),0)</f>
        <v>0</v>
      </c>
      <c r="AG217" s="41">
        <f>IFERROR(VLOOKUP($A217,Program[],10,0),0)</f>
        <v>0</v>
      </c>
      <c r="AH217" s="41">
        <f>IFERROR(VLOOKUP($A217,Program[],11,0),0)</f>
        <v>0</v>
      </c>
      <c r="AI217" s="41">
        <f>IFERROR(VLOOKUP($A217,Program[],12,0),0)</f>
        <v>0</v>
      </c>
      <c r="AJ217" s="41"/>
      <c r="AK217" s="41">
        <f>IFERROR(VLOOKUP($A217,Program[],13,0),0)</f>
        <v>0</v>
      </c>
      <c r="AL217" s="41"/>
      <c r="AM217" s="41"/>
      <c r="AN217" s="41"/>
      <c r="AO217" s="41"/>
      <c r="AP217" s="41"/>
      <c r="AQ217" s="41"/>
      <c r="AR217" s="41"/>
      <c r="AS217" s="41">
        <f>IFERROR(VLOOKUP($A217,Program[],14,0),0)</f>
        <v>0</v>
      </c>
      <c r="AT217" s="41"/>
      <c r="AU217" s="41"/>
      <c r="AV217" s="41">
        <f>IFERROR(VLOOKUP($A217,Program[],15,0),0)</f>
        <v>0</v>
      </c>
      <c r="AW217" s="41"/>
      <c r="AX217" s="41">
        <f>IFERROR(VLOOKUP($A217,Program[],16,0),0)</f>
        <v>0</v>
      </c>
      <c r="AY217" s="41">
        <f>IFERROR(VLOOKUP($A217,Program[],17,0),0)</f>
        <v>0</v>
      </c>
      <c r="AZ217" s="41">
        <f>IFERROR(VLOOKUP($A217,Program[],18,0),0)</f>
        <v>0</v>
      </c>
      <c r="BA217" s="41">
        <f>IFERROR(VLOOKUP($A217,Program[],19,0),0)</f>
        <v>22782.92</v>
      </c>
      <c r="BB217" s="77">
        <f t="shared" si="59"/>
        <v>85086.540000000037</v>
      </c>
      <c r="BC217" s="41">
        <f>IFERROR(VLOOKUP(A217,Food[],3,0),0)</f>
        <v>593198.64</v>
      </c>
      <c r="BD217" s="41">
        <f>IFERROR(VLOOKUP($A217,FoodRev[],2,0),0)</f>
        <v>2501.6999999999998</v>
      </c>
      <c r="BE217" s="41">
        <f>IFERROR(VLOOKUP($A217,FoodRev[],3,0),0)</f>
        <v>112930.45</v>
      </c>
      <c r="BF217" s="41">
        <f>IFERROR(VLOOKUP($A217,FoodRev[],4,0),0)</f>
        <v>0</v>
      </c>
      <c r="BG217" s="41">
        <f>IFERROR(VLOOKUP($A217,FoodRev[],5,0),0)</f>
        <v>355432.14</v>
      </c>
      <c r="BH217" s="41">
        <f>IFERROR(VLOOKUP($A217,FoodRev[],6,0),0)</f>
        <v>0</v>
      </c>
      <c r="BI217" s="41">
        <f>IFERROR(VLOOKUP($A217,FoodRev[],7,0),0)</f>
        <v>0</v>
      </c>
      <c r="BJ217" s="41">
        <f>IFERROR(VLOOKUP($A217,FoodRev[],8,0),0)</f>
        <v>37247.81</v>
      </c>
      <c r="BK217" s="41">
        <f>IFERROR(VLOOKUP($A217,FoodRev[],9,0),0)</f>
        <v>0</v>
      </c>
      <c r="BL217" s="41">
        <f>IFERROR(VLOOKUP($A217,FoodRev[],10,0),0)</f>
        <v>0</v>
      </c>
      <c r="BM217" s="41">
        <f t="shared" si="60"/>
        <v>508112.10000000003</v>
      </c>
      <c r="BN217" s="42">
        <f t="shared" si="54"/>
        <v>85086.540000000037</v>
      </c>
      <c r="BO217" s="78">
        <f t="shared" si="55"/>
        <v>85086.540000000037</v>
      </c>
      <c r="BP217" s="78">
        <f t="shared" si="56"/>
        <v>0</v>
      </c>
    </row>
    <row r="218" spans="1:137" x14ac:dyDescent="0.25">
      <c r="A218" s="40" t="s">
        <v>154</v>
      </c>
      <c r="B218" s="40" t="s">
        <v>1021</v>
      </c>
      <c r="D218" s="203">
        <f t="shared" si="57"/>
        <v>1.4901161193847656E-8</v>
      </c>
      <c r="E218" s="41">
        <f>IFERROR(VLOOKUP(A218,Items[],5,0),0)</f>
        <v>63399947.469999999</v>
      </c>
      <c r="F218" s="42">
        <f t="shared" si="58"/>
        <v>63399947.469999984</v>
      </c>
      <c r="G218" s="41">
        <v>0</v>
      </c>
      <c r="H218" s="41">
        <f>IFERROR(VLOOKUP(A218,Items[],4,0),0)</f>
        <v>69446350.890000001</v>
      </c>
      <c r="I218" s="41">
        <f>IFERROR(VLOOKUP(A218,Community[],4,0),0)</f>
        <v>0</v>
      </c>
      <c r="J218" s="41">
        <f>IFERROR(VLOOKUP(A218,Community[],5,0),0)</f>
        <v>0</v>
      </c>
      <c r="K218" s="41">
        <f>IFERROR(VLOOKUP(A218,Community[],6,0),0)</f>
        <v>0</v>
      </c>
      <c r="L218" s="41">
        <f>IFERROR(VLOOKUP(A218,Community[],7,0),0)</f>
        <v>56643.090000000004</v>
      </c>
      <c r="M218" s="41">
        <f>IFERROR(VLOOKUP(A218,Debt[],3,0),0)</f>
        <v>10738.37</v>
      </c>
      <c r="N218" s="41">
        <f>IFERROR(VLOOKUP(A218,Debt[],4,0),0)</f>
        <v>48766.92</v>
      </c>
      <c r="O218" s="41">
        <f>IFERROR(VLOOKUP(A218,Debt[],5,0),0)</f>
        <v>0</v>
      </c>
      <c r="P218" s="41">
        <f>IFERROR(VLOOKUP(A218,Items[],3,0),0)</f>
        <v>30995.08</v>
      </c>
      <c r="Q218" s="41">
        <f>IFERROR(VLOOKUP($A218,Federal[],2,0),0)</f>
        <v>3691.31</v>
      </c>
      <c r="R218" s="41">
        <f>IFERROR(VLOOKUP($A218,Federal[],4,0),0)</f>
        <v>5706748.54</v>
      </c>
      <c r="S218" s="41"/>
      <c r="T218" s="47">
        <f>IFERROR(VLOOKUP($A218,Program[],3,0),0)</f>
        <v>0</v>
      </c>
      <c r="U218" s="47"/>
      <c r="V218" s="41">
        <f>IFERROR(VLOOKUP($A218,Program[],4,0),0)</f>
        <v>0</v>
      </c>
      <c r="W218" s="41">
        <f>IFERROR(VLOOKUP($A218,Program[],5,0),0)</f>
        <v>0</v>
      </c>
      <c r="X218" s="41"/>
      <c r="Y218" s="41"/>
      <c r="Z218" s="41"/>
      <c r="AA218" s="41">
        <f>IFERROR(VLOOKUP($A218,Program[],6,0),0)</f>
        <v>0</v>
      </c>
      <c r="AB218" s="41"/>
      <c r="AC218" s="41"/>
      <c r="AD218" s="41">
        <f>IFERROR(VLOOKUP($A218,Program[],7,0),0)</f>
        <v>0</v>
      </c>
      <c r="AE218" s="41">
        <f>IFERROR(VLOOKUP($A218,Program[],8,0),0)</f>
        <v>0</v>
      </c>
      <c r="AF218" s="41">
        <f>IFERROR(VLOOKUP($A218,Program[],9,0),0)</f>
        <v>0</v>
      </c>
      <c r="AG218" s="41">
        <f>IFERROR(VLOOKUP($A218,Program[],10,0),0)</f>
        <v>0</v>
      </c>
      <c r="AH218" s="41">
        <f>IFERROR(VLOOKUP($A218,Program[],11,0),0)</f>
        <v>0</v>
      </c>
      <c r="AI218" s="41">
        <f>IFERROR(VLOOKUP($A218,Program[],12,0),0)</f>
        <v>0</v>
      </c>
      <c r="AJ218" s="41"/>
      <c r="AK218" s="41">
        <f>IFERROR(VLOOKUP($A218,Program[],13,0),0)</f>
        <v>0</v>
      </c>
      <c r="AL218" s="41"/>
      <c r="AM218" s="41"/>
      <c r="AN218" s="41"/>
      <c r="AO218" s="41"/>
      <c r="AP218" s="41"/>
      <c r="AQ218" s="41"/>
      <c r="AR218" s="41"/>
      <c r="AS218" s="41">
        <f>IFERROR(VLOOKUP($A218,Program[],14,0),0)</f>
        <v>0</v>
      </c>
      <c r="AT218" s="41"/>
      <c r="AU218" s="41"/>
      <c r="AV218" s="41">
        <f>IFERROR(VLOOKUP($A218,Program[],15,0),0)</f>
        <v>0</v>
      </c>
      <c r="AW218" s="41"/>
      <c r="AX218" s="41">
        <f>IFERROR(VLOOKUP($A218,Program[],16,0),0)</f>
        <v>0</v>
      </c>
      <c r="AY218" s="41">
        <f>IFERROR(VLOOKUP($A218,Program[],17,0),0)</f>
        <v>0</v>
      </c>
      <c r="AZ218" s="41">
        <f>IFERROR(VLOOKUP($A218,Program[],18,0),0)</f>
        <v>0</v>
      </c>
      <c r="BA218" s="41">
        <f>IFERROR(VLOOKUP($A218,Program[],19,0),0)</f>
        <v>30995.08</v>
      </c>
      <c r="BB218" s="77">
        <f t="shared" si="59"/>
        <v>0</v>
      </c>
      <c r="BC218" s="41">
        <f>IFERROR(VLOOKUP(A218,Food[],3,0),0)</f>
        <v>2608171.4500000002</v>
      </c>
      <c r="BD218" s="41">
        <f>IFERROR(VLOOKUP($A218,FoodRev[],2,0),0)</f>
        <v>41348.800000000003</v>
      </c>
      <c r="BE218" s="41">
        <f>IFERROR(VLOOKUP($A218,FoodRev[],3,0),0)</f>
        <v>743053.87</v>
      </c>
      <c r="BF218" s="41">
        <f>IFERROR(VLOOKUP($A218,FoodRev[],4,0),0)</f>
        <v>2491.8000000000002</v>
      </c>
      <c r="BG218" s="41">
        <f>IFERROR(VLOOKUP($A218,FoodRev[],5,0),0)</f>
        <v>2145395.5499999998</v>
      </c>
      <c r="BH218" s="41">
        <f>IFERROR(VLOOKUP($A218,FoodRev[],6,0),0)</f>
        <v>0</v>
      </c>
      <c r="BI218" s="41">
        <f>IFERROR(VLOOKUP($A218,FoodRev[],7,0),0)</f>
        <v>15499.2</v>
      </c>
      <c r="BJ218" s="41">
        <f>IFERROR(VLOOKUP($A218,FoodRev[],8,0),0)</f>
        <v>227461.51</v>
      </c>
      <c r="BK218" s="41">
        <f>IFERROR(VLOOKUP($A218,FoodRev[],9,0),0)</f>
        <v>0</v>
      </c>
      <c r="BL218" s="41">
        <f>IFERROR(VLOOKUP($A218,FoodRev[],10,0),0)</f>
        <v>0</v>
      </c>
      <c r="BM218" s="41">
        <f t="shared" si="60"/>
        <v>3175250.7300000004</v>
      </c>
      <c r="BN218" s="42">
        <f t="shared" si="54"/>
        <v>-567079.27999999956</v>
      </c>
      <c r="BO218" s="78">
        <f t="shared" si="55"/>
        <v>0</v>
      </c>
      <c r="BP218" s="78">
        <f t="shared" si="56"/>
        <v>-567079.27999999956</v>
      </c>
    </row>
    <row r="219" spans="1:137" x14ac:dyDescent="0.25">
      <c r="A219" s="40" t="s">
        <v>136</v>
      </c>
      <c r="B219" s="40" t="s">
        <v>894</v>
      </c>
      <c r="D219" s="203">
        <f t="shared" si="57"/>
        <v>0</v>
      </c>
      <c r="E219" s="41">
        <f>IFERROR(VLOOKUP(A219,Items[],5,0),0)</f>
        <v>83422909.530000001</v>
      </c>
      <c r="F219" s="42">
        <f t="shared" si="58"/>
        <v>83422909.530000001</v>
      </c>
      <c r="G219" s="41">
        <v>0</v>
      </c>
      <c r="H219" s="41">
        <f>IFERROR(VLOOKUP(A219,Items[],4,0),0)</f>
        <v>90615537.409999996</v>
      </c>
      <c r="I219" s="41">
        <f>IFERROR(VLOOKUP(A219,Community[],4,0),0)</f>
        <v>0</v>
      </c>
      <c r="J219" s="41">
        <f>IFERROR(VLOOKUP(A219,Community[],5,0),0)</f>
        <v>0</v>
      </c>
      <c r="K219" s="41">
        <f>IFERROR(VLOOKUP(A219,Community[],6,0),0)</f>
        <v>0</v>
      </c>
      <c r="L219" s="41">
        <f>IFERROR(VLOOKUP(A219,Community[],7,0),0)</f>
        <v>708769.6</v>
      </c>
      <c r="M219" s="41">
        <f>IFERROR(VLOOKUP(A219,Debt[],3,0),0)</f>
        <v>6797.59</v>
      </c>
      <c r="N219" s="41">
        <f>IFERROR(VLOOKUP(A219,Debt[],4,0),0)</f>
        <v>30171.96</v>
      </c>
      <c r="O219" s="41">
        <f>IFERROR(VLOOKUP(A219,Debt[],5,0),0)</f>
        <v>0</v>
      </c>
      <c r="P219" s="41">
        <f>IFERROR(VLOOKUP(A219,Items[],3,0),0)</f>
        <v>254409.56</v>
      </c>
      <c r="Q219" s="41">
        <f>IFERROR(VLOOKUP($A219,Federal[],2,0),0)</f>
        <v>4982.2</v>
      </c>
      <c r="R219" s="41">
        <f>IFERROR(VLOOKUP($A219,Federal[],4,0),0)</f>
        <v>5403933.9299999997</v>
      </c>
      <c r="S219" s="41"/>
      <c r="T219" s="47">
        <f>IFERROR(VLOOKUP($A219,Program[],3,0),0)</f>
        <v>0</v>
      </c>
      <c r="U219" s="47"/>
      <c r="V219" s="41">
        <f>IFERROR(VLOOKUP($A219,Program[],4,0),0)</f>
        <v>0</v>
      </c>
      <c r="W219" s="41">
        <f>IFERROR(VLOOKUP($A219,Program[],5,0),0)</f>
        <v>0</v>
      </c>
      <c r="X219" s="41"/>
      <c r="Y219" s="41"/>
      <c r="Z219" s="41"/>
      <c r="AA219" s="41">
        <f>IFERROR(VLOOKUP($A219,Program[],6,0),0)</f>
        <v>0</v>
      </c>
      <c r="AB219" s="41"/>
      <c r="AC219" s="41"/>
      <c r="AD219" s="41">
        <f>IFERROR(VLOOKUP($A219,Program[],7,0),0)</f>
        <v>0</v>
      </c>
      <c r="AE219" s="41">
        <f>IFERROR(VLOOKUP($A219,Program[],8,0),0)</f>
        <v>0</v>
      </c>
      <c r="AF219" s="41">
        <f>IFERROR(VLOOKUP($A219,Program[],9,0),0)</f>
        <v>0</v>
      </c>
      <c r="AG219" s="41">
        <f>IFERROR(VLOOKUP($A219,Program[],10,0),0)</f>
        <v>18125.34</v>
      </c>
      <c r="AH219" s="41">
        <f>IFERROR(VLOOKUP($A219,Program[],11,0),0)</f>
        <v>0</v>
      </c>
      <c r="AI219" s="41">
        <f>IFERROR(VLOOKUP($A219,Program[],12,0),0)</f>
        <v>0</v>
      </c>
      <c r="AJ219" s="41"/>
      <c r="AK219" s="41">
        <f>IFERROR(VLOOKUP($A219,Program[],13,0),0)</f>
        <v>0</v>
      </c>
      <c r="AL219" s="41"/>
      <c r="AM219" s="41"/>
      <c r="AN219" s="41"/>
      <c r="AO219" s="41"/>
      <c r="AP219" s="41"/>
      <c r="AQ219" s="41"/>
      <c r="AR219" s="41"/>
      <c r="AS219" s="41">
        <f>IFERROR(VLOOKUP($A219,Program[],14,0),0)</f>
        <v>0</v>
      </c>
      <c r="AT219" s="41"/>
      <c r="AU219" s="41"/>
      <c r="AV219" s="41">
        <f>IFERROR(VLOOKUP($A219,Program[],15,0),0)</f>
        <v>0</v>
      </c>
      <c r="AW219" s="41"/>
      <c r="AX219" s="41">
        <f>IFERROR(VLOOKUP($A219,Program[],16,0),0)</f>
        <v>0</v>
      </c>
      <c r="AY219" s="41">
        <f>IFERROR(VLOOKUP($A219,Program[],17,0),0)</f>
        <v>0</v>
      </c>
      <c r="AZ219" s="41">
        <f>IFERROR(VLOOKUP($A219,Program[],18,0),0)</f>
        <v>0</v>
      </c>
      <c r="BA219" s="41">
        <f>IFERROR(VLOOKUP($A219,Program[],19,0),0)</f>
        <v>9838.91</v>
      </c>
      <c r="BB219" s="77">
        <f t="shared" si="59"/>
        <v>0</v>
      </c>
      <c r="BC219" s="41">
        <f>IFERROR(VLOOKUP(A219,Food[],3,0),0)</f>
        <v>3390570.11</v>
      </c>
      <c r="BD219" s="41">
        <f>IFERROR(VLOOKUP($A219,FoodRev[],2,0),0)</f>
        <v>40813.89</v>
      </c>
      <c r="BE219" s="41">
        <f>IFERROR(VLOOKUP($A219,FoodRev[],3,0),0)</f>
        <v>911198.51</v>
      </c>
      <c r="BF219" s="41">
        <f>IFERROR(VLOOKUP($A219,FoodRev[],4,0),0)</f>
        <v>0</v>
      </c>
      <c r="BG219" s="41">
        <f>IFERROR(VLOOKUP($A219,FoodRev[],5,0),0)</f>
        <v>2227703.5299999998</v>
      </c>
      <c r="BH219" s="41">
        <f>IFERROR(VLOOKUP($A219,FoodRev[],6,0),0)</f>
        <v>0</v>
      </c>
      <c r="BI219" s="41">
        <f>IFERROR(VLOOKUP($A219,FoodRev[],7,0),0)</f>
        <v>33178.36</v>
      </c>
      <c r="BJ219" s="41">
        <f>IFERROR(VLOOKUP($A219,FoodRev[],8,0),0)</f>
        <v>318160.93</v>
      </c>
      <c r="BK219" s="41">
        <f>IFERROR(VLOOKUP($A219,FoodRev[],9,0),0)</f>
        <v>0</v>
      </c>
      <c r="BL219" s="41">
        <f>IFERROR(VLOOKUP($A219,FoodRev[],10,0),0)</f>
        <v>0</v>
      </c>
      <c r="BM219" s="41">
        <f t="shared" si="60"/>
        <v>3531055.2199999997</v>
      </c>
      <c r="BN219" s="42">
        <f t="shared" si="54"/>
        <v>-140485.10999999981</v>
      </c>
      <c r="BO219" s="78">
        <f t="shared" si="55"/>
        <v>0</v>
      </c>
      <c r="BP219" s="78">
        <f t="shared" si="56"/>
        <v>-140485.10999999981</v>
      </c>
    </row>
    <row r="220" spans="1:137" x14ac:dyDescent="0.25">
      <c r="A220" s="40" t="s">
        <v>190</v>
      </c>
      <c r="B220" s="40" t="s">
        <v>895</v>
      </c>
      <c r="D220" s="203">
        <f t="shared" si="57"/>
        <v>7.4505805969238281E-9</v>
      </c>
      <c r="E220" s="41">
        <f>IFERROR(VLOOKUP(A220,Items[],5,0),0)</f>
        <v>47691022.869999997</v>
      </c>
      <c r="F220" s="42">
        <f t="shared" si="58"/>
        <v>47691022.86999999</v>
      </c>
      <c r="G220" s="41">
        <v>0</v>
      </c>
      <c r="H220" s="41">
        <f>IFERROR(VLOOKUP(A220,Items[],4,0),0)</f>
        <v>50171572.479999997</v>
      </c>
      <c r="I220" s="41">
        <f>IFERROR(VLOOKUP(A220,Community[],4,0),0)</f>
        <v>0</v>
      </c>
      <c r="J220" s="41">
        <f>IFERROR(VLOOKUP(A220,Community[],5,0),0)</f>
        <v>0</v>
      </c>
      <c r="K220" s="41">
        <f>IFERROR(VLOOKUP(A220,Community[],6,0),0)</f>
        <v>0</v>
      </c>
      <c r="L220" s="41">
        <f>IFERROR(VLOOKUP(A220,Community[],7,0),0)</f>
        <v>75100.34</v>
      </c>
      <c r="M220" s="41">
        <f>IFERROR(VLOOKUP(A220,Debt[],3,0),0)</f>
        <v>2323.6</v>
      </c>
      <c r="N220" s="41">
        <f>IFERROR(VLOOKUP(A220,Debt[],4,0),0)</f>
        <v>65182.11</v>
      </c>
      <c r="O220" s="41">
        <f>IFERROR(VLOOKUP(A220,Debt[],5,0),0)</f>
        <v>700</v>
      </c>
      <c r="P220" s="41">
        <f>IFERROR(VLOOKUP(A220,Items[],3,0),0)</f>
        <v>74939.67</v>
      </c>
      <c r="Q220" s="41">
        <f>IFERROR(VLOOKUP($A220,Federal[],2,0),0)</f>
        <v>2948.53</v>
      </c>
      <c r="R220" s="41">
        <f>IFERROR(VLOOKUP($A220,Federal[],4,0),0)</f>
        <v>1711097.15</v>
      </c>
      <c r="S220" s="41"/>
      <c r="T220" s="47">
        <f>IFERROR(VLOOKUP($A220,Program[],3,0),0)</f>
        <v>0</v>
      </c>
      <c r="U220" s="47"/>
      <c r="V220" s="41">
        <f>IFERROR(VLOOKUP($A220,Program[],4,0),0)</f>
        <v>0</v>
      </c>
      <c r="W220" s="41">
        <f>IFERROR(VLOOKUP($A220,Program[],5,0),0)</f>
        <v>0</v>
      </c>
      <c r="X220" s="41"/>
      <c r="Y220" s="41"/>
      <c r="Z220" s="41"/>
      <c r="AA220" s="41">
        <f>IFERROR(VLOOKUP($A220,Program[],6,0),0)</f>
        <v>0</v>
      </c>
      <c r="AB220" s="41"/>
      <c r="AC220" s="41"/>
      <c r="AD220" s="41">
        <f>IFERROR(VLOOKUP($A220,Program[],7,0),0)</f>
        <v>0</v>
      </c>
      <c r="AE220" s="41">
        <f>IFERROR(VLOOKUP($A220,Program[],8,0),0)</f>
        <v>0</v>
      </c>
      <c r="AF220" s="41">
        <f>IFERROR(VLOOKUP($A220,Program[],9,0),0)</f>
        <v>0</v>
      </c>
      <c r="AG220" s="41">
        <f>IFERROR(VLOOKUP($A220,Program[],10,0),0)</f>
        <v>0</v>
      </c>
      <c r="AH220" s="41">
        <f>IFERROR(VLOOKUP($A220,Program[],11,0),0)</f>
        <v>0</v>
      </c>
      <c r="AI220" s="41">
        <f>IFERROR(VLOOKUP($A220,Program[],12,0),0)</f>
        <v>0</v>
      </c>
      <c r="AJ220" s="41"/>
      <c r="AK220" s="41">
        <f>IFERROR(VLOOKUP($A220,Program[],13,0),0)</f>
        <v>0</v>
      </c>
      <c r="AL220" s="41"/>
      <c r="AM220" s="41"/>
      <c r="AN220" s="41"/>
      <c r="AO220" s="41"/>
      <c r="AP220" s="41"/>
      <c r="AQ220" s="41"/>
      <c r="AR220" s="41"/>
      <c r="AS220" s="41">
        <f>IFERROR(VLOOKUP($A220,Program[],14,0),0)</f>
        <v>0</v>
      </c>
      <c r="AT220" s="41"/>
      <c r="AU220" s="41"/>
      <c r="AV220" s="41">
        <f>IFERROR(VLOOKUP($A220,Program[],15,0),0)</f>
        <v>0</v>
      </c>
      <c r="AW220" s="41"/>
      <c r="AX220" s="41">
        <f>IFERROR(VLOOKUP($A220,Program[],16,0),0)</f>
        <v>0</v>
      </c>
      <c r="AY220" s="41">
        <f>IFERROR(VLOOKUP($A220,Program[],17,0),0)</f>
        <v>0</v>
      </c>
      <c r="AZ220" s="41">
        <f>IFERROR(VLOOKUP($A220,Program[],18,0),0)</f>
        <v>0</v>
      </c>
      <c r="BA220" s="41">
        <f>IFERROR(VLOOKUP($A220,Program[],19,0),0)</f>
        <v>5417.15</v>
      </c>
      <c r="BB220" s="77">
        <f t="shared" si="59"/>
        <v>409996.57000000012</v>
      </c>
      <c r="BC220" s="41">
        <f>IFERROR(VLOOKUP(A220,Food[],3,0),0)</f>
        <v>1522767.34</v>
      </c>
      <c r="BD220" s="41">
        <f>IFERROR(VLOOKUP($A220,FoodRev[],2,0),0)</f>
        <v>359571.5</v>
      </c>
      <c r="BE220" s="41">
        <f>IFERROR(VLOOKUP($A220,FoodRev[],3,0),0)</f>
        <v>194103.86</v>
      </c>
      <c r="BF220" s="41">
        <f>IFERROR(VLOOKUP($A220,FoodRev[],4,0),0)</f>
        <v>0</v>
      </c>
      <c r="BG220" s="41">
        <f>IFERROR(VLOOKUP($A220,FoodRev[],5,0),0)</f>
        <v>463667.43</v>
      </c>
      <c r="BH220" s="41">
        <f>IFERROR(VLOOKUP($A220,FoodRev[],6,0),0)</f>
        <v>0</v>
      </c>
      <c r="BI220" s="41">
        <f>IFERROR(VLOOKUP($A220,FoodRev[],7,0),0)</f>
        <v>7587.35</v>
      </c>
      <c r="BJ220" s="41">
        <f>IFERROR(VLOOKUP($A220,FoodRev[],8,0),0)</f>
        <v>87840.63</v>
      </c>
      <c r="BK220" s="41">
        <f>IFERROR(VLOOKUP($A220,FoodRev[],9,0),0)</f>
        <v>0</v>
      </c>
      <c r="BL220" s="41">
        <f>IFERROR(VLOOKUP($A220,FoodRev[],10,0),0)</f>
        <v>0</v>
      </c>
      <c r="BM220" s="41">
        <f t="shared" si="60"/>
        <v>1112770.77</v>
      </c>
      <c r="BN220" s="42">
        <f t="shared" si="54"/>
        <v>409996.57000000012</v>
      </c>
      <c r="BO220" s="78">
        <f t="shared" si="55"/>
        <v>409996.57000000012</v>
      </c>
      <c r="BP220" s="78">
        <f t="shared" si="56"/>
        <v>0</v>
      </c>
    </row>
    <row r="221" spans="1:137" x14ac:dyDescent="0.25">
      <c r="A221" s="40" t="s">
        <v>378</v>
      </c>
      <c r="B221" s="40" t="s">
        <v>896</v>
      </c>
      <c r="D221" s="203">
        <f t="shared" si="57"/>
        <v>-1.862645149230957E-9</v>
      </c>
      <c r="E221" s="41">
        <f>IFERROR(VLOOKUP(A221,Items[],5,0),0)</f>
        <v>10064763.449999999</v>
      </c>
      <c r="F221" s="42">
        <f t="shared" si="58"/>
        <v>10064763.450000001</v>
      </c>
      <c r="G221" s="41">
        <v>0</v>
      </c>
      <c r="H221" s="41">
        <f>IFERROR(VLOOKUP(A221,Items[],4,0),0)</f>
        <v>13771141.810000001</v>
      </c>
      <c r="I221" s="41">
        <f>IFERROR(VLOOKUP(A221,Community[],4,0),0)</f>
        <v>0</v>
      </c>
      <c r="J221" s="41">
        <f>IFERROR(VLOOKUP(A221,Community[],5,0),0)</f>
        <v>0</v>
      </c>
      <c r="K221" s="41">
        <f>IFERROR(VLOOKUP(A221,Community[],6,0),0)</f>
        <v>0</v>
      </c>
      <c r="L221" s="41">
        <f>IFERROR(VLOOKUP(A221,Community[],7,0),0)</f>
        <v>0</v>
      </c>
      <c r="M221" s="41">
        <f>IFERROR(VLOOKUP(A221,Debt[],3,0),0)</f>
        <v>0</v>
      </c>
      <c r="N221" s="41">
        <f>IFERROR(VLOOKUP(A221,Debt[],4,0),0)</f>
        <v>0</v>
      </c>
      <c r="O221" s="41">
        <f>IFERROR(VLOOKUP(A221,Debt[],5,0),0)</f>
        <v>0</v>
      </c>
      <c r="P221" s="41">
        <f>IFERROR(VLOOKUP(A221,Items[],3,0),0)</f>
        <v>0</v>
      </c>
      <c r="Q221" s="41">
        <f>IFERROR(VLOOKUP($A221,Federal[],2,0),0)</f>
        <v>2040940.77</v>
      </c>
      <c r="R221" s="41">
        <f>IFERROR(VLOOKUP($A221,Federal[],4,0),0)</f>
        <v>1580428.87</v>
      </c>
      <c r="S221" s="41"/>
      <c r="T221" s="47">
        <f>IFERROR(VLOOKUP($A221,Program[],3,0),0)</f>
        <v>0</v>
      </c>
      <c r="U221" s="47"/>
      <c r="V221" s="41">
        <f>IFERROR(VLOOKUP($A221,Program[],4,0),0)</f>
        <v>0</v>
      </c>
      <c r="W221" s="41">
        <f>IFERROR(VLOOKUP($A221,Program[],5,0),0)</f>
        <v>0</v>
      </c>
      <c r="X221" s="41"/>
      <c r="Y221" s="41"/>
      <c r="Z221" s="41"/>
      <c r="AA221" s="41">
        <f>IFERROR(VLOOKUP($A221,Program[],6,0),0)</f>
        <v>0</v>
      </c>
      <c r="AB221" s="41"/>
      <c r="AC221" s="41"/>
      <c r="AD221" s="41">
        <f>IFERROR(VLOOKUP($A221,Program[],7,0),0)</f>
        <v>0</v>
      </c>
      <c r="AE221" s="41">
        <f>IFERROR(VLOOKUP($A221,Program[],8,0),0)</f>
        <v>0</v>
      </c>
      <c r="AF221" s="41">
        <f>IFERROR(VLOOKUP($A221,Program[],9,0),0)</f>
        <v>0</v>
      </c>
      <c r="AG221" s="41">
        <f>IFERROR(VLOOKUP($A221,Program[],10,0),0)</f>
        <v>0</v>
      </c>
      <c r="AH221" s="41">
        <f>IFERROR(VLOOKUP($A221,Program[],11,0),0)</f>
        <v>0</v>
      </c>
      <c r="AI221" s="41">
        <f>IFERROR(VLOOKUP($A221,Program[],12,0),0)</f>
        <v>0</v>
      </c>
      <c r="AJ221" s="41"/>
      <c r="AK221" s="41">
        <f>IFERROR(VLOOKUP($A221,Program[],13,0),0)</f>
        <v>0</v>
      </c>
      <c r="AL221" s="41"/>
      <c r="AM221" s="41"/>
      <c r="AN221" s="41"/>
      <c r="AO221" s="41"/>
      <c r="AP221" s="41"/>
      <c r="AQ221" s="41"/>
      <c r="AR221" s="41"/>
      <c r="AS221" s="41">
        <f>IFERROR(VLOOKUP($A221,Program[],14,0),0)</f>
        <v>0</v>
      </c>
      <c r="AT221" s="41"/>
      <c r="AU221" s="41"/>
      <c r="AV221" s="41">
        <f>IFERROR(VLOOKUP($A221,Program[],15,0),0)</f>
        <v>0</v>
      </c>
      <c r="AW221" s="41"/>
      <c r="AX221" s="41">
        <f>IFERROR(VLOOKUP($A221,Program[],16,0),0)</f>
        <v>0</v>
      </c>
      <c r="AY221" s="41">
        <f>IFERROR(VLOOKUP($A221,Program[],17,0),0)</f>
        <v>0</v>
      </c>
      <c r="AZ221" s="41">
        <f>IFERROR(VLOOKUP($A221,Program[],18,0),0)</f>
        <v>0</v>
      </c>
      <c r="BA221" s="41">
        <f>IFERROR(VLOOKUP($A221,Program[],19,0),0)</f>
        <v>0</v>
      </c>
      <c r="BB221" s="77">
        <f t="shared" si="59"/>
        <v>81153.640000000043</v>
      </c>
      <c r="BC221" s="41">
        <f>IFERROR(VLOOKUP(A221,Food[],3,0),0)</f>
        <v>471169.57</v>
      </c>
      <c r="BD221" s="41">
        <f>IFERROR(VLOOKUP($A221,FoodRev[],2,0),0)</f>
        <v>1371.23</v>
      </c>
      <c r="BE221" s="41">
        <f>IFERROR(VLOOKUP($A221,FoodRev[],3,0),0)</f>
        <v>83637.490000000005</v>
      </c>
      <c r="BF221" s="41">
        <f>IFERROR(VLOOKUP($A221,FoodRev[],4,0),0)</f>
        <v>0</v>
      </c>
      <c r="BG221" s="41">
        <f>IFERROR(VLOOKUP($A221,FoodRev[],5,0),0)</f>
        <v>259141.84</v>
      </c>
      <c r="BH221" s="41">
        <f>IFERROR(VLOOKUP($A221,FoodRev[],6,0),0)</f>
        <v>0</v>
      </c>
      <c r="BI221" s="41">
        <f>IFERROR(VLOOKUP($A221,FoodRev[],7,0),0)</f>
        <v>0</v>
      </c>
      <c r="BJ221" s="41">
        <f>IFERROR(VLOOKUP($A221,FoodRev[],8,0),0)</f>
        <v>45865.37</v>
      </c>
      <c r="BK221" s="41">
        <f>IFERROR(VLOOKUP($A221,FoodRev[],9,0),0)</f>
        <v>0</v>
      </c>
      <c r="BL221" s="41">
        <f>IFERROR(VLOOKUP($A221,FoodRev[],10,0),0)</f>
        <v>0</v>
      </c>
      <c r="BM221" s="41">
        <f t="shared" si="60"/>
        <v>390015.93</v>
      </c>
      <c r="BN221" s="42">
        <f t="shared" si="54"/>
        <v>81153.640000000043</v>
      </c>
      <c r="BO221" s="78">
        <f t="shared" si="55"/>
        <v>81153.640000000043</v>
      </c>
      <c r="BP221" s="78">
        <f t="shared" si="56"/>
        <v>0</v>
      </c>
    </row>
    <row r="222" spans="1:137" s="48" customFormat="1" x14ac:dyDescent="0.25">
      <c r="A222" s="40" t="s">
        <v>396</v>
      </c>
      <c r="B222" s="40" t="s">
        <v>897</v>
      </c>
      <c r="C222" s="1"/>
      <c r="D222" s="203">
        <f t="shared" si="57"/>
        <v>-9.3132257461547852E-10</v>
      </c>
      <c r="E222" s="41">
        <f>IFERROR(VLOOKUP(A222,Items[],5,0),0)</f>
        <v>7861730.3899999997</v>
      </c>
      <c r="F222" s="42">
        <f t="shared" si="58"/>
        <v>7861730.3900000006</v>
      </c>
      <c r="G222" s="41">
        <v>0</v>
      </c>
      <c r="H222" s="41">
        <f>IFERROR(VLOOKUP(A222,Items[],4,0),0)</f>
        <v>8311723.6500000004</v>
      </c>
      <c r="I222" s="41">
        <f>IFERROR(VLOOKUP(A222,Community[],4,0),0)</f>
        <v>0</v>
      </c>
      <c r="J222" s="41">
        <f>IFERROR(VLOOKUP(A222,Community[],5,0),0)</f>
        <v>0</v>
      </c>
      <c r="K222" s="41">
        <f>IFERROR(VLOOKUP(A222,Community[],6,0),0)</f>
        <v>0</v>
      </c>
      <c r="L222" s="41">
        <f>IFERROR(VLOOKUP(A222,Community[],7,0),0)</f>
        <v>0</v>
      </c>
      <c r="M222" s="41">
        <f>IFERROR(VLOOKUP(A222,Debt[],3,0),0)</f>
        <v>584</v>
      </c>
      <c r="N222" s="41">
        <f>IFERROR(VLOOKUP(A222,Debt[],4,0),0)</f>
        <v>13906.96</v>
      </c>
      <c r="O222" s="41">
        <f>IFERROR(VLOOKUP(A222,Debt[],5,0),0)</f>
        <v>0</v>
      </c>
      <c r="P222" s="41">
        <f>IFERROR(VLOOKUP(A222,Items[],3,0),0)</f>
        <v>0</v>
      </c>
      <c r="Q222" s="41">
        <f>IFERROR(VLOOKUP($A222,Federal[],2,0),0)</f>
        <v>499.94</v>
      </c>
      <c r="R222" s="41">
        <f>IFERROR(VLOOKUP($A222,Federal[],4,0),0)</f>
        <v>357119.1</v>
      </c>
      <c r="S222" s="41"/>
      <c r="T222" s="47">
        <f>IFERROR(VLOOKUP($A222,Program[],3,0),0)</f>
        <v>0</v>
      </c>
      <c r="U222" s="47"/>
      <c r="V222" s="41">
        <f>IFERROR(VLOOKUP($A222,Program[],4,0),0)</f>
        <v>0</v>
      </c>
      <c r="W222" s="41">
        <f>IFERROR(VLOOKUP($A222,Program[],5,0),0)</f>
        <v>0</v>
      </c>
      <c r="X222" s="41"/>
      <c r="Y222" s="41"/>
      <c r="Z222" s="41"/>
      <c r="AA222" s="41">
        <f>IFERROR(VLOOKUP($A222,Program[],6,0),0)</f>
        <v>0</v>
      </c>
      <c r="AB222" s="41"/>
      <c r="AC222" s="41"/>
      <c r="AD222" s="41">
        <f>IFERROR(VLOOKUP($A222,Program[],7,0),0)</f>
        <v>0</v>
      </c>
      <c r="AE222" s="41">
        <f>IFERROR(VLOOKUP($A222,Program[],8,0),0)</f>
        <v>0</v>
      </c>
      <c r="AF222" s="41">
        <f>IFERROR(VLOOKUP($A222,Program[],9,0),0)</f>
        <v>0</v>
      </c>
      <c r="AG222" s="41">
        <f>IFERROR(VLOOKUP($A222,Program[],10,0),0)</f>
        <v>0</v>
      </c>
      <c r="AH222" s="41">
        <f>IFERROR(VLOOKUP($A222,Program[],11,0),0)</f>
        <v>0</v>
      </c>
      <c r="AI222" s="41">
        <f>IFERROR(VLOOKUP($A222,Program[],12,0),0)</f>
        <v>0</v>
      </c>
      <c r="AJ222" s="41"/>
      <c r="AK222" s="41">
        <f>IFERROR(VLOOKUP($A222,Program[],13,0),0)</f>
        <v>0</v>
      </c>
      <c r="AL222" s="41"/>
      <c r="AM222" s="41"/>
      <c r="AN222" s="41"/>
      <c r="AO222" s="41"/>
      <c r="AP222" s="41"/>
      <c r="AQ222" s="41"/>
      <c r="AR222" s="41"/>
      <c r="AS222" s="41">
        <f>IFERROR(VLOOKUP($A222,Program[],14,0),0)</f>
        <v>0</v>
      </c>
      <c r="AT222" s="41"/>
      <c r="AU222" s="41"/>
      <c r="AV222" s="41">
        <f>IFERROR(VLOOKUP($A222,Program[],15,0),0)</f>
        <v>0</v>
      </c>
      <c r="AW222" s="41"/>
      <c r="AX222" s="41">
        <f>IFERROR(VLOOKUP($A222,Program[],16,0),0)</f>
        <v>0</v>
      </c>
      <c r="AY222" s="41">
        <f>IFERROR(VLOOKUP($A222,Program[],17,0),0)</f>
        <v>0</v>
      </c>
      <c r="AZ222" s="41">
        <f>IFERROR(VLOOKUP($A222,Program[],18,0),0)</f>
        <v>0</v>
      </c>
      <c r="BA222" s="41">
        <f>IFERROR(VLOOKUP($A222,Program[],19,0),0)</f>
        <v>0</v>
      </c>
      <c r="BB222" s="77">
        <f t="shared" si="59"/>
        <v>100191.57</v>
      </c>
      <c r="BC222" s="41">
        <f>IFERROR(VLOOKUP(A222,Food[],3,0),0)</f>
        <v>249230.83</v>
      </c>
      <c r="BD222" s="41">
        <f>IFERROR(VLOOKUP($A222,FoodRev[],2,0),0)</f>
        <v>75768.009999999995</v>
      </c>
      <c r="BE222" s="41">
        <f>IFERROR(VLOOKUP($A222,FoodRev[],3,0),0)</f>
        <v>2115.25</v>
      </c>
      <c r="BF222" s="41">
        <f>IFERROR(VLOOKUP($A222,FoodRev[],4,0),0)</f>
        <v>0</v>
      </c>
      <c r="BG222" s="41">
        <f>IFERROR(VLOOKUP($A222,FoodRev[],5,0),0)</f>
        <v>63758.85</v>
      </c>
      <c r="BH222" s="41">
        <f>IFERROR(VLOOKUP($A222,FoodRev[],6,0),0)</f>
        <v>0</v>
      </c>
      <c r="BI222" s="41">
        <f>IFERROR(VLOOKUP($A222,FoodRev[],7,0),0)</f>
        <v>0</v>
      </c>
      <c r="BJ222" s="41">
        <f>IFERROR(VLOOKUP($A222,FoodRev[],8,0),0)</f>
        <v>7397.15</v>
      </c>
      <c r="BK222" s="41">
        <f>IFERROR(VLOOKUP($A222,FoodRev[],9,0),0)</f>
        <v>0</v>
      </c>
      <c r="BL222" s="41">
        <f>IFERROR(VLOOKUP($A222,FoodRev[],10,0),0)</f>
        <v>0</v>
      </c>
      <c r="BM222" s="41">
        <f t="shared" si="60"/>
        <v>149039.25999999998</v>
      </c>
      <c r="BN222" s="42">
        <f t="shared" si="54"/>
        <v>100191.57</v>
      </c>
      <c r="BO222" s="78">
        <f t="shared" si="55"/>
        <v>100191.57</v>
      </c>
      <c r="BP222" s="78">
        <f t="shared" si="56"/>
        <v>0</v>
      </c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</row>
    <row r="223" spans="1:137" s="48" customFormat="1" x14ac:dyDescent="0.25">
      <c r="A223" s="40" t="s">
        <v>94</v>
      </c>
      <c r="B223" s="40" t="s">
        <v>898</v>
      </c>
      <c r="C223" s="47"/>
      <c r="D223" s="203">
        <f t="shared" si="57"/>
        <v>-1.4901161193847656E-8</v>
      </c>
      <c r="E223" s="41">
        <f>IFERROR(VLOOKUP(A223,Items[],5,0),0)</f>
        <v>128766267.76000001</v>
      </c>
      <c r="F223" s="42">
        <f t="shared" si="58"/>
        <v>128766267.76000002</v>
      </c>
      <c r="G223" s="41">
        <v>0</v>
      </c>
      <c r="H223" s="41">
        <f>IFERROR(VLOOKUP(A223,Items[],4,0),0)</f>
        <v>141040699.34</v>
      </c>
      <c r="I223" s="41">
        <f>IFERROR(VLOOKUP(A223,Community[],4,0),0)</f>
        <v>0</v>
      </c>
      <c r="J223" s="41">
        <f>IFERROR(VLOOKUP(A223,Community[],5,0),0)</f>
        <v>0</v>
      </c>
      <c r="K223" s="41">
        <f>IFERROR(VLOOKUP(A223,Community[],6,0),0)</f>
        <v>0</v>
      </c>
      <c r="L223" s="41">
        <f>IFERROR(VLOOKUP(A223,Community[],7,0),0)</f>
        <v>111663.99999999999</v>
      </c>
      <c r="M223" s="41">
        <f>IFERROR(VLOOKUP(A223,Debt[],3,0),0)</f>
        <v>9523.8799999999992</v>
      </c>
      <c r="N223" s="41">
        <f>IFERROR(VLOOKUP(A223,Debt[],4,0),0)</f>
        <v>145836.20000000001</v>
      </c>
      <c r="O223" s="41">
        <f>IFERROR(VLOOKUP(A223,Debt[],5,0),0)</f>
        <v>0</v>
      </c>
      <c r="P223" s="41">
        <f>IFERROR(VLOOKUP(A223,Items[],3,0),0)</f>
        <v>66785.899999999994</v>
      </c>
      <c r="Q223" s="41">
        <f>IFERROR(VLOOKUP($A223,Federal[],2,0),0)</f>
        <v>7440.56</v>
      </c>
      <c r="R223" s="41">
        <f>IFERROR(VLOOKUP($A223,Federal[],4,0),0)</f>
        <v>11117493.109999999</v>
      </c>
      <c r="S223" s="41"/>
      <c r="T223" s="47">
        <f>IFERROR(VLOOKUP($A223,Program[],3,0),0)</f>
        <v>0</v>
      </c>
      <c r="U223" s="47"/>
      <c r="V223" s="41">
        <f>IFERROR(VLOOKUP($A223,Program[],4,0),0)</f>
        <v>0</v>
      </c>
      <c r="W223" s="41">
        <f>IFERROR(VLOOKUP($A223,Program[],5,0),0)</f>
        <v>0</v>
      </c>
      <c r="X223" s="41"/>
      <c r="Y223" s="41"/>
      <c r="Z223" s="41"/>
      <c r="AA223" s="41">
        <f>IFERROR(VLOOKUP($A223,Program[],6,0),0)</f>
        <v>0</v>
      </c>
      <c r="AB223" s="41"/>
      <c r="AC223" s="41"/>
      <c r="AD223" s="41">
        <f>IFERROR(VLOOKUP($A223,Program[],7,0),0)</f>
        <v>0</v>
      </c>
      <c r="AE223" s="41">
        <f>IFERROR(VLOOKUP($A223,Program[],8,0),0)</f>
        <v>0</v>
      </c>
      <c r="AF223" s="41">
        <f>IFERROR(VLOOKUP($A223,Program[],9,0),0)</f>
        <v>0</v>
      </c>
      <c r="AG223" s="41">
        <f>IFERROR(VLOOKUP($A223,Program[],10,0),0)</f>
        <v>0</v>
      </c>
      <c r="AH223" s="41">
        <f>IFERROR(VLOOKUP($A223,Program[],11,0),0)</f>
        <v>0</v>
      </c>
      <c r="AI223" s="41">
        <f>IFERROR(VLOOKUP($A223,Program[],12,0),0)</f>
        <v>0</v>
      </c>
      <c r="AJ223" s="41"/>
      <c r="AK223" s="41">
        <f>IFERROR(VLOOKUP($A223,Program[],13,0),0)</f>
        <v>0</v>
      </c>
      <c r="AL223" s="41"/>
      <c r="AM223" s="41"/>
      <c r="AN223" s="41"/>
      <c r="AO223" s="41"/>
      <c r="AP223" s="41"/>
      <c r="AQ223" s="41"/>
      <c r="AR223" s="41"/>
      <c r="AS223" s="41">
        <f>IFERROR(VLOOKUP($A223,Program[],14,0),0)</f>
        <v>0</v>
      </c>
      <c r="AT223" s="41"/>
      <c r="AU223" s="41"/>
      <c r="AV223" s="41">
        <f>IFERROR(VLOOKUP($A223,Program[],15,0),0)</f>
        <v>0</v>
      </c>
      <c r="AW223" s="41"/>
      <c r="AX223" s="41">
        <f>IFERROR(VLOOKUP($A223,Program[],16,0),0)</f>
        <v>0</v>
      </c>
      <c r="AY223" s="41">
        <f>IFERROR(VLOOKUP($A223,Program[],17,0),0)</f>
        <v>0</v>
      </c>
      <c r="AZ223" s="41">
        <f>IFERROR(VLOOKUP($A223,Program[],18,0),0)</f>
        <v>0</v>
      </c>
      <c r="BA223" s="41">
        <f>IFERROR(VLOOKUP($A223,Program[],19,0),0)</f>
        <v>0</v>
      </c>
      <c r="BB223" s="77">
        <f t="shared" si="59"/>
        <v>230415.45999999985</v>
      </c>
      <c r="BC223" s="41">
        <f>IFERROR(VLOOKUP(A223,Food[],3,0),0)</f>
        <v>4689511.63</v>
      </c>
      <c r="BD223" s="41">
        <f>IFERROR(VLOOKUP($A223,FoodRev[],2,0),0)</f>
        <v>107446.57</v>
      </c>
      <c r="BE223" s="41">
        <f>IFERROR(VLOOKUP($A223,FoodRev[],3,0),0)</f>
        <v>708241.36</v>
      </c>
      <c r="BF223" s="41">
        <f>IFERROR(VLOOKUP($A223,FoodRev[],4,0),0)</f>
        <v>0</v>
      </c>
      <c r="BG223" s="41">
        <f>IFERROR(VLOOKUP($A223,FoodRev[],5,0),0)</f>
        <v>3456400.86</v>
      </c>
      <c r="BH223" s="41">
        <f>IFERROR(VLOOKUP($A223,FoodRev[],6,0),0)</f>
        <v>0</v>
      </c>
      <c r="BI223" s="41">
        <f>IFERROR(VLOOKUP($A223,FoodRev[],7,0),0)</f>
        <v>65000.01</v>
      </c>
      <c r="BJ223" s="41">
        <f>IFERROR(VLOOKUP($A223,FoodRev[],8,0),0)</f>
        <v>122007.37</v>
      </c>
      <c r="BK223" s="41">
        <f>IFERROR(VLOOKUP($A223,FoodRev[],9,0),0)</f>
        <v>0</v>
      </c>
      <c r="BL223" s="41">
        <f>IFERROR(VLOOKUP($A223,FoodRev[],10,0),0)</f>
        <v>0</v>
      </c>
      <c r="BM223" s="41">
        <f t="shared" si="60"/>
        <v>4459096.17</v>
      </c>
      <c r="BN223" s="42">
        <f>BC223-BD223-BE223-BF223-BG223-BH223-BI223-BJ223-BK223-BL223</f>
        <v>230415.45999999985</v>
      </c>
      <c r="BO223" s="78">
        <f t="shared" si="55"/>
        <v>230415.45999999985</v>
      </c>
      <c r="BP223" s="78">
        <f t="shared" si="56"/>
        <v>0</v>
      </c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</row>
    <row r="224" spans="1:137" s="48" customFormat="1" x14ac:dyDescent="0.25">
      <c r="A224" s="49" t="s">
        <v>536</v>
      </c>
      <c r="B224" s="49" t="s">
        <v>899</v>
      </c>
      <c r="C224" s="50">
        <f>VLOOKUP(A224,Federal[],3,0)</f>
        <v>22916.43</v>
      </c>
      <c r="D224" s="203">
        <f t="shared" si="57"/>
        <v>22916.429999999935</v>
      </c>
      <c r="E224" s="41">
        <f>IFERROR(VLOOKUP(A224,Items[],5,0),0)</f>
        <v>1949932.68</v>
      </c>
      <c r="F224" s="42">
        <f t="shared" si="58"/>
        <v>1927016.25</v>
      </c>
      <c r="G224" s="41">
        <v>0</v>
      </c>
      <c r="H224" s="41">
        <f>IFERROR(VLOOKUP(A224,Items[],4,0),0)</f>
        <v>2093358.01</v>
      </c>
      <c r="I224" s="41">
        <f>IFERROR(VLOOKUP(A224,Community[],4,0),0)</f>
        <v>0</v>
      </c>
      <c r="J224" s="41">
        <f>IFERROR(VLOOKUP(A224,Community[],5,0),0)</f>
        <v>0</v>
      </c>
      <c r="K224" s="41">
        <f>IFERROR(VLOOKUP(A224,Community[],6,0),0)</f>
        <v>0</v>
      </c>
      <c r="L224" s="41">
        <f>IFERROR(VLOOKUP(A224,Community[],7,0),0)</f>
        <v>411.52</v>
      </c>
      <c r="M224" s="41">
        <f>IFERROR(VLOOKUP(A224,Debt[],3,0),0)</f>
        <v>0</v>
      </c>
      <c r="N224" s="41">
        <f>IFERROR(VLOOKUP(A224,Debt[],4,0),0)</f>
        <v>0</v>
      </c>
      <c r="O224" s="41">
        <f>IFERROR(VLOOKUP(A224,Debt[],5,0),0)</f>
        <v>0</v>
      </c>
      <c r="P224" s="41">
        <f>IFERROR(VLOOKUP(A224,Items[],3,0),0)</f>
        <v>0</v>
      </c>
      <c r="Q224" s="41">
        <f>IFERROR(VLOOKUP($A224,Federal[],2,0),0)</f>
        <v>24005.71</v>
      </c>
      <c r="R224" s="41">
        <f>IFERROR(VLOOKUP($A224,Federal[],4,0),0)</f>
        <v>100545.11</v>
      </c>
      <c r="S224" s="50">
        <f>IFERROR(VLOOKUP($A224,Federal[],3,0),0)</f>
        <v>22916.43</v>
      </c>
      <c r="T224" s="47">
        <f>IFERROR(VLOOKUP($A224,Program[],3,0),0)</f>
        <v>0</v>
      </c>
      <c r="U224" s="47"/>
      <c r="V224" s="41">
        <f>IFERROR(VLOOKUP($A224,Program[],4,0),0)</f>
        <v>0</v>
      </c>
      <c r="W224" s="41">
        <f>IFERROR(VLOOKUP($A224,Program[],5,0),0)</f>
        <v>0</v>
      </c>
      <c r="X224" s="41"/>
      <c r="Y224" s="41"/>
      <c r="Z224" s="41"/>
      <c r="AA224" s="41">
        <f>IFERROR(VLOOKUP($A224,Program[],6,0),0)</f>
        <v>0</v>
      </c>
      <c r="AB224" s="41"/>
      <c r="AC224" s="41"/>
      <c r="AD224" s="41">
        <f>IFERROR(VLOOKUP($A224,Program[],7,0),0)</f>
        <v>0</v>
      </c>
      <c r="AE224" s="41">
        <f>IFERROR(VLOOKUP($A224,Program[],8,0),0)</f>
        <v>0</v>
      </c>
      <c r="AF224" s="41">
        <f>IFERROR(VLOOKUP($A224,Program[],9,0),0)</f>
        <v>0</v>
      </c>
      <c r="AG224" s="41">
        <f>IFERROR(VLOOKUP($A224,Program[],10,0),0)</f>
        <v>0</v>
      </c>
      <c r="AH224" s="41">
        <f>IFERROR(VLOOKUP($A224,Program[],11,0),0)</f>
        <v>0</v>
      </c>
      <c r="AI224" s="41">
        <f>IFERROR(VLOOKUP($A224,Program[],12,0),0)</f>
        <v>0</v>
      </c>
      <c r="AJ224" s="41"/>
      <c r="AK224" s="41">
        <f>IFERROR(VLOOKUP($A224,Program[],13,0),0)</f>
        <v>0</v>
      </c>
      <c r="AL224" s="41"/>
      <c r="AM224" s="41"/>
      <c r="AN224" s="41"/>
      <c r="AO224" s="41"/>
      <c r="AP224" s="41"/>
      <c r="AQ224" s="41"/>
      <c r="AR224" s="41"/>
      <c r="AS224" s="41">
        <f>IFERROR(VLOOKUP($A224,Program[],14,0),0)</f>
        <v>0</v>
      </c>
      <c r="AT224" s="41"/>
      <c r="AU224" s="41"/>
      <c r="AV224" s="41">
        <f>IFERROR(VLOOKUP($A224,Program[],15,0),0)</f>
        <v>0</v>
      </c>
      <c r="AW224" s="41"/>
      <c r="AX224" s="41">
        <f>IFERROR(VLOOKUP($A224,Program[],16,0),0)</f>
        <v>0</v>
      </c>
      <c r="AY224" s="41">
        <f>IFERROR(VLOOKUP($A224,Program[],17,0),0)</f>
        <v>0</v>
      </c>
      <c r="AZ224" s="41">
        <f>IFERROR(VLOOKUP($A224,Program[],18,0),0)</f>
        <v>0</v>
      </c>
      <c r="BA224" s="41">
        <f>IFERROR(VLOOKUP($A224,Program[],19,0),0)</f>
        <v>0</v>
      </c>
      <c r="BB224" s="77">
        <f t="shared" si="59"/>
        <v>56765.599999999999</v>
      </c>
      <c r="BC224" s="41">
        <f>IFERROR(VLOOKUP(A224,Food[],3,0),0)</f>
        <v>120061.85</v>
      </c>
      <c r="BD224" s="41">
        <f>IFERROR(VLOOKUP($A224,FoodRev[],2,0),0)</f>
        <v>1149.6099999999999</v>
      </c>
      <c r="BE224" s="41">
        <f>IFERROR(VLOOKUP($A224,FoodRev[],3,0),0)</f>
        <v>17313.38</v>
      </c>
      <c r="BF224" s="41">
        <f>IFERROR(VLOOKUP($A224,FoodRev[],4,0),0)</f>
        <v>0</v>
      </c>
      <c r="BG224" s="41">
        <f>IFERROR(VLOOKUP($A224,FoodRev[],5,0),0)</f>
        <v>44833.26</v>
      </c>
      <c r="BH224" s="41">
        <f>IFERROR(VLOOKUP($A224,FoodRev[],6,0),0)</f>
        <v>0</v>
      </c>
      <c r="BI224" s="41">
        <f>IFERROR(VLOOKUP($A224,FoodRev[],7,0),0)</f>
        <v>0</v>
      </c>
      <c r="BJ224" s="41">
        <f>IFERROR(VLOOKUP($A224,FoodRev[],8,0),0)</f>
        <v>0</v>
      </c>
      <c r="BK224" s="41">
        <f>IFERROR(VLOOKUP($A224,FoodRev[],9,0),0)</f>
        <v>0</v>
      </c>
      <c r="BL224" s="41">
        <f>IFERROR(VLOOKUP($A224,FoodRev[],10,0),0)</f>
        <v>0</v>
      </c>
      <c r="BM224" s="41">
        <f t="shared" si="60"/>
        <v>63296.25</v>
      </c>
      <c r="BN224" s="42">
        <f t="shared" si="54"/>
        <v>56765.599999999999</v>
      </c>
      <c r="BO224" s="80">
        <f t="shared" si="55"/>
        <v>56765.599999999999</v>
      </c>
      <c r="BP224" s="80">
        <f t="shared" si="56"/>
        <v>0</v>
      </c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</row>
    <row r="225" spans="1:137" s="48" customFormat="1" x14ac:dyDescent="0.25">
      <c r="A225" s="49" t="s">
        <v>560</v>
      </c>
      <c r="B225" s="49" t="s">
        <v>900</v>
      </c>
      <c r="C225" s="50">
        <f>VLOOKUP(A225,Federal[],3,0)</f>
        <v>16336.46</v>
      </c>
      <c r="D225" s="203">
        <f t="shared" si="57"/>
        <v>16336.459999999963</v>
      </c>
      <c r="E225" s="41">
        <f>IFERROR(VLOOKUP(A225,Items[],5,0),0)</f>
        <v>1338727.8700000001</v>
      </c>
      <c r="F225" s="42">
        <f t="shared" si="58"/>
        <v>1322391.4100000001</v>
      </c>
      <c r="G225" s="41">
        <v>0</v>
      </c>
      <c r="H225" s="41">
        <f>IFERROR(VLOOKUP(A225,Items[],4,0),0)</f>
        <v>1386473</v>
      </c>
      <c r="I225" s="41">
        <f>IFERROR(VLOOKUP(A225,Community[],4,0),0)</f>
        <v>0</v>
      </c>
      <c r="J225" s="41">
        <f>IFERROR(VLOOKUP(A225,Community[],5,0),0)</f>
        <v>0</v>
      </c>
      <c r="K225" s="41">
        <f>IFERROR(VLOOKUP(A225,Community[],6,0),0)</f>
        <v>0</v>
      </c>
      <c r="L225" s="41">
        <f>IFERROR(VLOOKUP(A225,Community[],7,0),0)</f>
        <v>0</v>
      </c>
      <c r="M225" s="41">
        <f>IFERROR(VLOOKUP(A225,Debt[],3,0),0)</f>
        <v>0</v>
      </c>
      <c r="N225" s="41">
        <f>IFERROR(VLOOKUP(A225,Debt[],4,0),0)</f>
        <v>4388.8999999999996</v>
      </c>
      <c r="O225" s="41">
        <f>IFERROR(VLOOKUP(A225,Debt[],5,0),0)</f>
        <v>0</v>
      </c>
      <c r="P225" s="41">
        <f>IFERROR(VLOOKUP(A225,Items[],3,0),0)</f>
        <v>0</v>
      </c>
      <c r="Q225" s="41">
        <f>IFERROR(VLOOKUP($A225,Federal[],2,0),0)</f>
        <v>16336.46</v>
      </c>
      <c r="R225" s="41">
        <f>IFERROR(VLOOKUP($A225,Federal[],4,0),0)</f>
        <v>26298.27</v>
      </c>
      <c r="S225" s="50">
        <f>IFERROR(VLOOKUP($A225,Federal[],3,0),0)</f>
        <v>16336.46</v>
      </c>
      <c r="T225" s="47">
        <f>IFERROR(VLOOKUP($A225,Program[],3,0),0)</f>
        <v>0</v>
      </c>
      <c r="U225" s="47"/>
      <c r="V225" s="41">
        <f>IFERROR(VLOOKUP($A225,Program[],4,0),0)</f>
        <v>0</v>
      </c>
      <c r="W225" s="41">
        <f>IFERROR(VLOOKUP($A225,Program[],5,0),0)</f>
        <v>0</v>
      </c>
      <c r="X225" s="41"/>
      <c r="Y225" s="41"/>
      <c r="Z225" s="41"/>
      <c r="AA225" s="41">
        <f>IFERROR(VLOOKUP($A225,Program[],6,0),0)</f>
        <v>0</v>
      </c>
      <c r="AB225" s="41"/>
      <c r="AC225" s="41"/>
      <c r="AD225" s="41">
        <f>IFERROR(VLOOKUP($A225,Program[],7,0),0)</f>
        <v>0</v>
      </c>
      <c r="AE225" s="41">
        <f>IFERROR(VLOOKUP($A225,Program[],8,0),0)</f>
        <v>0</v>
      </c>
      <c r="AF225" s="41">
        <f>IFERROR(VLOOKUP($A225,Program[],9,0),0)</f>
        <v>0</v>
      </c>
      <c r="AG225" s="41">
        <f>IFERROR(VLOOKUP($A225,Program[],10,0),0)</f>
        <v>0</v>
      </c>
      <c r="AH225" s="41">
        <f>IFERROR(VLOOKUP($A225,Program[],11,0),0)</f>
        <v>0</v>
      </c>
      <c r="AI225" s="41">
        <f>IFERROR(VLOOKUP($A225,Program[],12,0),0)</f>
        <v>0</v>
      </c>
      <c r="AJ225" s="41"/>
      <c r="AK225" s="41">
        <f>IFERROR(VLOOKUP($A225,Program[],13,0),0)</f>
        <v>0</v>
      </c>
      <c r="AL225" s="41"/>
      <c r="AM225" s="41"/>
      <c r="AN225" s="41"/>
      <c r="AO225" s="41"/>
      <c r="AP225" s="41"/>
      <c r="AQ225" s="41"/>
      <c r="AR225" s="41"/>
      <c r="AS225" s="41">
        <f>IFERROR(VLOOKUP($A225,Program[],14,0),0)</f>
        <v>0</v>
      </c>
      <c r="AT225" s="41"/>
      <c r="AU225" s="41"/>
      <c r="AV225" s="41">
        <f>IFERROR(VLOOKUP($A225,Program[],15,0),0)</f>
        <v>0</v>
      </c>
      <c r="AW225" s="41"/>
      <c r="AX225" s="41">
        <f>IFERROR(VLOOKUP($A225,Program[],16,0),0)</f>
        <v>0</v>
      </c>
      <c r="AY225" s="41">
        <f>IFERROR(VLOOKUP($A225,Program[],17,0),0)</f>
        <v>0</v>
      </c>
      <c r="AZ225" s="41">
        <f>IFERROR(VLOOKUP($A225,Program[],18,0),0)</f>
        <v>0</v>
      </c>
      <c r="BA225" s="41">
        <f>IFERROR(VLOOKUP($A225,Program[],19,0),0)</f>
        <v>0</v>
      </c>
      <c r="BB225" s="77">
        <f t="shared" si="59"/>
        <v>0</v>
      </c>
      <c r="BC225" s="41">
        <f>IFERROR(VLOOKUP(A225,Food[],3,0),0)</f>
        <v>1863.5500000000002</v>
      </c>
      <c r="BD225" s="41">
        <f>IFERROR(VLOOKUP($A225,FoodRev[],2,0),0)</f>
        <v>785.45</v>
      </c>
      <c r="BE225" s="41">
        <f>IFERROR(VLOOKUP($A225,FoodRev[],3,0),0)</f>
        <v>0</v>
      </c>
      <c r="BF225" s="41">
        <f>IFERROR(VLOOKUP($A225,FoodRev[],4,0),0)</f>
        <v>0</v>
      </c>
      <c r="BG225" s="41">
        <f>IFERROR(VLOOKUP($A225,FoodRev[],5,0),0)</f>
        <v>1142.05</v>
      </c>
      <c r="BH225" s="41">
        <f>IFERROR(VLOOKUP($A225,FoodRev[],6,0),0)</f>
        <v>0</v>
      </c>
      <c r="BI225" s="41">
        <f>IFERROR(VLOOKUP($A225,FoodRev[],7,0),0)</f>
        <v>0</v>
      </c>
      <c r="BJ225" s="41">
        <f>IFERROR(VLOOKUP($A225,FoodRev[],8,0),0)</f>
        <v>0</v>
      </c>
      <c r="BK225" s="41">
        <f>IFERROR(VLOOKUP($A225,FoodRev[],9,0),0)</f>
        <v>0</v>
      </c>
      <c r="BL225" s="41">
        <f>IFERROR(VLOOKUP($A225,FoodRev[],10,0),0)</f>
        <v>0</v>
      </c>
      <c r="BM225" s="41">
        <f t="shared" si="60"/>
        <v>1927.5</v>
      </c>
      <c r="BN225" s="42">
        <f t="shared" si="54"/>
        <v>-63.949999999999818</v>
      </c>
      <c r="BO225" s="80">
        <f t="shared" si="55"/>
        <v>0</v>
      </c>
      <c r="BP225" s="80">
        <f t="shared" si="56"/>
        <v>-63.949999999999818</v>
      </c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</row>
    <row r="226" spans="1:137" x14ac:dyDescent="0.25">
      <c r="A226" s="49" t="s">
        <v>600</v>
      </c>
      <c r="B226" s="49" t="s">
        <v>901</v>
      </c>
      <c r="C226" s="50">
        <f>VLOOKUP(A226,Federal[],3,0)</f>
        <v>14457.77</v>
      </c>
      <c r="D226" s="203">
        <f t="shared" si="57"/>
        <v>14457.769999999087</v>
      </c>
      <c r="E226" s="41">
        <f>IFERROR(VLOOKUP(A226,Items[],5,0),0)</f>
        <v>2338359.81</v>
      </c>
      <c r="F226" s="42">
        <f t="shared" si="58"/>
        <v>2323902.040000001</v>
      </c>
      <c r="G226" s="41">
        <v>0</v>
      </c>
      <c r="H226" s="41">
        <f>IFERROR(VLOOKUP(A226,Items[],4,0),0)</f>
        <v>2479063.83</v>
      </c>
      <c r="I226" s="41">
        <f>IFERROR(VLOOKUP(A226,Community[],4,0),0)</f>
        <v>0</v>
      </c>
      <c r="J226" s="41">
        <f>IFERROR(VLOOKUP(A226,Community[],5,0),0)</f>
        <v>0</v>
      </c>
      <c r="K226" s="41">
        <f>IFERROR(VLOOKUP(A226,Community[],6,0),0)</f>
        <v>0</v>
      </c>
      <c r="L226" s="41">
        <f>IFERROR(VLOOKUP(A226,Community[],7,0),0)</f>
        <v>0</v>
      </c>
      <c r="M226" s="41">
        <f>IFERROR(VLOOKUP(A226,Debt[],3,0),0)</f>
        <v>0</v>
      </c>
      <c r="N226" s="41">
        <f>IFERROR(VLOOKUP(A226,Debt[],4,0),0)</f>
        <v>5574.51</v>
      </c>
      <c r="O226" s="41">
        <f>IFERROR(VLOOKUP(A226,Debt[],5,0),0)</f>
        <v>0</v>
      </c>
      <c r="P226" s="41">
        <f>IFERROR(VLOOKUP(A226,Items[],3,0),0)</f>
        <v>0</v>
      </c>
      <c r="Q226" s="41">
        <f>IFERROR(VLOOKUP($A226,Federal[],2,0),0)</f>
        <v>14457.77</v>
      </c>
      <c r="R226" s="41">
        <f>IFERROR(VLOOKUP($A226,Federal[],4,0),0)</f>
        <v>107372.34</v>
      </c>
      <c r="S226" s="50">
        <f>IFERROR(VLOOKUP($A226,Federal[],3,0),0)</f>
        <v>14457.77</v>
      </c>
      <c r="T226" s="47">
        <f>IFERROR(VLOOKUP($A226,Program[],3,0),0)</f>
        <v>0</v>
      </c>
      <c r="U226" s="47"/>
      <c r="V226" s="41">
        <f>IFERROR(VLOOKUP($A226,Program[],4,0),0)</f>
        <v>0</v>
      </c>
      <c r="W226" s="41">
        <f>IFERROR(VLOOKUP($A226,Program[],5,0),0)</f>
        <v>0</v>
      </c>
      <c r="X226" s="41"/>
      <c r="Y226" s="41"/>
      <c r="Z226" s="41"/>
      <c r="AA226" s="41">
        <f>IFERROR(VLOOKUP($A226,Program[],6,0),0)</f>
        <v>0</v>
      </c>
      <c r="AB226" s="41"/>
      <c r="AC226" s="41"/>
      <c r="AD226" s="41">
        <f>IFERROR(VLOOKUP($A226,Program[],7,0),0)</f>
        <v>0</v>
      </c>
      <c r="AE226" s="41">
        <f>IFERROR(VLOOKUP($A226,Program[],8,0),0)</f>
        <v>0</v>
      </c>
      <c r="AF226" s="41">
        <f>IFERROR(VLOOKUP($A226,Program[],9,0),0)</f>
        <v>0</v>
      </c>
      <c r="AG226" s="41">
        <f>IFERROR(VLOOKUP($A226,Program[],10,0),0)</f>
        <v>0</v>
      </c>
      <c r="AH226" s="41">
        <f>IFERROR(VLOOKUP($A226,Program[],11,0),0)</f>
        <v>0</v>
      </c>
      <c r="AI226" s="41">
        <f>IFERROR(VLOOKUP($A226,Program[],12,0),0)</f>
        <v>0</v>
      </c>
      <c r="AJ226" s="41"/>
      <c r="AK226" s="41">
        <f>IFERROR(VLOOKUP($A226,Program[],13,0),0)</f>
        <v>0</v>
      </c>
      <c r="AL226" s="41"/>
      <c r="AM226" s="41"/>
      <c r="AN226" s="41"/>
      <c r="AO226" s="41"/>
      <c r="AP226" s="41"/>
      <c r="AQ226" s="41"/>
      <c r="AR226" s="41"/>
      <c r="AS226" s="41">
        <f>IFERROR(VLOOKUP($A226,Program[],14,0),0)</f>
        <v>0</v>
      </c>
      <c r="AT226" s="41"/>
      <c r="AU226" s="41"/>
      <c r="AV226" s="41">
        <f>IFERROR(VLOOKUP($A226,Program[],15,0),0)</f>
        <v>0</v>
      </c>
      <c r="AW226" s="41"/>
      <c r="AX226" s="41">
        <f>IFERROR(VLOOKUP($A226,Program[],16,0),0)</f>
        <v>0</v>
      </c>
      <c r="AY226" s="41">
        <f>IFERROR(VLOOKUP($A226,Program[],17,0),0)</f>
        <v>0</v>
      </c>
      <c r="AZ226" s="41">
        <f>IFERROR(VLOOKUP($A226,Program[],18,0),0)</f>
        <v>0</v>
      </c>
      <c r="BA226" s="41">
        <f>IFERROR(VLOOKUP($A226,Program[],19,0),0)</f>
        <v>0</v>
      </c>
      <c r="BB226" s="77">
        <f t="shared" si="59"/>
        <v>63116.740000000013</v>
      </c>
      <c r="BC226" s="41">
        <f>IFERROR(VLOOKUP(A226,Food[],3,0),0)</f>
        <v>102005.51000000001</v>
      </c>
      <c r="BD226" s="41">
        <f>IFERROR(VLOOKUP($A226,FoodRev[],2,0),0)</f>
        <v>12309.25</v>
      </c>
      <c r="BE226" s="41">
        <f>IFERROR(VLOOKUP($A226,FoodRev[],3,0),0)</f>
        <v>990.15</v>
      </c>
      <c r="BF226" s="41">
        <f>IFERROR(VLOOKUP($A226,FoodRev[],4,0),0)</f>
        <v>0</v>
      </c>
      <c r="BG226" s="41">
        <f>IFERROR(VLOOKUP($A226,FoodRev[],5,0),0)</f>
        <v>20237.52</v>
      </c>
      <c r="BH226" s="41">
        <f>IFERROR(VLOOKUP($A226,FoodRev[],6,0),0)</f>
        <v>0</v>
      </c>
      <c r="BI226" s="41">
        <f>IFERROR(VLOOKUP($A226,FoodRev[],7,0),0)</f>
        <v>0</v>
      </c>
      <c r="BJ226" s="41">
        <f>IFERROR(VLOOKUP($A226,FoodRev[],8,0),0)</f>
        <v>5351.85</v>
      </c>
      <c r="BK226" s="41">
        <f>IFERROR(VLOOKUP($A226,FoodRev[],9,0),0)</f>
        <v>0</v>
      </c>
      <c r="BL226" s="41">
        <f>IFERROR(VLOOKUP($A226,FoodRev[],10,0),0)</f>
        <v>0</v>
      </c>
      <c r="BM226" s="41">
        <f t="shared" si="60"/>
        <v>38888.769999999997</v>
      </c>
      <c r="BN226" s="42">
        <f t="shared" si="54"/>
        <v>63116.740000000013</v>
      </c>
      <c r="BO226" s="80">
        <f t="shared" si="55"/>
        <v>63116.740000000013</v>
      </c>
      <c r="BP226" s="80">
        <f t="shared" si="56"/>
        <v>0</v>
      </c>
    </row>
    <row r="227" spans="1:137" x14ac:dyDescent="0.25">
      <c r="A227" s="49" t="s">
        <v>306</v>
      </c>
      <c r="B227" s="49" t="s">
        <v>902</v>
      </c>
      <c r="C227" s="50">
        <f>VLOOKUP(A227,Federal[],3,0)</f>
        <v>158420.59</v>
      </c>
      <c r="D227" s="203">
        <f t="shared" si="57"/>
        <v>158420.58999999985</v>
      </c>
      <c r="E227" s="41">
        <f>IFERROR(VLOOKUP(A227,Items[],5,0),0)</f>
        <v>14356212.18</v>
      </c>
      <c r="F227" s="42">
        <f t="shared" si="58"/>
        <v>14197791.59</v>
      </c>
      <c r="G227" s="41">
        <v>0</v>
      </c>
      <c r="H227" s="41">
        <f>IFERROR(VLOOKUP(A227,Items[],4,0),0)</f>
        <v>15737631.23</v>
      </c>
      <c r="I227" s="41">
        <f>IFERROR(VLOOKUP(A227,Community[],4,0),0)</f>
        <v>0</v>
      </c>
      <c r="J227" s="41">
        <f>IFERROR(VLOOKUP(A227,Community[],5,0),0)</f>
        <v>0</v>
      </c>
      <c r="K227" s="41">
        <f>IFERROR(VLOOKUP(A227,Community[],6,0),0)</f>
        <v>0</v>
      </c>
      <c r="L227" s="41">
        <f>IFERROR(VLOOKUP(A227,Community[],7,0),0)</f>
        <v>2674.14</v>
      </c>
      <c r="M227" s="41">
        <f>IFERROR(VLOOKUP(A227,Debt[],3,0),0)</f>
        <v>2351.3000000000002</v>
      </c>
      <c r="N227" s="41">
        <f>IFERROR(VLOOKUP(A227,Debt[],4,0),0)</f>
        <v>74938.559999999998</v>
      </c>
      <c r="O227" s="41">
        <f>IFERROR(VLOOKUP(A227,Debt[],5,0),0)</f>
        <v>0</v>
      </c>
      <c r="P227" s="41">
        <f>IFERROR(VLOOKUP(A227,Items[],3,0),0)</f>
        <v>231556.19</v>
      </c>
      <c r="Q227" s="41">
        <f>IFERROR(VLOOKUP($A227,Federal[],2,0),0)</f>
        <v>158952.26999999999</v>
      </c>
      <c r="R227" s="41">
        <f>IFERROR(VLOOKUP($A227,Federal[],4,0),0)</f>
        <v>758292.26</v>
      </c>
      <c r="S227" s="50">
        <f>IFERROR(VLOOKUP($A227,Federal[],3,0),0)</f>
        <v>158420.59</v>
      </c>
      <c r="T227" s="47">
        <f>IFERROR(VLOOKUP($A227,Program[],3,0),0)</f>
        <v>0</v>
      </c>
      <c r="U227" s="47"/>
      <c r="V227" s="41">
        <f>IFERROR(VLOOKUP($A227,Program[],4,0),0)</f>
        <v>0</v>
      </c>
      <c r="W227" s="41">
        <f>IFERROR(VLOOKUP($A227,Program[],5,0),0)</f>
        <v>0</v>
      </c>
      <c r="X227" s="41"/>
      <c r="Y227" s="41"/>
      <c r="Z227" s="41"/>
      <c r="AA227" s="41">
        <f>IFERROR(VLOOKUP($A227,Program[],6,0),0)</f>
        <v>0</v>
      </c>
      <c r="AB227" s="41"/>
      <c r="AC227" s="41"/>
      <c r="AD227" s="41">
        <f>IFERROR(VLOOKUP($A227,Program[],7,0),0)</f>
        <v>0</v>
      </c>
      <c r="AE227" s="41">
        <f>IFERROR(VLOOKUP($A227,Program[],8,0),0)</f>
        <v>0</v>
      </c>
      <c r="AF227" s="41">
        <f>IFERROR(VLOOKUP($A227,Program[],9,0),0)</f>
        <v>0</v>
      </c>
      <c r="AG227" s="41">
        <f>IFERROR(VLOOKUP($A227,Program[],10,0),0)</f>
        <v>0</v>
      </c>
      <c r="AH227" s="41">
        <f>IFERROR(VLOOKUP($A227,Program[],11,0),0)</f>
        <v>0</v>
      </c>
      <c r="AI227" s="41">
        <f>IFERROR(VLOOKUP($A227,Program[],12,0),0)</f>
        <v>0</v>
      </c>
      <c r="AJ227" s="41"/>
      <c r="AK227" s="41">
        <f>IFERROR(VLOOKUP($A227,Program[],13,0),0)</f>
        <v>0</v>
      </c>
      <c r="AL227" s="41"/>
      <c r="AM227" s="41"/>
      <c r="AN227" s="41"/>
      <c r="AO227" s="41"/>
      <c r="AP227" s="41"/>
      <c r="AQ227" s="41"/>
      <c r="AR227" s="41"/>
      <c r="AS227" s="41">
        <f>IFERROR(VLOOKUP($A227,Program[],14,0),0)</f>
        <v>0</v>
      </c>
      <c r="AT227" s="41"/>
      <c r="AU227" s="41"/>
      <c r="AV227" s="41">
        <f>IFERROR(VLOOKUP($A227,Program[],15,0),0)</f>
        <v>0</v>
      </c>
      <c r="AW227" s="41"/>
      <c r="AX227" s="41">
        <f>IFERROR(VLOOKUP($A227,Program[],16,0),0)</f>
        <v>0</v>
      </c>
      <c r="AY227" s="41">
        <f>IFERROR(VLOOKUP($A227,Program[],17,0),0)</f>
        <v>0</v>
      </c>
      <c r="AZ227" s="41">
        <f>IFERROR(VLOOKUP($A227,Program[],18,0),0)</f>
        <v>0</v>
      </c>
      <c r="BA227" s="41">
        <f>IFERROR(VLOOKUP($A227,Program[],19,0),0)</f>
        <v>0</v>
      </c>
      <c r="BB227" s="77">
        <f t="shared" si="59"/>
        <v>19043.210000000006</v>
      </c>
      <c r="BC227" s="41">
        <f>IFERROR(VLOOKUP(A227,Food[],3,0),0)</f>
        <v>521276.57999999996</v>
      </c>
      <c r="BD227" s="41">
        <f>IFERROR(VLOOKUP($A227,FoodRev[],2,0),0)</f>
        <v>12323.8</v>
      </c>
      <c r="BE227" s="41">
        <f>IFERROR(VLOOKUP($A227,FoodRev[],3,0),0)</f>
        <v>140330.53</v>
      </c>
      <c r="BF227" s="41">
        <f>IFERROR(VLOOKUP($A227,FoodRev[],4,0),0)</f>
        <v>0</v>
      </c>
      <c r="BG227" s="41">
        <f>IFERROR(VLOOKUP($A227,FoodRev[],5,0),0)</f>
        <v>295845.43</v>
      </c>
      <c r="BH227" s="41">
        <f>IFERROR(VLOOKUP($A227,FoodRev[],6,0),0)</f>
        <v>0</v>
      </c>
      <c r="BI227" s="41">
        <f>IFERROR(VLOOKUP($A227,FoodRev[],7,0),0)</f>
        <v>0</v>
      </c>
      <c r="BJ227" s="41">
        <f>IFERROR(VLOOKUP($A227,FoodRev[],8,0),0)</f>
        <v>53733.61</v>
      </c>
      <c r="BK227" s="41">
        <f>IFERROR(VLOOKUP($A227,FoodRev[],9,0),0)</f>
        <v>0</v>
      </c>
      <c r="BL227" s="41">
        <f>IFERROR(VLOOKUP($A227,FoodRev[],10,0),0)</f>
        <v>0</v>
      </c>
      <c r="BM227" s="41">
        <f t="shared" si="60"/>
        <v>502233.37</v>
      </c>
      <c r="BN227" s="42">
        <f t="shared" si="54"/>
        <v>19043.210000000006</v>
      </c>
      <c r="BO227" s="80">
        <f t="shared" si="55"/>
        <v>19043.210000000006</v>
      </c>
      <c r="BP227" s="80">
        <f t="shared" si="56"/>
        <v>0</v>
      </c>
    </row>
    <row r="228" spans="1:137" x14ac:dyDescent="0.25">
      <c r="A228" s="40" t="s">
        <v>30</v>
      </c>
      <c r="B228" s="40" t="s">
        <v>903</v>
      </c>
      <c r="C228" s="47"/>
      <c r="D228" s="203">
        <f t="shared" si="57"/>
        <v>5.9604644775390625E-8</v>
      </c>
      <c r="E228" s="41">
        <f>IFERROR(VLOOKUP(A228,Items[],5,0),0)</f>
        <v>387008844.54000002</v>
      </c>
      <c r="F228" s="42">
        <f t="shared" si="58"/>
        <v>387008844.53999996</v>
      </c>
      <c r="G228" s="41">
        <v>0</v>
      </c>
      <c r="H228" s="41">
        <f>IFERROR(VLOOKUP(A228,Items[],4,0),0)</f>
        <v>414998852.74000001</v>
      </c>
      <c r="I228" s="41">
        <f>IFERROR(VLOOKUP(A228,Community[],4,0),0)</f>
        <v>0</v>
      </c>
      <c r="J228" s="41">
        <f>IFERROR(VLOOKUP(A228,Community[],5,0),0)</f>
        <v>0</v>
      </c>
      <c r="K228" s="41">
        <f>IFERROR(VLOOKUP(A228,Community[],6,0),0)</f>
        <v>3510443.5799999996</v>
      </c>
      <c r="L228" s="41">
        <f>IFERROR(VLOOKUP(A228,Community[],7,0),0)</f>
        <v>582712.53</v>
      </c>
      <c r="M228" s="41">
        <f>IFERROR(VLOOKUP(A228,Debt[],3,0),0)</f>
        <v>62722.18</v>
      </c>
      <c r="N228" s="41">
        <f>IFERROR(VLOOKUP(A228,Debt[],4,0),0)</f>
        <v>659507.56000000006</v>
      </c>
      <c r="O228" s="41">
        <f>IFERROR(VLOOKUP(A228,Debt[],5,0),0)</f>
        <v>0</v>
      </c>
      <c r="P228" s="41">
        <f>IFERROR(VLOOKUP(A228,Items[],3,0),0)</f>
        <v>241465.54</v>
      </c>
      <c r="Q228" s="41">
        <f>IFERROR(VLOOKUP($A228,Federal[],2,0),0)</f>
        <v>40279.17</v>
      </c>
      <c r="R228" s="41">
        <f>IFERROR(VLOOKUP($A228,Federal[],4,0),0)</f>
        <v>19557977.280000001</v>
      </c>
      <c r="S228" s="47"/>
      <c r="T228" s="47">
        <f>IFERROR(VLOOKUP($A228,Program[],3,0),0)</f>
        <v>0</v>
      </c>
      <c r="U228" s="47"/>
      <c r="V228" s="41">
        <f>IFERROR(VLOOKUP($A228,Program[],4,0),0)</f>
        <v>0</v>
      </c>
      <c r="W228" s="41">
        <f>IFERROR(VLOOKUP($A228,Program[],5,0),0)</f>
        <v>0</v>
      </c>
      <c r="X228" s="41"/>
      <c r="Y228" s="41"/>
      <c r="Z228" s="41"/>
      <c r="AA228" s="41">
        <f>IFERROR(VLOOKUP($A228,Program[],6,0),0)</f>
        <v>0</v>
      </c>
      <c r="AB228" s="41"/>
      <c r="AC228" s="41"/>
      <c r="AD228" s="41">
        <f>IFERROR(VLOOKUP($A228,Program[],7,0),0)</f>
        <v>0</v>
      </c>
      <c r="AE228" s="41">
        <f>IFERROR(VLOOKUP($A228,Program[],8,0),0)</f>
        <v>0</v>
      </c>
      <c r="AF228" s="41">
        <f>IFERROR(VLOOKUP($A228,Program[],9,0),0)</f>
        <v>0</v>
      </c>
      <c r="AG228" s="41">
        <f>IFERROR(VLOOKUP($A228,Program[],10,0),0)</f>
        <v>0</v>
      </c>
      <c r="AH228" s="41">
        <f>IFERROR(VLOOKUP($A228,Program[],11,0),0)</f>
        <v>0</v>
      </c>
      <c r="AI228" s="41">
        <f>IFERROR(VLOOKUP($A228,Program[],12,0),0)</f>
        <v>0</v>
      </c>
      <c r="AJ228" s="41"/>
      <c r="AK228" s="41">
        <f>IFERROR(VLOOKUP($A228,Program[],13,0),0)</f>
        <v>0</v>
      </c>
      <c r="AL228" s="41"/>
      <c r="AM228" s="41"/>
      <c r="AN228" s="41"/>
      <c r="AO228" s="41"/>
      <c r="AP228" s="41"/>
      <c r="AQ228" s="41"/>
      <c r="AR228" s="41"/>
      <c r="AS228" s="41">
        <f>IFERROR(VLOOKUP($A228,Program[],14,0),0)</f>
        <v>0</v>
      </c>
      <c r="AT228" s="41"/>
      <c r="AU228" s="41"/>
      <c r="AV228" s="41">
        <f>IFERROR(VLOOKUP($A228,Program[],15,0),0)</f>
        <v>0</v>
      </c>
      <c r="AW228" s="41"/>
      <c r="AX228" s="41">
        <f>IFERROR(VLOOKUP($A228,Program[],16,0),0)</f>
        <v>0</v>
      </c>
      <c r="AY228" s="41">
        <f>IFERROR(VLOOKUP($A228,Program[],17,0),0)</f>
        <v>0</v>
      </c>
      <c r="AZ228" s="41">
        <f>IFERROR(VLOOKUP($A228,Program[],18,0),0)</f>
        <v>0</v>
      </c>
      <c r="BA228" s="41">
        <f>IFERROR(VLOOKUP($A228,Program[],19,0),0)</f>
        <v>50476.76</v>
      </c>
      <c r="BB228" s="77">
        <f t="shared" si="59"/>
        <v>0</v>
      </c>
      <c r="BC228" s="41">
        <f>IFERROR(VLOOKUP(A228,Food[],3,0),0)</f>
        <v>11227160.190000003</v>
      </c>
      <c r="BD228" s="41">
        <f>IFERROR(VLOOKUP($A228,FoodRev[],2,0),0)</f>
        <v>1407313.27</v>
      </c>
      <c r="BE228" s="41">
        <f>IFERROR(VLOOKUP($A228,FoodRev[],3,0),0)</f>
        <v>2709045.25</v>
      </c>
      <c r="BF228" s="41">
        <f>IFERROR(VLOOKUP($A228,FoodRev[],4,0),0)</f>
        <v>0</v>
      </c>
      <c r="BG228" s="41">
        <f>IFERROR(VLOOKUP($A228,FoodRev[],5,0),0)</f>
        <v>6912999.9800000004</v>
      </c>
      <c r="BH228" s="41">
        <f>IFERROR(VLOOKUP($A228,FoodRev[],6,0),0)</f>
        <v>0</v>
      </c>
      <c r="BI228" s="41">
        <f>IFERROR(VLOOKUP($A228,FoodRev[],7,0),0)</f>
        <v>0</v>
      </c>
      <c r="BJ228" s="41">
        <f>IFERROR(VLOOKUP($A228,FoodRev[],8,0),0)</f>
        <v>928783.09</v>
      </c>
      <c r="BK228" s="41">
        <f>IFERROR(VLOOKUP($A228,FoodRev[],9,0),0)</f>
        <v>0</v>
      </c>
      <c r="BL228" s="41">
        <f>IFERROR(VLOOKUP($A228,FoodRev[],10,0),0)</f>
        <v>0</v>
      </c>
      <c r="BM228" s="41">
        <f t="shared" si="60"/>
        <v>11958141.59</v>
      </c>
      <c r="BN228" s="42">
        <f t="shared" si="54"/>
        <v>-730981.39999999676</v>
      </c>
      <c r="BO228" s="79">
        <f t="shared" si="55"/>
        <v>0</v>
      </c>
      <c r="BP228" s="79">
        <f t="shared" si="56"/>
        <v>-730981.39999999676</v>
      </c>
    </row>
    <row r="229" spans="1:137" x14ac:dyDescent="0.25">
      <c r="A229" s="40" t="s">
        <v>78</v>
      </c>
      <c r="B229" s="40" t="s">
        <v>904</v>
      </c>
      <c r="C229" s="47"/>
      <c r="D229" s="203">
        <f t="shared" si="57"/>
        <v>2.9802322387695313E-8</v>
      </c>
      <c r="E229" s="41">
        <f>IFERROR(VLOOKUP(A229,Items[],5,0),0)</f>
        <v>170563240.69999999</v>
      </c>
      <c r="F229" s="42">
        <f t="shared" si="58"/>
        <v>170563240.69999996</v>
      </c>
      <c r="G229" s="41">
        <v>0</v>
      </c>
      <c r="H229" s="41">
        <f>IFERROR(VLOOKUP(A229,Items[],4,0),0)</f>
        <v>181795043.25999999</v>
      </c>
      <c r="I229" s="41">
        <f>IFERROR(VLOOKUP(A229,Community[],4,0),0)</f>
        <v>0</v>
      </c>
      <c r="J229" s="41">
        <f>IFERROR(VLOOKUP(A229,Community[],5,0),0)</f>
        <v>496600.86</v>
      </c>
      <c r="K229" s="41">
        <f>IFERROR(VLOOKUP(A229,Community[],6,0),0)</f>
        <v>994346.12</v>
      </c>
      <c r="L229" s="41">
        <f>IFERROR(VLOOKUP(A229,Community[],7,0),0)</f>
        <v>549716.78</v>
      </c>
      <c r="M229" s="41">
        <f>IFERROR(VLOOKUP(A229,Debt[],3,0),0)</f>
        <v>44566.75</v>
      </c>
      <c r="N229" s="41">
        <f>IFERROR(VLOOKUP(A229,Debt[],4,0),0)</f>
        <v>345125.15</v>
      </c>
      <c r="O229" s="41">
        <f>IFERROR(VLOOKUP(A229,Debt[],5,0),0)</f>
        <v>0</v>
      </c>
      <c r="P229" s="41">
        <f>IFERROR(VLOOKUP(A229,Items[],3,0),0)</f>
        <v>1010101.87</v>
      </c>
      <c r="Q229" s="41">
        <f>IFERROR(VLOOKUP($A229,Federal[],2,0),0)</f>
        <v>19920.5</v>
      </c>
      <c r="R229" s="41">
        <f>IFERROR(VLOOKUP($A229,Federal[],4,0),0)</f>
        <v>5850591.9900000002</v>
      </c>
      <c r="S229" s="47"/>
      <c r="T229" s="47">
        <f>IFERROR(VLOOKUP($A229,Program[],3,0),0)</f>
        <v>0</v>
      </c>
      <c r="U229" s="47"/>
      <c r="V229" s="41">
        <f>IFERROR(VLOOKUP($A229,Program[],4,0),0)</f>
        <v>0</v>
      </c>
      <c r="W229" s="41">
        <f>IFERROR(VLOOKUP($A229,Program[],5,0),0)</f>
        <v>0</v>
      </c>
      <c r="X229" s="41"/>
      <c r="Y229" s="41"/>
      <c r="Z229" s="41"/>
      <c r="AA229" s="41">
        <f>IFERROR(VLOOKUP($A229,Program[],6,0),0)</f>
        <v>0</v>
      </c>
      <c r="AB229" s="41"/>
      <c r="AC229" s="41"/>
      <c r="AD229" s="41">
        <f>IFERROR(VLOOKUP($A229,Program[],7,0),0)</f>
        <v>3642.97</v>
      </c>
      <c r="AE229" s="41">
        <f>IFERROR(VLOOKUP($A229,Program[],8,0),0)</f>
        <v>0</v>
      </c>
      <c r="AF229" s="41">
        <f>IFERROR(VLOOKUP($A229,Program[],9,0),0)</f>
        <v>0</v>
      </c>
      <c r="AG229" s="41">
        <f>IFERROR(VLOOKUP($A229,Program[],10,0),0)</f>
        <v>0</v>
      </c>
      <c r="AH229" s="41">
        <f>IFERROR(VLOOKUP($A229,Program[],11,0),0)</f>
        <v>0</v>
      </c>
      <c r="AI229" s="41">
        <f>IFERROR(VLOOKUP($A229,Program[],12,0),0)</f>
        <v>0</v>
      </c>
      <c r="AJ229" s="41"/>
      <c r="AK229" s="41">
        <f>IFERROR(VLOOKUP($A229,Program[],13,0),0)</f>
        <v>0</v>
      </c>
      <c r="AL229" s="41"/>
      <c r="AM229" s="41"/>
      <c r="AN229" s="41"/>
      <c r="AO229" s="41"/>
      <c r="AP229" s="41"/>
      <c r="AQ229" s="41"/>
      <c r="AR229" s="41"/>
      <c r="AS229" s="41">
        <f>IFERROR(VLOOKUP($A229,Program[],14,0),0)</f>
        <v>0</v>
      </c>
      <c r="AT229" s="41"/>
      <c r="AU229" s="41"/>
      <c r="AV229" s="41">
        <f>IFERROR(VLOOKUP($A229,Program[],15,0),0)</f>
        <v>0</v>
      </c>
      <c r="AW229" s="41"/>
      <c r="AX229" s="41">
        <f>IFERROR(VLOOKUP($A229,Program[],16,0),0)</f>
        <v>0</v>
      </c>
      <c r="AY229" s="41">
        <f>IFERROR(VLOOKUP($A229,Program[],17,0),0)</f>
        <v>653.61</v>
      </c>
      <c r="AZ229" s="41">
        <f>IFERROR(VLOOKUP($A229,Program[],18,0),0)</f>
        <v>0</v>
      </c>
      <c r="BA229" s="41">
        <f>IFERROR(VLOOKUP($A229,Program[],19,0),0)</f>
        <v>44455.39</v>
      </c>
      <c r="BB229" s="77">
        <f t="shared" si="59"/>
        <v>1168840.5199999989</v>
      </c>
      <c r="BC229" s="41">
        <f>IFERROR(VLOOKUP(A229,Food[],3,0),0)</f>
        <v>5553075.0799999991</v>
      </c>
      <c r="BD229" s="41">
        <f>IFERROR(VLOOKUP($A229,FoodRev[],2,0),0)</f>
        <v>1852573.33</v>
      </c>
      <c r="BE229" s="41">
        <f>IFERROR(VLOOKUP($A229,FoodRev[],3,0),0)</f>
        <v>117011.18</v>
      </c>
      <c r="BF229" s="41">
        <f>IFERROR(VLOOKUP($A229,FoodRev[],4,0),0)</f>
        <v>0</v>
      </c>
      <c r="BG229" s="41">
        <f>IFERROR(VLOOKUP($A229,FoodRev[],5,0),0)</f>
        <v>2016243.99</v>
      </c>
      <c r="BH229" s="41">
        <f>IFERROR(VLOOKUP($A229,FoodRev[],6,0),0)</f>
        <v>0</v>
      </c>
      <c r="BI229" s="41">
        <f>IFERROR(VLOOKUP($A229,FoodRev[],7,0),0)</f>
        <v>0</v>
      </c>
      <c r="BJ229" s="41">
        <f>IFERROR(VLOOKUP($A229,FoodRev[],8,0),0)</f>
        <v>398406.06</v>
      </c>
      <c r="BK229" s="41">
        <f>IFERROR(VLOOKUP($A229,FoodRev[],9,0),0)</f>
        <v>0</v>
      </c>
      <c r="BL229" s="41">
        <f>IFERROR(VLOOKUP($A229,FoodRev[],10,0),0)</f>
        <v>0</v>
      </c>
      <c r="BM229" s="41">
        <f t="shared" si="60"/>
        <v>4384234.5599999996</v>
      </c>
      <c r="BN229" s="42">
        <f t="shared" si="54"/>
        <v>1168840.5199999989</v>
      </c>
      <c r="BO229" s="79">
        <f t="shared" si="55"/>
        <v>1168840.5199999989</v>
      </c>
      <c r="BP229" s="79">
        <f t="shared" si="56"/>
        <v>0</v>
      </c>
    </row>
    <row r="230" spans="1:137" x14ac:dyDescent="0.25">
      <c r="A230" s="40" t="s">
        <v>46</v>
      </c>
      <c r="B230" s="40" t="s">
        <v>905</v>
      </c>
      <c r="C230" s="47"/>
      <c r="D230" s="203">
        <f t="shared" si="57"/>
        <v>1.1920928955078125E-7</v>
      </c>
      <c r="E230" s="41">
        <f>IFERROR(VLOOKUP(A230,Items[],5,0),0)</f>
        <v>298606044.35000002</v>
      </c>
      <c r="F230" s="42">
        <f t="shared" si="58"/>
        <v>298606044.3499999</v>
      </c>
      <c r="G230" s="41">
        <v>0</v>
      </c>
      <c r="H230" s="41">
        <f>IFERROR(VLOOKUP(A230,Items[],4,0),0)</f>
        <v>318358168.68000001</v>
      </c>
      <c r="I230" s="41">
        <f>IFERROR(VLOOKUP(A230,Community[],4,0),0)</f>
        <v>0</v>
      </c>
      <c r="J230" s="41">
        <f>IFERROR(VLOOKUP(A230,Community[],5,0),0)</f>
        <v>0</v>
      </c>
      <c r="K230" s="41">
        <f>IFERROR(VLOOKUP(A230,Community[],6,0),0)</f>
        <v>0</v>
      </c>
      <c r="L230" s="41">
        <f>IFERROR(VLOOKUP(A230,Community[],7,0),0)</f>
        <v>20916.16</v>
      </c>
      <c r="M230" s="41">
        <f>IFERROR(VLOOKUP(A230,Debt[],3,0),0)</f>
        <v>17009.37</v>
      </c>
      <c r="N230" s="41">
        <f>IFERROR(VLOOKUP(A230,Debt[],4,0),0)</f>
        <v>133011.63</v>
      </c>
      <c r="O230" s="41">
        <f>IFERROR(VLOOKUP(A230,Debt[],5,0),0)</f>
        <v>0</v>
      </c>
      <c r="P230" s="41">
        <f>IFERROR(VLOOKUP(A230,Items[],3,0),0)</f>
        <v>522708.91</v>
      </c>
      <c r="Q230" s="41">
        <f>IFERROR(VLOOKUP($A230,Federal[],2,0),0)</f>
        <v>30704.67</v>
      </c>
      <c r="R230" s="41">
        <f>IFERROR(VLOOKUP($A230,Federal[],4,0),0)</f>
        <v>16997521.059999999</v>
      </c>
      <c r="S230" s="47"/>
      <c r="T230" s="47">
        <f>IFERROR(VLOOKUP($A230,Program[],3,0),0)</f>
        <v>0</v>
      </c>
      <c r="U230" s="47"/>
      <c r="V230" s="41">
        <f>IFERROR(VLOOKUP($A230,Program[],4,0),0)</f>
        <v>0</v>
      </c>
      <c r="W230" s="41">
        <f>IFERROR(VLOOKUP($A230,Program[],5,0),0)</f>
        <v>0</v>
      </c>
      <c r="X230" s="41"/>
      <c r="Y230" s="41"/>
      <c r="Z230" s="41"/>
      <c r="AA230" s="41">
        <f>IFERROR(VLOOKUP($A230,Program[],6,0),0)</f>
        <v>0</v>
      </c>
      <c r="AB230" s="41"/>
      <c r="AC230" s="41"/>
      <c r="AD230" s="41">
        <f>IFERROR(VLOOKUP($A230,Program[],7,0),0)</f>
        <v>20402.64</v>
      </c>
      <c r="AE230" s="41">
        <f>IFERROR(VLOOKUP($A230,Program[],8,0),0)</f>
        <v>0</v>
      </c>
      <c r="AF230" s="41">
        <f>IFERROR(VLOOKUP($A230,Program[],9,0),0)</f>
        <v>31442.43</v>
      </c>
      <c r="AG230" s="41">
        <f>IFERROR(VLOOKUP($A230,Program[],10,0),0)</f>
        <v>0</v>
      </c>
      <c r="AH230" s="41">
        <f>IFERROR(VLOOKUP($A230,Program[],11,0),0)</f>
        <v>0</v>
      </c>
      <c r="AI230" s="41">
        <f>IFERROR(VLOOKUP($A230,Program[],12,0),0)</f>
        <v>0</v>
      </c>
      <c r="AJ230" s="41"/>
      <c r="AK230" s="41">
        <f>IFERROR(VLOOKUP($A230,Program[],13,0),0)</f>
        <v>0</v>
      </c>
      <c r="AL230" s="41"/>
      <c r="AM230" s="41"/>
      <c r="AN230" s="41"/>
      <c r="AO230" s="41"/>
      <c r="AP230" s="41"/>
      <c r="AQ230" s="41"/>
      <c r="AR230" s="41"/>
      <c r="AS230" s="41">
        <f>IFERROR(VLOOKUP($A230,Program[],14,0),0)</f>
        <v>0</v>
      </c>
      <c r="AT230" s="41"/>
      <c r="AU230" s="41"/>
      <c r="AV230" s="41">
        <f>IFERROR(VLOOKUP($A230,Program[],15,0),0)</f>
        <v>0</v>
      </c>
      <c r="AW230" s="41"/>
      <c r="AX230" s="41">
        <f>IFERROR(VLOOKUP($A230,Program[],16,0),0)</f>
        <v>0</v>
      </c>
      <c r="AY230" s="41">
        <f>IFERROR(VLOOKUP($A230,Program[],17,0),0)</f>
        <v>0</v>
      </c>
      <c r="AZ230" s="41">
        <f>IFERROR(VLOOKUP($A230,Program[],18,0),0)</f>
        <v>0</v>
      </c>
      <c r="BA230" s="41">
        <f>IFERROR(VLOOKUP($A230,Program[],19,0),0)</f>
        <v>246443.56</v>
      </c>
      <c r="BB230" s="77">
        <f t="shared" si="59"/>
        <v>0</v>
      </c>
      <c r="BC230" s="41">
        <f>IFERROR(VLOOKUP(A230,Food[],3,0),0)</f>
        <v>8735314.0300000012</v>
      </c>
      <c r="BD230" s="41">
        <f>IFERROR(VLOOKUP($A230,FoodRev[],2,0),0)</f>
        <v>196509.54</v>
      </c>
      <c r="BE230" s="41">
        <f>IFERROR(VLOOKUP($A230,FoodRev[],3,0),0)</f>
        <v>2586408.8199999998</v>
      </c>
      <c r="BF230" s="41">
        <f>IFERROR(VLOOKUP($A230,FoodRev[],4,0),0)</f>
        <v>0</v>
      </c>
      <c r="BG230" s="41">
        <f>IFERROR(VLOOKUP($A230,FoodRev[],5,0),0)</f>
        <v>5772538.04</v>
      </c>
      <c r="BH230" s="41">
        <f>IFERROR(VLOOKUP($A230,FoodRev[],6,0),0)</f>
        <v>0</v>
      </c>
      <c r="BI230" s="41">
        <f>IFERROR(VLOOKUP($A230,FoodRev[],7,0),0)</f>
        <v>0</v>
      </c>
      <c r="BJ230" s="41">
        <f>IFERROR(VLOOKUP($A230,FoodRev[],8,0),0)</f>
        <v>634234.82999999996</v>
      </c>
      <c r="BK230" s="41">
        <f>IFERROR(VLOOKUP($A230,FoodRev[],9,0),0)</f>
        <v>0</v>
      </c>
      <c r="BL230" s="41">
        <f>IFERROR(VLOOKUP($A230,FoodRev[],10,0),0)</f>
        <v>0</v>
      </c>
      <c r="BM230" s="41">
        <f t="shared" si="60"/>
        <v>9189691.2300000004</v>
      </c>
      <c r="BN230" s="42">
        <f t="shared" si="54"/>
        <v>-454377.19999999821</v>
      </c>
      <c r="BO230" s="79">
        <f t="shared" ref="BO230:BO256" si="64">IF(BN230&lt;0,0,BN230)</f>
        <v>0</v>
      </c>
      <c r="BP230" s="79">
        <f t="shared" ref="BP230:BP256" si="65">IF(BN230&lt;0,BN230,0)</f>
        <v>-454377.19999999821</v>
      </c>
    </row>
    <row r="231" spans="1:137" x14ac:dyDescent="0.25">
      <c r="A231" s="40" t="s">
        <v>24</v>
      </c>
      <c r="B231" s="40" t="s">
        <v>906</v>
      </c>
      <c r="D231" s="203">
        <f t="shared" si="57"/>
        <v>0</v>
      </c>
      <c r="E231" s="41">
        <f>IFERROR(VLOOKUP(A231,Items[],5,0),0)</f>
        <v>389248882.02999997</v>
      </c>
      <c r="F231" s="42">
        <f t="shared" si="58"/>
        <v>389248882.02999997</v>
      </c>
      <c r="G231" s="41">
        <v>0</v>
      </c>
      <c r="H231" s="41">
        <f>IFERROR(VLOOKUP(A231,Items[],4,0),0)</f>
        <v>413157294.74000001</v>
      </c>
      <c r="I231" s="41">
        <f>IFERROR(VLOOKUP(A231,Community[],4,0),0)</f>
        <v>0</v>
      </c>
      <c r="J231" s="41">
        <f>IFERROR(VLOOKUP(A231,Community[],5,0),0)</f>
        <v>0</v>
      </c>
      <c r="K231" s="41">
        <f>IFERROR(VLOOKUP(A231,Community[],6,0),0)</f>
        <v>2372270.12</v>
      </c>
      <c r="L231" s="41">
        <f>IFERROR(VLOOKUP(A231,Community[],7,0),0)</f>
        <v>794395.42999999993</v>
      </c>
      <c r="M231" s="41">
        <f>IFERROR(VLOOKUP(A231,Debt[],3,0),0)</f>
        <v>41020.36</v>
      </c>
      <c r="N231" s="41">
        <f>IFERROR(VLOOKUP(A231,Debt[],4,0),0)</f>
        <v>307239.64</v>
      </c>
      <c r="O231" s="41">
        <f>IFERROR(VLOOKUP(A231,Debt[],5,0),0)</f>
        <v>0</v>
      </c>
      <c r="P231" s="41">
        <f>IFERROR(VLOOKUP(A231,Items[],3,0),0)</f>
        <v>335577.15</v>
      </c>
      <c r="Q231" s="41">
        <f>IFERROR(VLOOKUP($A231,Federal[],2,0),0)</f>
        <v>39849.94</v>
      </c>
      <c r="R231" s="41">
        <f>IFERROR(VLOOKUP($A231,Federal[],4,0),0)</f>
        <v>17097138.309999999</v>
      </c>
      <c r="S231" s="41"/>
      <c r="T231" s="47">
        <f>IFERROR(VLOOKUP($A231,Program[],3,0),0)</f>
        <v>0</v>
      </c>
      <c r="U231" s="47"/>
      <c r="V231" s="41">
        <f>IFERROR(VLOOKUP($A231,Program[],4,0),0)</f>
        <v>0</v>
      </c>
      <c r="W231" s="41">
        <f>IFERROR(VLOOKUP($A231,Program[],5,0),0)</f>
        <v>0</v>
      </c>
      <c r="X231" s="41"/>
      <c r="Y231" s="41"/>
      <c r="Z231" s="41"/>
      <c r="AA231" s="41">
        <f>IFERROR(VLOOKUP($A231,Program[],6,0),0)</f>
        <v>0</v>
      </c>
      <c r="AB231" s="41"/>
      <c r="AC231" s="41"/>
      <c r="AD231" s="41">
        <f>IFERROR(VLOOKUP($A231,Program[],7,0),0)</f>
        <v>0</v>
      </c>
      <c r="AE231" s="41">
        <f>IFERROR(VLOOKUP($A231,Program[],8,0),0)</f>
        <v>0</v>
      </c>
      <c r="AF231" s="41">
        <f>IFERROR(VLOOKUP($A231,Program[],9,0),0)</f>
        <v>0</v>
      </c>
      <c r="AG231" s="41">
        <f>IFERROR(VLOOKUP($A231,Program[],10,0),0)</f>
        <v>0</v>
      </c>
      <c r="AH231" s="41">
        <f>IFERROR(VLOOKUP($A231,Program[],11,0),0)</f>
        <v>0</v>
      </c>
      <c r="AI231" s="41">
        <f>IFERROR(VLOOKUP($A231,Program[],12,0),0)</f>
        <v>0</v>
      </c>
      <c r="AJ231" s="41"/>
      <c r="AK231" s="41">
        <f>IFERROR(VLOOKUP($A231,Program[],13,0),0)</f>
        <v>0</v>
      </c>
      <c r="AL231" s="41"/>
      <c r="AM231" s="41"/>
      <c r="AN231" s="41"/>
      <c r="AO231" s="41"/>
      <c r="AP231" s="41"/>
      <c r="AQ231" s="41"/>
      <c r="AR231" s="41"/>
      <c r="AS231" s="41">
        <f>IFERROR(VLOOKUP($A231,Program[],14,0),0)</f>
        <v>0</v>
      </c>
      <c r="AT231" s="41"/>
      <c r="AU231" s="41"/>
      <c r="AV231" s="41">
        <f>IFERROR(VLOOKUP($A231,Program[],15,0),0)</f>
        <v>0</v>
      </c>
      <c r="AW231" s="41"/>
      <c r="AX231" s="41">
        <f>IFERROR(VLOOKUP($A231,Program[],16,0),0)</f>
        <v>0</v>
      </c>
      <c r="AY231" s="41">
        <f>IFERROR(VLOOKUP($A231,Program[],17,0),0)</f>
        <v>0</v>
      </c>
      <c r="AZ231" s="41">
        <f>IFERROR(VLOOKUP($A231,Program[],18,0),0)</f>
        <v>44041.53</v>
      </c>
      <c r="BA231" s="41">
        <f>IFERROR(VLOOKUP($A231,Program[],19,0),0)</f>
        <v>83100.2</v>
      </c>
      <c r="BB231" s="77">
        <f t="shared" si="59"/>
        <v>0</v>
      </c>
      <c r="BC231" s="41">
        <f>IFERROR(VLOOKUP(A231,Food[],3,0),0)</f>
        <v>8824096.629999999</v>
      </c>
      <c r="BD231" s="41">
        <f>IFERROR(VLOOKUP($A231,FoodRev[],2,0),0)</f>
        <v>1412579.4</v>
      </c>
      <c r="BE231" s="41">
        <f>IFERROR(VLOOKUP($A231,FoodRev[],3,0),0)</f>
        <v>2032077.66</v>
      </c>
      <c r="BF231" s="41">
        <f>IFERROR(VLOOKUP($A231,FoodRev[],4,0),0)</f>
        <v>0</v>
      </c>
      <c r="BG231" s="41">
        <f>IFERROR(VLOOKUP($A231,FoodRev[],5,0),0)</f>
        <v>5026177.09</v>
      </c>
      <c r="BH231" s="41">
        <f>IFERROR(VLOOKUP($A231,FoodRev[],6,0),0)</f>
        <v>0</v>
      </c>
      <c r="BI231" s="41">
        <f>IFERROR(VLOOKUP($A231,FoodRev[],7,0),0)</f>
        <v>0</v>
      </c>
      <c r="BJ231" s="41">
        <f>IFERROR(VLOOKUP($A231,FoodRev[],8,0),0)</f>
        <v>749856.05</v>
      </c>
      <c r="BK231" s="41">
        <f>IFERROR(VLOOKUP($A231,FoodRev[],9,0),0)</f>
        <v>0</v>
      </c>
      <c r="BL231" s="41">
        <f>IFERROR(VLOOKUP($A231,FoodRev[],10,0),0)</f>
        <v>0</v>
      </c>
      <c r="BM231" s="41">
        <f t="shared" si="60"/>
        <v>9220690.1999999993</v>
      </c>
      <c r="BN231" s="42">
        <f t="shared" si="54"/>
        <v>-396593.57000000146</v>
      </c>
      <c r="BO231" s="78">
        <f t="shared" si="64"/>
        <v>0</v>
      </c>
      <c r="BP231" s="78">
        <f t="shared" si="65"/>
        <v>-396593.57000000146</v>
      </c>
    </row>
    <row r="232" spans="1:137" x14ac:dyDescent="0.25">
      <c r="A232" s="40" t="s">
        <v>114</v>
      </c>
      <c r="B232" s="40" t="s">
        <v>907</v>
      </c>
      <c r="D232" s="203">
        <f t="shared" si="57"/>
        <v>-1.4901161193847656E-8</v>
      </c>
      <c r="E232" s="41">
        <f>IFERROR(VLOOKUP(A232,Items[],5,0),0)</f>
        <v>93383896.469999999</v>
      </c>
      <c r="F232" s="42">
        <f t="shared" si="58"/>
        <v>93383896.470000014</v>
      </c>
      <c r="G232" s="41">
        <v>0</v>
      </c>
      <c r="H232" s="41">
        <f>IFERROR(VLOOKUP(A232,Items[],4,0),0)</f>
        <v>101469007.83</v>
      </c>
      <c r="I232" s="41">
        <f>IFERROR(VLOOKUP(A232,Community[],4,0),0)</f>
        <v>0</v>
      </c>
      <c r="J232" s="41">
        <f>IFERROR(VLOOKUP(A232,Community[],5,0),0)</f>
        <v>0</v>
      </c>
      <c r="K232" s="41">
        <f>IFERROR(VLOOKUP(A232,Community[],6,0),0)</f>
        <v>624185.05999999994</v>
      </c>
      <c r="L232" s="41">
        <f>IFERROR(VLOOKUP(A232,Community[],7,0),0)</f>
        <v>279727.3</v>
      </c>
      <c r="M232" s="41">
        <f>IFERROR(VLOOKUP(A232,Debt[],3,0),0)</f>
        <v>44430.32</v>
      </c>
      <c r="N232" s="41">
        <f>IFERROR(VLOOKUP(A232,Debt[],4,0),0)</f>
        <v>518836.53</v>
      </c>
      <c r="O232" s="41">
        <f>IFERROR(VLOOKUP(A232,Debt[],5,0),0)</f>
        <v>0</v>
      </c>
      <c r="P232" s="41">
        <f>IFERROR(VLOOKUP(A232,Items[],3,0),0)</f>
        <v>1140128.46</v>
      </c>
      <c r="Q232" s="41">
        <f>IFERROR(VLOOKUP($A232,Federal[],2,0),0)</f>
        <v>11357.12</v>
      </c>
      <c r="R232" s="41">
        <f>IFERROR(VLOOKUP($A232,Federal[],4,0),0)</f>
        <v>4307605.3</v>
      </c>
      <c r="S232" s="41"/>
      <c r="T232" s="47">
        <f>IFERROR(VLOOKUP($A232,Program[],3,0),0)</f>
        <v>0</v>
      </c>
      <c r="U232" s="47"/>
      <c r="V232" s="41">
        <f>IFERROR(VLOOKUP($A232,Program[],4,0),0)</f>
        <v>0</v>
      </c>
      <c r="W232" s="41">
        <f>IFERROR(VLOOKUP($A232,Program[],5,0),0)</f>
        <v>0</v>
      </c>
      <c r="X232" s="41"/>
      <c r="Y232" s="41"/>
      <c r="Z232" s="41"/>
      <c r="AA232" s="41">
        <f>IFERROR(VLOOKUP($A232,Program[],6,0),0)</f>
        <v>0</v>
      </c>
      <c r="AB232" s="41"/>
      <c r="AC232" s="41"/>
      <c r="AD232" s="41">
        <f>IFERROR(VLOOKUP($A232,Program[],7,0),0)</f>
        <v>0</v>
      </c>
      <c r="AE232" s="41">
        <f>IFERROR(VLOOKUP($A232,Program[],8,0),0)</f>
        <v>0</v>
      </c>
      <c r="AF232" s="41">
        <f>IFERROR(VLOOKUP($A232,Program[],9,0),0)</f>
        <v>0</v>
      </c>
      <c r="AG232" s="41">
        <f>IFERROR(VLOOKUP($A232,Program[],10,0),0)</f>
        <v>0</v>
      </c>
      <c r="AH232" s="41">
        <f>IFERROR(VLOOKUP($A232,Program[],11,0),0)</f>
        <v>0</v>
      </c>
      <c r="AI232" s="41">
        <f>IFERROR(VLOOKUP($A232,Program[],12,0),0)</f>
        <v>0</v>
      </c>
      <c r="AJ232" s="41"/>
      <c r="AK232" s="41">
        <f>IFERROR(VLOOKUP($A232,Program[],13,0),0)</f>
        <v>0</v>
      </c>
      <c r="AL232" s="41"/>
      <c r="AM232" s="41"/>
      <c r="AN232" s="41"/>
      <c r="AO232" s="41"/>
      <c r="AP232" s="41"/>
      <c r="AQ232" s="41"/>
      <c r="AR232" s="41"/>
      <c r="AS232" s="41">
        <f>IFERROR(VLOOKUP($A232,Program[],14,0),0)</f>
        <v>0</v>
      </c>
      <c r="AT232" s="41"/>
      <c r="AU232" s="41"/>
      <c r="AV232" s="41">
        <f>IFERROR(VLOOKUP($A232,Program[],15,0),0)</f>
        <v>28914.22</v>
      </c>
      <c r="AW232" s="41"/>
      <c r="AX232" s="41">
        <f>IFERROR(VLOOKUP($A232,Program[],16,0),0)</f>
        <v>0</v>
      </c>
      <c r="AY232" s="41">
        <f>IFERROR(VLOOKUP($A232,Program[],17,0),0)</f>
        <v>0</v>
      </c>
      <c r="AZ232" s="41">
        <f>IFERROR(VLOOKUP($A232,Program[],18,0),0)</f>
        <v>0</v>
      </c>
      <c r="BA232" s="41">
        <f>IFERROR(VLOOKUP($A232,Program[],19,0),0)</f>
        <v>8084.2</v>
      </c>
      <c r="BB232" s="77">
        <f t="shared" si="59"/>
        <v>347941.90999999992</v>
      </c>
      <c r="BC232" s="41">
        <f>IFERROR(VLOOKUP(A232,Food[],3,0),0)</f>
        <v>3011996.36</v>
      </c>
      <c r="BD232" s="41">
        <f>IFERROR(VLOOKUP($A232,FoodRev[],2,0),0)</f>
        <v>640899.12</v>
      </c>
      <c r="BE232" s="41">
        <f>IFERROR(VLOOKUP($A232,FoodRev[],3,0),0)</f>
        <v>554940.56999999995</v>
      </c>
      <c r="BF232" s="41">
        <f>IFERROR(VLOOKUP($A232,FoodRev[],4,0),0)</f>
        <v>0</v>
      </c>
      <c r="BG232" s="41">
        <f>IFERROR(VLOOKUP($A232,FoodRev[],5,0),0)</f>
        <v>1268335.73</v>
      </c>
      <c r="BH232" s="41">
        <f>IFERROR(VLOOKUP($A232,FoodRev[],6,0),0)</f>
        <v>0</v>
      </c>
      <c r="BI232" s="41">
        <f>IFERROR(VLOOKUP($A232,FoodRev[],7,0),0)</f>
        <v>0</v>
      </c>
      <c r="BJ232" s="41">
        <f>IFERROR(VLOOKUP($A232,FoodRev[],8,0),0)</f>
        <v>199879.03</v>
      </c>
      <c r="BK232" s="41">
        <f>IFERROR(VLOOKUP($A232,FoodRev[],9,0),0)</f>
        <v>0</v>
      </c>
      <c r="BL232" s="41">
        <f>IFERROR(VLOOKUP($A232,FoodRev[],10,0),0)</f>
        <v>0</v>
      </c>
      <c r="BM232" s="41">
        <f t="shared" si="60"/>
        <v>2664054.4499999997</v>
      </c>
      <c r="BN232" s="42">
        <f t="shared" si="54"/>
        <v>347941.90999999992</v>
      </c>
      <c r="BO232" s="78">
        <f t="shared" si="64"/>
        <v>347941.90999999992</v>
      </c>
      <c r="BP232" s="78">
        <f t="shared" si="65"/>
        <v>0</v>
      </c>
    </row>
    <row r="233" spans="1:137" x14ac:dyDescent="0.25">
      <c r="A233" s="40" t="s">
        <v>62</v>
      </c>
      <c r="B233" s="40" t="s">
        <v>908</v>
      </c>
      <c r="D233" s="203">
        <f t="shared" si="57"/>
        <v>-2.9802322387695313E-8</v>
      </c>
      <c r="E233" s="41">
        <f>IFERROR(VLOOKUP(A233,Items[],5,0),0)</f>
        <v>172856481.88</v>
      </c>
      <c r="F233" s="42">
        <f t="shared" si="58"/>
        <v>172856481.88000003</v>
      </c>
      <c r="G233" s="41">
        <v>0</v>
      </c>
      <c r="H233" s="41">
        <f>IFERROR(VLOOKUP(A233,Items[],4,0),0)</f>
        <v>192389943.13999999</v>
      </c>
      <c r="I233" s="41">
        <f>IFERROR(VLOOKUP(A233,Community[],4,0),0)</f>
        <v>0</v>
      </c>
      <c r="J233" s="41">
        <f>IFERROR(VLOOKUP(A233,Community[],5,0),0)</f>
        <v>0</v>
      </c>
      <c r="K233" s="41">
        <f>IFERROR(VLOOKUP(A233,Community[],6,0),0)</f>
        <v>2142314.31</v>
      </c>
      <c r="L233" s="41">
        <f>IFERROR(VLOOKUP(A233,Community[],7,0),0)</f>
        <v>715154.13</v>
      </c>
      <c r="M233" s="41">
        <f>IFERROR(VLOOKUP(A233,Debt[],3,0),0)</f>
        <v>252895.29</v>
      </c>
      <c r="N233" s="41">
        <f>IFERROR(VLOOKUP(A233,Debt[],4,0),0)</f>
        <v>15395</v>
      </c>
      <c r="O233" s="41">
        <f>IFERROR(VLOOKUP(A233,Debt[],5,0),0)</f>
        <v>0</v>
      </c>
      <c r="P233" s="41">
        <f>IFERROR(VLOOKUP(A233,Items[],3,0),0)</f>
        <v>759427.34</v>
      </c>
      <c r="Q233" s="41">
        <f>IFERROR(VLOOKUP($A233,Federal[],2,0),0)</f>
        <v>1171687.3400000001</v>
      </c>
      <c r="R233" s="41">
        <f>IFERROR(VLOOKUP($A233,Federal[],4,0),0)</f>
        <v>12927780.039999999</v>
      </c>
      <c r="S233" s="41"/>
      <c r="T233" s="47">
        <f>IFERROR(VLOOKUP($A233,Program[],3,0),0)</f>
        <v>0</v>
      </c>
      <c r="U233" s="47"/>
      <c r="V233" s="41">
        <f>IFERROR(VLOOKUP($A233,Program[],4,0),0)</f>
        <v>0</v>
      </c>
      <c r="W233" s="41">
        <f>IFERROR(VLOOKUP($A233,Program[],5,0),0)</f>
        <v>0</v>
      </c>
      <c r="X233" s="41"/>
      <c r="Y233" s="41"/>
      <c r="Z233" s="41"/>
      <c r="AA233" s="41">
        <f>IFERROR(VLOOKUP($A233,Program[],6,0),0)</f>
        <v>0</v>
      </c>
      <c r="AB233" s="41"/>
      <c r="AC233" s="41"/>
      <c r="AD233" s="41">
        <f>IFERROR(VLOOKUP($A233,Program[],7,0),0)</f>
        <v>0</v>
      </c>
      <c r="AE233" s="41">
        <f>IFERROR(VLOOKUP($A233,Program[],8,0),0)</f>
        <v>0</v>
      </c>
      <c r="AF233" s="41">
        <f>IFERROR(VLOOKUP($A233,Program[],9,0),0)</f>
        <v>0</v>
      </c>
      <c r="AG233" s="41">
        <f>IFERROR(VLOOKUP($A233,Program[],10,0),0)</f>
        <v>0</v>
      </c>
      <c r="AH233" s="41">
        <f>IFERROR(VLOOKUP($A233,Program[],11,0),0)</f>
        <v>0</v>
      </c>
      <c r="AI233" s="41">
        <f>IFERROR(VLOOKUP($A233,Program[],12,0),0)</f>
        <v>0</v>
      </c>
      <c r="AJ233" s="41"/>
      <c r="AK233" s="41">
        <f>IFERROR(VLOOKUP($A233,Program[],13,0),0)</f>
        <v>0</v>
      </c>
      <c r="AL233" s="41"/>
      <c r="AM233" s="41"/>
      <c r="AN233" s="41"/>
      <c r="AO233" s="41"/>
      <c r="AP233" s="41"/>
      <c r="AQ233" s="41"/>
      <c r="AR233" s="41"/>
      <c r="AS233" s="41">
        <f>IFERROR(VLOOKUP($A233,Program[],14,0),0)</f>
        <v>0</v>
      </c>
      <c r="AT233" s="41"/>
      <c r="AU233" s="41"/>
      <c r="AV233" s="41">
        <f>IFERROR(VLOOKUP($A233,Program[],15,0),0)</f>
        <v>147690</v>
      </c>
      <c r="AW233" s="41"/>
      <c r="AX233" s="41">
        <f>IFERROR(VLOOKUP($A233,Program[],16,0),0)</f>
        <v>0</v>
      </c>
      <c r="AY233" s="41">
        <f>IFERROR(VLOOKUP($A233,Program[],17,0),0)</f>
        <v>0</v>
      </c>
      <c r="AZ233" s="41">
        <f>IFERROR(VLOOKUP($A233,Program[],18,0),0)</f>
        <v>0</v>
      </c>
      <c r="BA233" s="41">
        <f>IFERROR(VLOOKUP($A233,Program[],19,0),0)</f>
        <v>34035</v>
      </c>
      <c r="BB233" s="77">
        <f t="shared" si="59"/>
        <v>159782.76999999891</v>
      </c>
      <c r="BC233" s="41">
        <f>IFERROR(VLOOKUP(A233,Food[],3,0),0)</f>
        <v>6403170.5699999994</v>
      </c>
      <c r="BD233" s="41">
        <f>IFERROR(VLOOKUP($A233,FoodRev[],2,0),0)</f>
        <v>20321.86</v>
      </c>
      <c r="BE233" s="41">
        <f>IFERROR(VLOOKUP($A233,FoodRev[],3,0),0)</f>
        <v>1710210.95</v>
      </c>
      <c r="BF233" s="41">
        <f>IFERROR(VLOOKUP($A233,FoodRev[],4,0),0)</f>
        <v>0</v>
      </c>
      <c r="BG233" s="41">
        <f>IFERROR(VLOOKUP($A233,FoodRev[],5,0),0)</f>
        <v>4173577.69</v>
      </c>
      <c r="BH233" s="41">
        <f>IFERROR(VLOOKUP($A233,FoodRev[],6,0),0)</f>
        <v>0</v>
      </c>
      <c r="BI233" s="41">
        <f>IFERROR(VLOOKUP($A233,FoodRev[],7,0),0)</f>
        <v>0</v>
      </c>
      <c r="BJ233" s="41">
        <f>IFERROR(VLOOKUP($A233,FoodRev[],8,0),0)</f>
        <v>339277.3</v>
      </c>
      <c r="BK233" s="41">
        <f>IFERROR(VLOOKUP($A233,FoodRev[],9,0),0)</f>
        <v>0</v>
      </c>
      <c r="BL233" s="41">
        <f>IFERROR(VLOOKUP($A233,FoodRev[],10,0),0)</f>
        <v>0</v>
      </c>
      <c r="BM233" s="41">
        <f t="shared" si="60"/>
        <v>6243387.7999999998</v>
      </c>
      <c r="BN233" s="42">
        <f t="shared" si="54"/>
        <v>159782.76999999891</v>
      </c>
      <c r="BO233" s="78">
        <f t="shared" si="64"/>
        <v>159782.76999999891</v>
      </c>
      <c r="BP233" s="78">
        <f t="shared" si="65"/>
        <v>0</v>
      </c>
    </row>
    <row r="234" spans="1:137" x14ac:dyDescent="0.25">
      <c r="A234" s="40" t="s">
        <v>582</v>
      </c>
      <c r="B234" s="40" t="s">
        <v>909</v>
      </c>
      <c r="D234" s="203">
        <f t="shared" si="57"/>
        <v>-1.1641532182693481E-10</v>
      </c>
      <c r="E234" s="41">
        <f>IFERROR(VLOOKUP(A234,Items[],5,0),0)</f>
        <v>1014057.84</v>
      </c>
      <c r="F234" s="42">
        <f t="shared" si="58"/>
        <v>1014057.8400000001</v>
      </c>
      <c r="G234" s="41">
        <v>0</v>
      </c>
      <c r="H234" s="41">
        <f>IFERROR(VLOOKUP(A234,Items[],4,0),0)</f>
        <v>1061085.02</v>
      </c>
      <c r="I234" s="41">
        <f>IFERROR(VLOOKUP(A234,Community[],4,0),0)</f>
        <v>0</v>
      </c>
      <c r="J234" s="41">
        <f>IFERROR(VLOOKUP(A234,Community[],5,0),0)</f>
        <v>0</v>
      </c>
      <c r="K234" s="41">
        <f>IFERROR(VLOOKUP(A234,Community[],6,0),0)</f>
        <v>0</v>
      </c>
      <c r="L234" s="41">
        <f>IFERROR(VLOOKUP(A234,Community[],7,0),0)</f>
        <v>0</v>
      </c>
      <c r="M234" s="41">
        <f>IFERROR(VLOOKUP(A234,Debt[],3,0),0)</f>
        <v>0</v>
      </c>
      <c r="N234" s="41">
        <f>IFERROR(VLOOKUP(A234,Debt[],4,0),0)</f>
        <v>0</v>
      </c>
      <c r="O234" s="41">
        <f>IFERROR(VLOOKUP(A234,Debt[],5,0),0)</f>
        <v>0</v>
      </c>
      <c r="P234" s="41">
        <f>IFERROR(VLOOKUP(A234,Items[],3,0),0)</f>
        <v>0</v>
      </c>
      <c r="Q234" s="41">
        <f>IFERROR(VLOOKUP($A234,Federal[],2,0),0)</f>
        <v>71.89</v>
      </c>
      <c r="R234" s="41">
        <f>IFERROR(VLOOKUP($A234,Federal[],4,0),0)</f>
        <v>44445.45</v>
      </c>
      <c r="S234" s="41"/>
      <c r="T234" s="47">
        <f>IFERROR(VLOOKUP($A234,Program[],3,0),0)</f>
        <v>0</v>
      </c>
      <c r="U234" s="47"/>
      <c r="V234" s="41">
        <f>IFERROR(VLOOKUP($A234,Program[],4,0),0)</f>
        <v>0</v>
      </c>
      <c r="W234" s="41">
        <f>IFERROR(VLOOKUP($A234,Program[],5,0),0)</f>
        <v>0</v>
      </c>
      <c r="X234" s="41"/>
      <c r="Y234" s="41"/>
      <c r="Z234" s="41"/>
      <c r="AA234" s="41">
        <f>IFERROR(VLOOKUP($A234,Program[],6,0),0)</f>
        <v>0</v>
      </c>
      <c r="AB234" s="41"/>
      <c r="AC234" s="41"/>
      <c r="AD234" s="41">
        <f>IFERROR(VLOOKUP($A234,Program[],7,0),0)</f>
        <v>0</v>
      </c>
      <c r="AE234" s="41">
        <f>IFERROR(VLOOKUP($A234,Program[],8,0),0)</f>
        <v>0</v>
      </c>
      <c r="AF234" s="41">
        <f>IFERROR(VLOOKUP($A234,Program[],9,0),0)</f>
        <v>0</v>
      </c>
      <c r="AG234" s="41">
        <f>IFERROR(VLOOKUP($A234,Program[],10,0),0)</f>
        <v>0</v>
      </c>
      <c r="AH234" s="41">
        <f>IFERROR(VLOOKUP($A234,Program[],11,0),0)</f>
        <v>0</v>
      </c>
      <c r="AI234" s="41">
        <f>IFERROR(VLOOKUP($A234,Program[],12,0),0)</f>
        <v>0</v>
      </c>
      <c r="AJ234" s="41"/>
      <c r="AK234" s="41">
        <f>IFERROR(VLOOKUP($A234,Program[],13,0),0)</f>
        <v>0</v>
      </c>
      <c r="AL234" s="41"/>
      <c r="AM234" s="41"/>
      <c r="AN234" s="41"/>
      <c r="AO234" s="41"/>
      <c r="AP234" s="41"/>
      <c r="AQ234" s="41"/>
      <c r="AR234" s="41"/>
      <c r="AS234" s="41">
        <f>IFERROR(VLOOKUP($A234,Program[],14,0),0)</f>
        <v>0</v>
      </c>
      <c r="AT234" s="41"/>
      <c r="AU234" s="41"/>
      <c r="AV234" s="41">
        <f>IFERROR(VLOOKUP($A234,Program[],15,0),0)</f>
        <v>0</v>
      </c>
      <c r="AW234" s="41"/>
      <c r="AX234" s="41">
        <f>IFERROR(VLOOKUP($A234,Program[],16,0),0)</f>
        <v>0</v>
      </c>
      <c r="AY234" s="41">
        <f>IFERROR(VLOOKUP($A234,Program[],17,0),0)</f>
        <v>0</v>
      </c>
      <c r="AZ234" s="41">
        <f>IFERROR(VLOOKUP($A234,Program[],18,0),0)</f>
        <v>0</v>
      </c>
      <c r="BA234" s="41">
        <f>IFERROR(VLOOKUP($A234,Program[],19,0),0)</f>
        <v>0</v>
      </c>
      <c r="BB234" s="77">
        <f t="shared" si="59"/>
        <v>2901.260000000002</v>
      </c>
      <c r="BC234" s="41">
        <f>IFERROR(VLOOKUP(A234,Food[],3,0),0)</f>
        <v>16709.550000000003</v>
      </c>
      <c r="BD234" s="41">
        <f>IFERROR(VLOOKUP($A234,FoodRev[],2,0),0)</f>
        <v>2229</v>
      </c>
      <c r="BE234" s="41">
        <f>IFERROR(VLOOKUP($A234,FoodRev[],3,0),0)</f>
        <v>280.83999999999997</v>
      </c>
      <c r="BF234" s="41">
        <f>IFERROR(VLOOKUP($A234,FoodRev[],4,0),0)</f>
        <v>0</v>
      </c>
      <c r="BG234" s="41">
        <f>IFERROR(VLOOKUP($A234,FoodRev[],5,0),0)</f>
        <v>11298.45</v>
      </c>
      <c r="BH234" s="41">
        <f>IFERROR(VLOOKUP($A234,FoodRev[],6,0),0)</f>
        <v>0</v>
      </c>
      <c r="BI234" s="41">
        <f>IFERROR(VLOOKUP($A234,FoodRev[],7,0),0)</f>
        <v>0</v>
      </c>
      <c r="BJ234" s="41">
        <f>IFERROR(VLOOKUP($A234,FoodRev[],8,0),0)</f>
        <v>0</v>
      </c>
      <c r="BK234" s="41">
        <f>IFERROR(VLOOKUP($A234,FoodRev[],9,0),0)</f>
        <v>0</v>
      </c>
      <c r="BL234" s="41">
        <f>IFERROR(VLOOKUP($A234,FoodRev[],10,0),0)</f>
        <v>0</v>
      </c>
      <c r="BM234" s="41">
        <f t="shared" si="60"/>
        <v>13808.29</v>
      </c>
      <c r="BN234" s="42">
        <f t="shared" si="54"/>
        <v>2901.260000000002</v>
      </c>
      <c r="BO234" s="78">
        <f t="shared" si="64"/>
        <v>2901.260000000002</v>
      </c>
      <c r="BP234" s="78">
        <f t="shared" si="65"/>
        <v>0</v>
      </c>
    </row>
    <row r="235" spans="1:137" x14ac:dyDescent="0.25">
      <c r="A235" s="40" t="s">
        <v>96</v>
      </c>
      <c r="B235" s="40" t="s">
        <v>910</v>
      </c>
      <c r="D235" s="203">
        <f t="shared" si="57"/>
        <v>0</v>
      </c>
      <c r="E235" s="41">
        <f>IFERROR(VLOOKUP(A235,Items[],5,0),0)</f>
        <v>105214950.98999999</v>
      </c>
      <c r="F235" s="42">
        <f t="shared" si="58"/>
        <v>105214950.98999999</v>
      </c>
      <c r="G235" s="41">
        <v>0</v>
      </c>
      <c r="H235" s="41">
        <f>IFERROR(VLOOKUP(A235,Items[],4,0),0)</f>
        <v>111787106.56999999</v>
      </c>
      <c r="I235" s="41">
        <f>IFERROR(VLOOKUP(A235,Community[],4,0),0)</f>
        <v>0</v>
      </c>
      <c r="J235" s="41">
        <f>IFERROR(VLOOKUP(A235,Community[],5,0),0)</f>
        <v>0</v>
      </c>
      <c r="K235" s="41">
        <f>IFERROR(VLOOKUP(A235,Community[],6,0),0)</f>
        <v>0</v>
      </c>
      <c r="L235" s="41">
        <f>IFERROR(VLOOKUP(A235,Community[],7,0),0)</f>
        <v>731056.52</v>
      </c>
      <c r="M235" s="41">
        <f>IFERROR(VLOOKUP(A235,Debt[],3,0),0)</f>
        <v>33624.44</v>
      </c>
      <c r="N235" s="41">
        <f>IFERROR(VLOOKUP(A235,Debt[],4,0),0)</f>
        <v>869758.18</v>
      </c>
      <c r="O235" s="41">
        <f>IFERROR(VLOOKUP(A235,Debt[],5,0),0)</f>
        <v>0</v>
      </c>
      <c r="P235" s="41">
        <f>IFERROR(VLOOKUP(A235,Items[],3,0),0)</f>
        <v>57528.6</v>
      </c>
      <c r="Q235" s="41">
        <f>IFERROR(VLOOKUP($A235,Federal[],2,0),0)</f>
        <v>11240.26</v>
      </c>
      <c r="R235" s="41">
        <f>IFERROR(VLOOKUP($A235,Federal[],4,0),0)</f>
        <v>3952547.51</v>
      </c>
      <c r="S235" s="41"/>
      <c r="T235" s="47">
        <f>IFERROR(VLOOKUP($A235,Program[],3,0),0)</f>
        <v>0</v>
      </c>
      <c r="U235" s="47"/>
      <c r="V235" s="41">
        <f>IFERROR(VLOOKUP($A235,Program[],4,0),0)</f>
        <v>0</v>
      </c>
      <c r="W235" s="41">
        <f>IFERROR(VLOOKUP($A235,Program[],5,0),0)</f>
        <v>0</v>
      </c>
      <c r="X235" s="41"/>
      <c r="Y235" s="41"/>
      <c r="Z235" s="41"/>
      <c r="AA235" s="41">
        <f>IFERROR(VLOOKUP($A235,Program[],6,0),0)</f>
        <v>0</v>
      </c>
      <c r="AB235" s="41"/>
      <c r="AC235" s="41"/>
      <c r="AD235" s="41">
        <f>IFERROR(VLOOKUP($A235,Program[],7,0),0)</f>
        <v>0</v>
      </c>
      <c r="AE235" s="41">
        <f>IFERROR(VLOOKUP($A235,Program[],8,0),0)</f>
        <v>0</v>
      </c>
      <c r="AF235" s="41">
        <f>IFERROR(VLOOKUP($A235,Program[],9,0),0)</f>
        <v>0</v>
      </c>
      <c r="AG235" s="41">
        <f>IFERROR(VLOOKUP($A235,Program[],10,0),0)</f>
        <v>0</v>
      </c>
      <c r="AH235" s="41">
        <f>IFERROR(VLOOKUP($A235,Program[],11,0),0)</f>
        <v>0</v>
      </c>
      <c r="AI235" s="41">
        <f>IFERROR(VLOOKUP($A235,Program[],12,0),0)</f>
        <v>0</v>
      </c>
      <c r="AJ235" s="41"/>
      <c r="AK235" s="41">
        <f>IFERROR(VLOOKUP($A235,Program[],13,0),0)</f>
        <v>0</v>
      </c>
      <c r="AL235" s="41"/>
      <c r="AM235" s="41"/>
      <c r="AN235" s="41"/>
      <c r="AO235" s="41"/>
      <c r="AP235" s="41"/>
      <c r="AQ235" s="41"/>
      <c r="AR235" s="41"/>
      <c r="AS235" s="41">
        <f>IFERROR(VLOOKUP($A235,Program[],14,0),0)</f>
        <v>0</v>
      </c>
      <c r="AT235" s="41"/>
      <c r="AU235" s="41"/>
      <c r="AV235" s="41">
        <f>IFERROR(VLOOKUP($A235,Program[],15,0),0)</f>
        <v>0</v>
      </c>
      <c r="AW235" s="41"/>
      <c r="AX235" s="41">
        <f>IFERROR(VLOOKUP($A235,Program[],16,0),0)</f>
        <v>0</v>
      </c>
      <c r="AY235" s="41">
        <f>IFERROR(VLOOKUP($A235,Program[],17,0),0)</f>
        <v>0</v>
      </c>
      <c r="AZ235" s="41">
        <f>IFERROR(VLOOKUP($A235,Program[],18,0),0)</f>
        <v>0</v>
      </c>
      <c r="BA235" s="41">
        <f>IFERROR(VLOOKUP($A235,Program[],19,0),0)</f>
        <v>0</v>
      </c>
      <c r="BB235" s="77">
        <f t="shared" si="59"/>
        <v>112990.15000000045</v>
      </c>
      <c r="BC235" s="41">
        <f>IFERROR(VLOOKUP(A235,Food[],3,0),0)</f>
        <v>2316779.5900000003</v>
      </c>
      <c r="BD235" s="41">
        <f>IFERROR(VLOOKUP($A235,FoodRev[],2,0),0)</f>
        <v>662201.15</v>
      </c>
      <c r="BE235" s="41">
        <f>IFERROR(VLOOKUP($A235,FoodRev[],3,0),0)</f>
        <v>254198.92</v>
      </c>
      <c r="BF235" s="41">
        <f>IFERROR(VLOOKUP($A235,FoodRev[],4,0),0)</f>
        <v>0</v>
      </c>
      <c r="BG235" s="41">
        <f>IFERROR(VLOOKUP($A235,FoodRev[],5,0),0)</f>
        <v>1160976.04</v>
      </c>
      <c r="BH235" s="41">
        <f>IFERROR(VLOOKUP($A235,FoodRev[],6,0),0)</f>
        <v>0</v>
      </c>
      <c r="BI235" s="41">
        <f>IFERROR(VLOOKUP($A235,FoodRev[],7,0),0)</f>
        <v>0</v>
      </c>
      <c r="BJ235" s="41">
        <f>IFERROR(VLOOKUP($A235,FoodRev[],8,0),0)</f>
        <v>126413.33</v>
      </c>
      <c r="BK235" s="41">
        <f>IFERROR(VLOOKUP($A235,FoodRev[],9,0),0)</f>
        <v>0</v>
      </c>
      <c r="BL235" s="41">
        <f>IFERROR(VLOOKUP($A235,FoodRev[],10,0),0)</f>
        <v>0</v>
      </c>
      <c r="BM235" s="41">
        <f t="shared" si="60"/>
        <v>2203789.44</v>
      </c>
      <c r="BN235" s="42">
        <f t="shared" si="54"/>
        <v>112990.15000000045</v>
      </c>
      <c r="BO235" s="78">
        <f t="shared" si="64"/>
        <v>112990.15000000045</v>
      </c>
      <c r="BP235" s="78">
        <f t="shared" si="65"/>
        <v>0</v>
      </c>
    </row>
    <row r="236" spans="1:137" x14ac:dyDescent="0.25">
      <c r="A236" s="40" t="s">
        <v>64</v>
      </c>
      <c r="B236" s="40" t="s">
        <v>911</v>
      </c>
      <c r="D236" s="203">
        <f t="shared" si="57"/>
        <v>-2.9802322387695313E-8</v>
      </c>
      <c r="E236" s="41">
        <f>IFERROR(VLOOKUP(A236,Items[],5,0),0)</f>
        <v>175027115.22999999</v>
      </c>
      <c r="F236" s="42">
        <f t="shared" si="58"/>
        <v>175027115.23000002</v>
      </c>
      <c r="G236" s="41">
        <v>0</v>
      </c>
      <c r="H236" s="41">
        <f>IFERROR(VLOOKUP(A236,Items[],4,0),0)</f>
        <v>189680902.66999999</v>
      </c>
      <c r="I236" s="41">
        <f>IFERROR(VLOOKUP(A236,Community[],4,0),0)</f>
        <v>0</v>
      </c>
      <c r="J236" s="41">
        <f>IFERROR(VLOOKUP(A236,Community[],5,0),0)</f>
        <v>2771.7200000000003</v>
      </c>
      <c r="K236" s="41">
        <f>IFERROR(VLOOKUP(A236,Community[],6,0),0)</f>
        <v>910803.31</v>
      </c>
      <c r="L236" s="41">
        <f>IFERROR(VLOOKUP(A236,Community[],7,0),0)</f>
        <v>4409663.6800000006</v>
      </c>
      <c r="M236" s="41">
        <f>IFERROR(VLOOKUP(A236,Debt[],3,0),0)</f>
        <v>120436.83</v>
      </c>
      <c r="N236" s="41">
        <f>IFERROR(VLOOKUP(A236,Debt[],4,0),0)</f>
        <v>1717353.94</v>
      </c>
      <c r="O236" s="41">
        <f>IFERROR(VLOOKUP(A236,Debt[],5,0),0)</f>
        <v>0</v>
      </c>
      <c r="P236" s="41">
        <f>IFERROR(VLOOKUP(A236,Items[],3,0),0)</f>
        <v>793761.98</v>
      </c>
      <c r="Q236" s="41">
        <f>IFERROR(VLOOKUP($A236,Federal[],2,0),0)</f>
        <v>19301.98</v>
      </c>
      <c r="R236" s="41">
        <f>IFERROR(VLOOKUP($A236,Federal[],4,0),0)</f>
        <v>5107856.8899999997</v>
      </c>
      <c r="S236" s="41"/>
      <c r="T236" s="47">
        <f>IFERROR(VLOOKUP($A236,Program[],3,0),0)</f>
        <v>0</v>
      </c>
      <c r="U236" s="47"/>
      <c r="V236" s="41">
        <f>IFERROR(VLOOKUP($A236,Program[],4,0),0)</f>
        <v>0</v>
      </c>
      <c r="W236" s="41">
        <f>IFERROR(VLOOKUP($A236,Program[],5,0),0)</f>
        <v>0</v>
      </c>
      <c r="X236" s="41"/>
      <c r="Y236" s="41"/>
      <c r="Z236" s="41"/>
      <c r="AA236" s="41">
        <f>IFERROR(VLOOKUP($A236,Program[],6,0),0)</f>
        <v>0</v>
      </c>
      <c r="AB236" s="41"/>
      <c r="AC236" s="41"/>
      <c r="AD236" s="41">
        <f>IFERROR(VLOOKUP($A236,Program[],7,0),0)</f>
        <v>0</v>
      </c>
      <c r="AE236" s="41">
        <f>IFERROR(VLOOKUP($A236,Program[],8,0),0)</f>
        <v>0</v>
      </c>
      <c r="AF236" s="41">
        <f>IFERROR(VLOOKUP($A236,Program[],9,0),0)</f>
        <v>0</v>
      </c>
      <c r="AG236" s="41">
        <f>IFERROR(VLOOKUP($A236,Program[],10,0),0)</f>
        <v>0</v>
      </c>
      <c r="AH236" s="41">
        <f>IFERROR(VLOOKUP($A236,Program[],11,0),0)</f>
        <v>0</v>
      </c>
      <c r="AI236" s="41">
        <f>IFERROR(VLOOKUP($A236,Program[],12,0),0)</f>
        <v>0</v>
      </c>
      <c r="AJ236" s="41"/>
      <c r="AK236" s="41">
        <f>IFERROR(VLOOKUP($A236,Program[],13,0),0)</f>
        <v>0</v>
      </c>
      <c r="AL236" s="41"/>
      <c r="AM236" s="41"/>
      <c r="AN236" s="41"/>
      <c r="AO236" s="41"/>
      <c r="AP236" s="41"/>
      <c r="AQ236" s="41"/>
      <c r="AR236" s="41"/>
      <c r="AS236" s="41">
        <f>IFERROR(VLOOKUP($A236,Program[],14,0),0)</f>
        <v>0</v>
      </c>
      <c r="AT236" s="41"/>
      <c r="AU236" s="41"/>
      <c r="AV236" s="41">
        <f>IFERROR(VLOOKUP($A236,Program[],15,0),0)</f>
        <v>0</v>
      </c>
      <c r="AW236" s="41"/>
      <c r="AX236" s="41">
        <f>IFERROR(VLOOKUP($A236,Program[],16,0),0)</f>
        <v>0</v>
      </c>
      <c r="AY236" s="41">
        <f>IFERROR(VLOOKUP($A236,Program[],17,0),0)</f>
        <v>0</v>
      </c>
      <c r="AZ236" s="41">
        <f>IFERROR(VLOOKUP($A236,Program[],18,0),0)</f>
        <v>0</v>
      </c>
      <c r="BA236" s="41">
        <f>IFERROR(VLOOKUP($A236,Program[],19,0),0)</f>
        <v>0</v>
      </c>
      <c r="BB236" s="77">
        <f t="shared" si="59"/>
        <v>152730.73999999958</v>
      </c>
      <c r="BC236" s="41">
        <f>IFERROR(VLOOKUP(A236,Food[],3,0),0)</f>
        <v>3107575.9099999997</v>
      </c>
      <c r="BD236" s="41">
        <f>IFERROR(VLOOKUP($A236,FoodRev[],2,0),0)</f>
        <v>1458228.59</v>
      </c>
      <c r="BE236" s="41">
        <f>IFERROR(VLOOKUP($A236,FoodRev[],3,0),0)</f>
        <v>113608.52</v>
      </c>
      <c r="BF236" s="41">
        <f>IFERROR(VLOOKUP($A236,FoodRev[],4,0),0)</f>
        <v>0</v>
      </c>
      <c r="BG236" s="41">
        <f>IFERROR(VLOOKUP($A236,FoodRev[],5,0),0)</f>
        <v>1200531.25</v>
      </c>
      <c r="BH236" s="41">
        <f>IFERROR(VLOOKUP($A236,FoodRev[],6,0),0)</f>
        <v>0</v>
      </c>
      <c r="BI236" s="41">
        <f>IFERROR(VLOOKUP($A236,FoodRev[],7,0),0)</f>
        <v>0</v>
      </c>
      <c r="BJ236" s="41">
        <f>IFERROR(VLOOKUP($A236,FoodRev[],8,0),0)</f>
        <v>182476.81</v>
      </c>
      <c r="BK236" s="41">
        <f>IFERROR(VLOOKUP($A236,FoodRev[],9,0),0)</f>
        <v>0</v>
      </c>
      <c r="BL236" s="41">
        <f>IFERROR(VLOOKUP($A236,FoodRev[],10,0),0)</f>
        <v>0</v>
      </c>
      <c r="BM236" s="41">
        <f t="shared" si="60"/>
        <v>2954845.1700000004</v>
      </c>
      <c r="BN236" s="42">
        <f t="shared" si="54"/>
        <v>152730.73999999958</v>
      </c>
      <c r="BO236" s="78">
        <f t="shared" si="64"/>
        <v>152730.73999999958</v>
      </c>
      <c r="BP236" s="78">
        <f t="shared" si="65"/>
        <v>0</v>
      </c>
    </row>
    <row r="237" spans="1:137" x14ac:dyDescent="0.25">
      <c r="A237" s="40" t="s">
        <v>208</v>
      </c>
      <c r="B237" s="40" t="s">
        <v>912</v>
      </c>
      <c r="D237" s="203">
        <f t="shared" si="57"/>
        <v>7.4505805969238281E-9</v>
      </c>
      <c r="E237" s="41">
        <f>IFERROR(VLOOKUP(A237,Items[],5,0),0)</f>
        <v>47416441.189999998</v>
      </c>
      <c r="F237" s="42">
        <f t="shared" si="58"/>
        <v>47416441.18999999</v>
      </c>
      <c r="G237" s="41">
        <v>0</v>
      </c>
      <c r="H237" s="41">
        <f>IFERROR(VLOOKUP(A237,Items[],4,0),0)</f>
        <v>50910838.350000001</v>
      </c>
      <c r="I237" s="41">
        <f>IFERROR(VLOOKUP(A237,Community[],4,0),0)</f>
        <v>0</v>
      </c>
      <c r="J237" s="41">
        <f>IFERROR(VLOOKUP(A237,Community[],5,0),0)</f>
        <v>0</v>
      </c>
      <c r="K237" s="41">
        <f>IFERROR(VLOOKUP(A237,Community[],6,0),0)</f>
        <v>278696.55999999994</v>
      </c>
      <c r="L237" s="41">
        <f>IFERROR(VLOOKUP(A237,Community[],7,0),0)</f>
        <v>98359.95</v>
      </c>
      <c r="M237" s="41">
        <f>IFERROR(VLOOKUP(A237,Debt[],3,0),0)</f>
        <v>0</v>
      </c>
      <c r="N237" s="41">
        <f>IFERROR(VLOOKUP(A237,Debt[],4,0),0)</f>
        <v>0</v>
      </c>
      <c r="O237" s="41">
        <f>IFERROR(VLOOKUP(A237,Debt[],5,0),0)</f>
        <v>0</v>
      </c>
      <c r="P237" s="41">
        <f>IFERROR(VLOOKUP(A237,Items[],3,0),0)</f>
        <v>163834.12</v>
      </c>
      <c r="Q237" s="41">
        <f>IFERROR(VLOOKUP($A237,Federal[],2,0),0)</f>
        <v>5378.31</v>
      </c>
      <c r="R237" s="41">
        <f>IFERROR(VLOOKUP($A237,Federal[],4,0),0)</f>
        <v>2546098.46</v>
      </c>
      <c r="S237" s="41"/>
      <c r="T237" s="47">
        <f>IFERROR(VLOOKUP($A237,Program[],3,0),0)</f>
        <v>0</v>
      </c>
      <c r="U237" s="47"/>
      <c r="V237" s="41">
        <f>IFERROR(VLOOKUP($A237,Program[],4,0),0)</f>
        <v>0</v>
      </c>
      <c r="W237" s="41">
        <f>IFERROR(VLOOKUP($A237,Program[],5,0),0)</f>
        <v>0</v>
      </c>
      <c r="X237" s="41"/>
      <c r="Y237" s="41"/>
      <c r="Z237" s="41"/>
      <c r="AA237" s="41">
        <f>IFERROR(VLOOKUP($A237,Program[],6,0),0)</f>
        <v>0</v>
      </c>
      <c r="AB237" s="41"/>
      <c r="AC237" s="41"/>
      <c r="AD237" s="41">
        <f>IFERROR(VLOOKUP($A237,Program[],7,0),0)</f>
        <v>0</v>
      </c>
      <c r="AE237" s="41">
        <f>IFERROR(VLOOKUP($A237,Program[],8,0),0)</f>
        <v>0</v>
      </c>
      <c r="AF237" s="41">
        <f>IFERROR(VLOOKUP($A237,Program[],9,0),0)</f>
        <v>0</v>
      </c>
      <c r="AG237" s="41">
        <f>IFERROR(VLOOKUP($A237,Program[],10,0),0)</f>
        <v>0</v>
      </c>
      <c r="AH237" s="41">
        <f>IFERROR(VLOOKUP($A237,Program[],11,0),0)</f>
        <v>0</v>
      </c>
      <c r="AI237" s="41">
        <f>IFERROR(VLOOKUP($A237,Program[],12,0),0)</f>
        <v>0</v>
      </c>
      <c r="AJ237" s="41"/>
      <c r="AK237" s="41">
        <f>IFERROR(VLOOKUP($A237,Program[],13,0),0)</f>
        <v>0</v>
      </c>
      <c r="AL237" s="41"/>
      <c r="AM237" s="41"/>
      <c r="AN237" s="41"/>
      <c r="AO237" s="41"/>
      <c r="AP237" s="41"/>
      <c r="AQ237" s="41"/>
      <c r="AR237" s="41"/>
      <c r="AS237" s="41">
        <f>IFERROR(VLOOKUP($A237,Program[],14,0),0)</f>
        <v>0</v>
      </c>
      <c r="AT237" s="41"/>
      <c r="AU237" s="41"/>
      <c r="AV237" s="41">
        <f>IFERROR(VLOOKUP($A237,Program[],15,0),0)</f>
        <v>0</v>
      </c>
      <c r="AW237" s="41"/>
      <c r="AX237" s="41">
        <f>IFERROR(VLOOKUP($A237,Program[],16,0),0)</f>
        <v>0</v>
      </c>
      <c r="AY237" s="41">
        <f>IFERROR(VLOOKUP($A237,Program[],17,0),0)</f>
        <v>0</v>
      </c>
      <c r="AZ237" s="41">
        <f>IFERROR(VLOOKUP($A237,Program[],18,0),0)</f>
        <v>0</v>
      </c>
      <c r="BA237" s="41">
        <f>IFERROR(VLOOKUP($A237,Program[],19,0),0)</f>
        <v>6313.62</v>
      </c>
      <c r="BB237" s="77">
        <f t="shared" si="59"/>
        <v>211825.72000000032</v>
      </c>
      <c r="BC237" s="41">
        <f>IFERROR(VLOOKUP(A237,Food[],3,0),0)</f>
        <v>1630418.2400000002</v>
      </c>
      <c r="BD237" s="41">
        <f>IFERROR(VLOOKUP($A237,FoodRev[],2,0),0)</f>
        <v>165595.65</v>
      </c>
      <c r="BE237" s="41">
        <f>IFERROR(VLOOKUP($A237,FoodRev[],3,0),0)</f>
        <v>242747.73</v>
      </c>
      <c r="BF237" s="41">
        <f>IFERROR(VLOOKUP($A237,FoodRev[],4,0),0)</f>
        <v>0</v>
      </c>
      <c r="BG237" s="41">
        <f>IFERROR(VLOOKUP($A237,FoodRev[],5,0),0)</f>
        <v>926816.26</v>
      </c>
      <c r="BH237" s="41">
        <f>IFERROR(VLOOKUP($A237,FoodRev[],6,0),0)</f>
        <v>0</v>
      </c>
      <c r="BI237" s="41">
        <f>IFERROR(VLOOKUP($A237,FoodRev[],7,0),0)</f>
        <v>0</v>
      </c>
      <c r="BJ237" s="41">
        <f>IFERROR(VLOOKUP($A237,FoodRev[],8,0),0)</f>
        <v>83432.88</v>
      </c>
      <c r="BK237" s="41">
        <f>IFERROR(VLOOKUP($A237,FoodRev[],9,0),0)</f>
        <v>0</v>
      </c>
      <c r="BL237" s="41">
        <f>IFERROR(VLOOKUP($A237,FoodRev[],10,0),0)</f>
        <v>0</v>
      </c>
      <c r="BM237" s="41">
        <f t="shared" si="60"/>
        <v>1418592.52</v>
      </c>
      <c r="BN237" s="42">
        <f t="shared" si="54"/>
        <v>211825.72000000032</v>
      </c>
      <c r="BO237" s="78">
        <f t="shared" si="64"/>
        <v>211825.72000000032</v>
      </c>
      <c r="BP237" s="78">
        <f t="shared" si="65"/>
        <v>0</v>
      </c>
    </row>
    <row r="238" spans="1:137" x14ac:dyDescent="0.25">
      <c r="A238" s="40" t="s">
        <v>220</v>
      </c>
      <c r="B238" s="40" t="s">
        <v>913</v>
      </c>
      <c r="D238" s="203">
        <f t="shared" si="57"/>
        <v>0</v>
      </c>
      <c r="E238" s="41">
        <f>IFERROR(VLOOKUP(A238,Items[],5,0),0)</f>
        <v>39809485</v>
      </c>
      <c r="F238" s="42">
        <f t="shared" si="58"/>
        <v>39809485</v>
      </c>
      <c r="G238" s="41">
        <v>0</v>
      </c>
      <c r="H238" s="41">
        <f>IFERROR(VLOOKUP(A238,Items[],4,0),0)</f>
        <v>42686201.460000001</v>
      </c>
      <c r="I238" s="41">
        <f>IFERROR(VLOOKUP(A238,Community[],4,0),0)</f>
        <v>0</v>
      </c>
      <c r="J238" s="41">
        <f>IFERROR(VLOOKUP(A238,Community[],5,0),0)</f>
        <v>0</v>
      </c>
      <c r="K238" s="41">
        <f>IFERROR(VLOOKUP(A238,Community[],6,0),0)</f>
        <v>9427.33</v>
      </c>
      <c r="L238" s="41">
        <f>IFERROR(VLOOKUP(A238,Community[],7,0),0)</f>
        <v>0</v>
      </c>
      <c r="M238" s="41">
        <f>IFERROR(VLOOKUP(A238,Debt[],3,0),0)</f>
        <v>4935.7299999999996</v>
      </c>
      <c r="N238" s="41">
        <f>IFERROR(VLOOKUP(A238,Debt[],4,0),0)</f>
        <v>55001.87</v>
      </c>
      <c r="O238" s="41">
        <f>IFERROR(VLOOKUP(A238,Debt[],5,0),0)</f>
        <v>0</v>
      </c>
      <c r="P238" s="41">
        <f>IFERROR(VLOOKUP(A238,Items[],3,0),0)</f>
        <v>55357.24</v>
      </c>
      <c r="Q238" s="41">
        <f>IFERROR(VLOOKUP($A238,Federal[],2,0),0)</f>
        <v>4215.71</v>
      </c>
      <c r="R238" s="41">
        <f>IFERROR(VLOOKUP($A238,Federal[],4,0),0)</f>
        <v>2273134.9500000002</v>
      </c>
      <c r="S238" s="41"/>
      <c r="T238" s="47">
        <f>IFERROR(VLOOKUP($A238,Program[],3,0),0)</f>
        <v>0</v>
      </c>
      <c r="U238" s="47"/>
      <c r="V238" s="41">
        <f>IFERROR(VLOOKUP($A238,Program[],4,0),0)</f>
        <v>0</v>
      </c>
      <c r="W238" s="41">
        <f>IFERROR(VLOOKUP($A238,Program[],5,0),0)</f>
        <v>0</v>
      </c>
      <c r="X238" s="41"/>
      <c r="Y238" s="41"/>
      <c r="Z238" s="41"/>
      <c r="AA238" s="41">
        <f>IFERROR(VLOOKUP($A238,Program[],6,0),0)</f>
        <v>0</v>
      </c>
      <c r="AB238" s="41"/>
      <c r="AC238" s="41"/>
      <c r="AD238" s="41">
        <f>IFERROR(VLOOKUP($A238,Program[],7,0),0)</f>
        <v>0</v>
      </c>
      <c r="AE238" s="41">
        <f>IFERROR(VLOOKUP($A238,Program[],8,0),0)</f>
        <v>0</v>
      </c>
      <c r="AF238" s="41">
        <f>IFERROR(VLOOKUP($A238,Program[],9,0),0)</f>
        <v>0</v>
      </c>
      <c r="AG238" s="41">
        <f>IFERROR(VLOOKUP($A238,Program[],10,0),0)</f>
        <v>0</v>
      </c>
      <c r="AH238" s="41">
        <f>IFERROR(VLOOKUP($A238,Program[],11,0),0)</f>
        <v>0</v>
      </c>
      <c r="AI238" s="41">
        <f>IFERROR(VLOOKUP($A238,Program[],12,0),0)</f>
        <v>0</v>
      </c>
      <c r="AJ238" s="41"/>
      <c r="AK238" s="41">
        <f>IFERROR(VLOOKUP($A238,Program[],13,0),0)</f>
        <v>0</v>
      </c>
      <c r="AL238" s="41"/>
      <c r="AM238" s="41"/>
      <c r="AN238" s="41"/>
      <c r="AO238" s="41"/>
      <c r="AP238" s="41"/>
      <c r="AQ238" s="41"/>
      <c r="AR238" s="41"/>
      <c r="AS238" s="41">
        <f>IFERROR(VLOOKUP($A238,Program[],14,0),0)</f>
        <v>0</v>
      </c>
      <c r="AT238" s="41"/>
      <c r="AU238" s="41"/>
      <c r="AV238" s="41">
        <f>IFERROR(VLOOKUP($A238,Program[],15,0),0)</f>
        <v>0</v>
      </c>
      <c r="AW238" s="41"/>
      <c r="AX238" s="41">
        <f>IFERROR(VLOOKUP($A238,Program[],16,0),0)</f>
        <v>0</v>
      </c>
      <c r="AY238" s="41">
        <f>IFERROR(VLOOKUP($A238,Program[],17,0),0)</f>
        <v>0</v>
      </c>
      <c r="AZ238" s="41">
        <f>IFERROR(VLOOKUP($A238,Program[],18,0),0)</f>
        <v>0</v>
      </c>
      <c r="BA238" s="41">
        <f>IFERROR(VLOOKUP($A238,Program[],19,0),0)</f>
        <v>26156.67</v>
      </c>
      <c r="BB238" s="77">
        <f t="shared" si="59"/>
        <v>34393.319999999963</v>
      </c>
      <c r="BC238" s="41">
        <f>IFERROR(VLOOKUP(A238,Food[],3,0),0)</f>
        <v>1310701.31</v>
      </c>
      <c r="BD238" s="41">
        <f>IFERROR(VLOOKUP($A238,FoodRev[],2,0),0)</f>
        <v>183349.82</v>
      </c>
      <c r="BE238" s="41">
        <f>IFERROR(VLOOKUP($A238,FoodRev[],3,0),0)</f>
        <v>317450.48</v>
      </c>
      <c r="BF238" s="41">
        <f>IFERROR(VLOOKUP($A238,FoodRev[],4,0),0)</f>
        <v>0</v>
      </c>
      <c r="BG238" s="41">
        <f>IFERROR(VLOOKUP($A238,FoodRev[],5,0),0)</f>
        <v>708313.18</v>
      </c>
      <c r="BH238" s="41">
        <f>IFERROR(VLOOKUP($A238,FoodRev[],6,0),0)</f>
        <v>0</v>
      </c>
      <c r="BI238" s="41">
        <f>IFERROR(VLOOKUP($A238,FoodRev[],7,0),0)</f>
        <v>0</v>
      </c>
      <c r="BJ238" s="41">
        <f>IFERROR(VLOOKUP($A238,FoodRev[],8,0),0)</f>
        <v>67194.509999999995</v>
      </c>
      <c r="BK238" s="41">
        <f>IFERROR(VLOOKUP($A238,FoodRev[],9,0),0)</f>
        <v>0</v>
      </c>
      <c r="BL238" s="41">
        <f>IFERROR(VLOOKUP($A238,FoodRev[],10,0),0)</f>
        <v>0</v>
      </c>
      <c r="BM238" s="41">
        <f t="shared" si="60"/>
        <v>1276307.99</v>
      </c>
      <c r="BN238" s="42">
        <f t="shared" si="54"/>
        <v>34393.319999999963</v>
      </c>
      <c r="BO238" s="78">
        <f t="shared" si="64"/>
        <v>34393.319999999963</v>
      </c>
      <c r="BP238" s="78">
        <f t="shared" si="65"/>
        <v>0</v>
      </c>
    </row>
    <row r="239" spans="1:137" x14ac:dyDescent="0.25">
      <c r="A239" s="40" t="s">
        <v>406</v>
      </c>
      <c r="B239" s="40" t="s">
        <v>914</v>
      </c>
      <c r="D239" s="203">
        <f t="shared" si="57"/>
        <v>-1.862645149230957E-9</v>
      </c>
      <c r="E239" s="41">
        <f>IFERROR(VLOOKUP(A239,Items[],5,0),0)</f>
        <v>9387774.25</v>
      </c>
      <c r="F239" s="42">
        <f t="shared" si="58"/>
        <v>9387774.2500000019</v>
      </c>
      <c r="G239" s="41">
        <v>0</v>
      </c>
      <c r="H239" s="41">
        <f>IFERROR(VLOOKUP(A239,Items[],4,0),0)</f>
        <v>10419861.609999999</v>
      </c>
      <c r="I239" s="41">
        <f>IFERROR(VLOOKUP(A239,Community[],4,0),0)</f>
        <v>0</v>
      </c>
      <c r="J239" s="41">
        <f>IFERROR(VLOOKUP(A239,Community[],5,0),0)</f>
        <v>0</v>
      </c>
      <c r="K239" s="41">
        <f>IFERROR(VLOOKUP(A239,Community[],6,0),0)</f>
        <v>0</v>
      </c>
      <c r="L239" s="41">
        <f>IFERROR(VLOOKUP(A239,Community[],7,0),0)</f>
        <v>949.17</v>
      </c>
      <c r="M239" s="41">
        <f>IFERROR(VLOOKUP(A239,Debt[],3,0),0)</f>
        <v>0</v>
      </c>
      <c r="N239" s="41">
        <f>IFERROR(VLOOKUP(A239,Debt[],4,0),0)</f>
        <v>0</v>
      </c>
      <c r="O239" s="41">
        <f>IFERROR(VLOOKUP(A239,Debt[],5,0),0)</f>
        <v>0</v>
      </c>
      <c r="P239" s="41">
        <f>IFERROR(VLOOKUP(A239,Items[],3,0),0)</f>
        <v>38716.410000000003</v>
      </c>
      <c r="Q239" s="41">
        <f>IFERROR(VLOOKUP($A239,Federal[],2,0),0)</f>
        <v>875.59</v>
      </c>
      <c r="R239" s="41">
        <f>IFERROR(VLOOKUP($A239,Federal[],4,0),0)</f>
        <v>884027.53</v>
      </c>
      <c r="S239" s="41"/>
      <c r="T239" s="47">
        <f>IFERROR(VLOOKUP($A239,Program[],3,0),0)</f>
        <v>0</v>
      </c>
      <c r="U239" s="47"/>
      <c r="V239" s="41">
        <f>IFERROR(VLOOKUP($A239,Program[],4,0),0)</f>
        <v>0</v>
      </c>
      <c r="W239" s="41">
        <f>IFERROR(VLOOKUP($A239,Program[],5,0),0)</f>
        <v>0</v>
      </c>
      <c r="X239" s="41"/>
      <c r="Y239" s="41"/>
      <c r="Z239" s="41"/>
      <c r="AA239" s="41">
        <f>IFERROR(VLOOKUP($A239,Program[],6,0),0)</f>
        <v>0</v>
      </c>
      <c r="AB239" s="41"/>
      <c r="AC239" s="41"/>
      <c r="AD239" s="41">
        <f>IFERROR(VLOOKUP($A239,Program[],7,0),0)</f>
        <v>0</v>
      </c>
      <c r="AE239" s="41">
        <f>IFERROR(VLOOKUP($A239,Program[],8,0),0)</f>
        <v>0</v>
      </c>
      <c r="AF239" s="41">
        <f>IFERROR(VLOOKUP($A239,Program[],9,0),0)</f>
        <v>0</v>
      </c>
      <c r="AG239" s="41">
        <f>IFERROR(VLOOKUP($A239,Program[],10,0),0)</f>
        <v>0</v>
      </c>
      <c r="AH239" s="41">
        <f>IFERROR(VLOOKUP($A239,Program[],11,0),0)</f>
        <v>0</v>
      </c>
      <c r="AI239" s="41">
        <f>IFERROR(VLOOKUP($A239,Program[],12,0),0)</f>
        <v>0</v>
      </c>
      <c r="AJ239" s="41"/>
      <c r="AK239" s="41">
        <f>IFERROR(VLOOKUP($A239,Program[],13,0),0)</f>
        <v>0</v>
      </c>
      <c r="AL239" s="41"/>
      <c r="AM239" s="41"/>
      <c r="AN239" s="41"/>
      <c r="AO239" s="41"/>
      <c r="AP239" s="41"/>
      <c r="AQ239" s="41"/>
      <c r="AR239" s="41"/>
      <c r="AS239" s="41">
        <f>IFERROR(VLOOKUP($A239,Program[],14,0),0)</f>
        <v>0</v>
      </c>
      <c r="AT239" s="41"/>
      <c r="AU239" s="41"/>
      <c r="AV239" s="41">
        <f>IFERROR(VLOOKUP($A239,Program[],15,0),0)</f>
        <v>19358.21</v>
      </c>
      <c r="AW239" s="41"/>
      <c r="AX239" s="41">
        <f>IFERROR(VLOOKUP($A239,Program[],16,0),0)</f>
        <v>0</v>
      </c>
      <c r="AY239" s="41">
        <f>IFERROR(VLOOKUP($A239,Program[],17,0),0)</f>
        <v>0</v>
      </c>
      <c r="AZ239" s="41">
        <f>IFERROR(VLOOKUP($A239,Program[],18,0),0)</f>
        <v>0</v>
      </c>
      <c r="BA239" s="41">
        <f>IFERROR(VLOOKUP($A239,Program[],19,0),0)</f>
        <v>0</v>
      </c>
      <c r="BB239" s="77">
        <f t="shared" si="59"/>
        <v>93897.91</v>
      </c>
      <c r="BC239" s="41">
        <f>IFERROR(VLOOKUP(A239,Food[],3,0),0)</f>
        <v>587519.91</v>
      </c>
      <c r="BD239" s="41">
        <f>IFERROR(VLOOKUP($A239,FoodRev[],2,0),0)</f>
        <v>13554.77</v>
      </c>
      <c r="BE239" s="41">
        <f>IFERROR(VLOOKUP($A239,FoodRev[],3,0),0)</f>
        <v>113322.1</v>
      </c>
      <c r="BF239" s="41">
        <f>IFERROR(VLOOKUP($A239,FoodRev[],4,0),0)</f>
        <v>0</v>
      </c>
      <c r="BG239" s="41">
        <f>IFERROR(VLOOKUP($A239,FoodRev[],5,0),0)</f>
        <v>324478.15000000002</v>
      </c>
      <c r="BH239" s="41">
        <f>IFERROR(VLOOKUP($A239,FoodRev[],6,0),0)</f>
        <v>0</v>
      </c>
      <c r="BI239" s="41">
        <f>IFERROR(VLOOKUP($A239,FoodRev[],7,0),0)</f>
        <v>0</v>
      </c>
      <c r="BJ239" s="41">
        <f>IFERROR(VLOOKUP($A239,FoodRev[],8,0),0)</f>
        <v>42266.98</v>
      </c>
      <c r="BK239" s="41">
        <f>IFERROR(VLOOKUP($A239,FoodRev[],9,0),0)</f>
        <v>0</v>
      </c>
      <c r="BL239" s="41">
        <f>IFERROR(VLOOKUP($A239,FoodRev[],10,0),0)</f>
        <v>0</v>
      </c>
      <c r="BM239" s="41">
        <f t="shared" si="60"/>
        <v>493622</v>
      </c>
      <c r="BN239" s="42">
        <f t="shared" si="54"/>
        <v>93897.91</v>
      </c>
      <c r="BO239" s="78">
        <f t="shared" si="64"/>
        <v>93897.91</v>
      </c>
      <c r="BP239" s="78">
        <f t="shared" si="65"/>
        <v>0</v>
      </c>
    </row>
    <row r="240" spans="1:137" x14ac:dyDescent="0.25">
      <c r="A240" s="40" t="s">
        <v>218</v>
      </c>
      <c r="B240" s="40" t="s">
        <v>915</v>
      </c>
      <c r="D240" s="203">
        <f t="shared" si="57"/>
        <v>1.4901161193847656E-8</v>
      </c>
      <c r="E240" s="41">
        <f>IFERROR(VLOOKUP(A240,Items[],5,0),0)</f>
        <v>41257779.270000003</v>
      </c>
      <c r="F240" s="42">
        <f t="shared" si="58"/>
        <v>41257779.269999988</v>
      </c>
      <c r="G240" s="41">
        <v>0</v>
      </c>
      <c r="H240" s="41">
        <f>IFERROR(VLOOKUP(A240,Items[],4,0),0)</f>
        <v>43808603.390000001</v>
      </c>
      <c r="I240" s="41">
        <f>IFERROR(VLOOKUP(A240,Community[],4,0),0)</f>
        <v>0</v>
      </c>
      <c r="J240" s="41">
        <f>IFERROR(VLOOKUP(A240,Community[],5,0),0)</f>
        <v>0</v>
      </c>
      <c r="K240" s="41">
        <f>IFERROR(VLOOKUP(A240,Community[],6,0),0)</f>
        <v>0</v>
      </c>
      <c r="L240" s="41">
        <f>IFERROR(VLOOKUP(A240,Community[],7,0),0)</f>
        <v>0</v>
      </c>
      <c r="M240" s="41">
        <f>IFERROR(VLOOKUP(A240,Debt[],3,0),0)</f>
        <v>0</v>
      </c>
      <c r="N240" s="41">
        <f>IFERROR(VLOOKUP(A240,Debt[],4,0),0)</f>
        <v>0</v>
      </c>
      <c r="O240" s="41">
        <f>IFERROR(VLOOKUP(A240,Debt[],5,0),0)</f>
        <v>0</v>
      </c>
      <c r="P240" s="41">
        <f>IFERROR(VLOOKUP(A240,Items[],3,0),0)</f>
        <v>0</v>
      </c>
      <c r="Q240" s="41">
        <f>IFERROR(VLOOKUP($A240,Federal[],2,0),0)</f>
        <v>4508.42</v>
      </c>
      <c r="R240" s="41">
        <f>IFERROR(VLOOKUP($A240,Federal[],4,0),0)</f>
        <v>1962090.63</v>
      </c>
      <c r="S240" s="41"/>
      <c r="T240" s="47">
        <f>IFERROR(VLOOKUP($A240,Program[],3,0),0)</f>
        <v>0</v>
      </c>
      <c r="U240" s="47"/>
      <c r="V240" s="41">
        <f>IFERROR(VLOOKUP($A240,Program[],4,0),0)</f>
        <v>0</v>
      </c>
      <c r="W240" s="41">
        <f>IFERROR(VLOOKUP($A240,Program[],5,0),0)</f>
        <v>0</v>
      </c>
      <c r="X240" s="41"/>
      <c r="Y240" s="41"/>
      <c r="Z240" s="41"/>
      <c r="AA240" s="41">
        <f>IFERROR(VLOOKUP($A240,Program[],6,0),0)</f>
        <v>0</v>
      </c>
      <c r="AB240" s="41"/>
      <c r="AC240" s="41"/>
      <c r="AD240" s="41">
        <f>IFERROR(VLOOKUP($A240,Program[],7,0),0)</f>
        <v>0</v>
      </c>
      <c r="AE240" s="41">
        <f>IFERROR(VLOOKUP($A240,Program[],8,0),0)</f>
        <v>0</v>
      </c>
      <c r="AF240" s="41">
        <f>IFERROR(VLOOKUP($A240,Program[],9,0),0)</f>
        <v>0</v>
      </c>
      <c r="AG240" s="41">
        <f>IFERROR(VLOOKUP($A240,Program[],10,0),0)</f>
        <v>0</v>
      </c>
      <c r="AH240" s="41">
        <f>IFERROR(VLOOKUP($A240,Program[],11,0),0)</f>
        <v>0</v>
      </c>
      <c r="AI240" s="41">
        <f>IFERROR(VLOOKUP($A240,Program[],12,0),0)</f>
        <v>0</v>
      </c>
      <c r="AJ240" s="41"/>
      <c r="AK240" s="41">
        <f>IFERROR(VLOOKUP($A240,Program[],13,0),0)</f>
        <v>0</v>
      </c>
      <c r="AL240" s="41"/>
      <c r="AM240" s="41"/>
      <c r="AN240" s="41"/>
      <c r="AO240" s="41"/>
      <c r="AP240" s="41"/>
      <c r="AQ240" s="41"/>
      <c r="AR240" s="41"/>
      <c r="AS240" s="41">
        <f>IFERROR(VLOOKUP($A240,Program[],14,0),0)</f>
        <v>0</v>
      </c>
      <c r="AT240" s="41"/>
      <c r="AU240" s="41"/>
      <c r="AV240" s="41">
        <f>IFERROR(VLOOKUP($A240,Program[],15,0),0)</f>
        <v>0</v>
      </c>
      <c r="AW240" s="41"/>
      <c r="AX240" s="41">
        <f>IFERROR(VLOOKUP($A240,Program[],16,0),0)</f>
        <v>0</v>
      </c>
      <c r="AY240" s="41">
        <f>IFERROR(VLOOKUP($A240,Program[],17,0),0)</f>
        <v>0</v>
      </c>
      <c r="AZ240" s="41">
        <f>IFERROR(VLOOKUP($A240,Program[],18,0),0)</f>
        <v>0</v>
      </c>
      <c r="BA240" s="41">
        <f>IFERROR(VLOOKUP($A240,Program[],19,0),0)</f>
        <v>0</v>
      </c>
      <c r="BB240" s="77">
        <f t="shared" si="59"/>
        <v>92927.689999999886</v>
      </c>
      <c r="BC240" s="41">
        <f>IFERROR(VLOOKUP(A240,Food[],3,0),0)</f>
        <v>1518941.38</v>
      </c>
      <c r="BD240" s="41">
        <f>IFERROR(VLOOKUP($A240,FoodRev[],2,0),0)</f>
        <v>71337.33</v>
      </c>
      <c r="BE240" s="41">
        <f>IFERROR(VLOOKUP($A240,FoodRev[],3,0),0)</f>
        <v>512887.74</v>
      </c>
      <c r="BF240" s="41">
        <f>IFERROR(VLOOKUP($A240,FoodRev[],4,0),0)</f>
        <v>0</v>
      </c>
      <c r="BG240" s="41">
        <f>IFERROR(VLOOKUP($A240,FoodRev[],5,0),0)</f>
        <v>738615.44</v>
      </c>
      <c r="BH240" s="41">
        <f>IFERROR(VLOOKUP($A240,FoodRev[],6,0),0)</f>
        <v>0</v>
      </c>
      <c r="BI240" s="41">
        <f>IFERROR(VLOOKUP($A240,FoodRev[],7,0),0)</f>
        <v>0</v>
      </c>
      <c r="BJ240" s="41">
        <f>IFERROR(VLOOKUP($A240,FoodRev[],8,0),0)</f>
        <v>103173.18</v>
      </c>
      <c r="BK240" s="41">
        <f>IFERROR(VLOOKUP($A240,FoodRev[],9,0),0)</f>
        <v>0</v>
      </c>
      <c r="BL240" s="41">
        <f>IFERROR(VLOOKUP($A240,FoodRev[],10,0),0)</f>
        <v>0</v>
      </c>
      <c r="BM240" s="41">
        <f t="shared" si="60"/>
        <v>1426013.6899999997</v>
      </c>
      <c r="BN240" s="42">
        <f t="shared" si="54"/>
        <v>92927.689999999886</v>
      </c>
      <c r="BO240" s="78">
        <f t="shared" si="64"/>
        <v>92927.689999999886</v>
      </c>
      <c r="BP240" s="78">
        <f t="shared" si="65"/>
        <v>0</v>
      </c>
    </row>
    <row r="241" spans="1:68" x14ac:dyDescent="0.25">
      <c r="A241" s="40" t="s">
        <v>128</v>
      </c>
      <c r="B241" s="40" t="s">
        <v>916</v>
      </c>
      <c r="D241" s="203">
        <f t="shared" si="57"/>
        <v>-1.4901161193847656E-8</v>
      </c>
      <c r="E241" s="41">
        <f>IFERROR(VLOOKUP(A241,Items[],5,0),0)</f>
        <v>87280626.400000006</v>
      </c>
      <c r="F241" s="42">
        <f t="shared" si="58"/>
        <v>87280626.400000021</v>
      </c>
      <c r="G241" s="41">
        <v>0</v>
      </c>
      <c r="H241" s="41">
        <f>IFERROR(VLOOKUP(A241,Items[],4,0),0)</f>
        <v>91947802.549999997</v>
      </c>
      <c r="I241" s="41">
        <f>IFERROR(VLOOKUP(A241,Community[],4,0),0)</f>
        <v>0</v>
      </c>
      <c r="J241" s="41">
        <f>IFERROR(VLOOKUP(A241,Community[],5,0),0)</f>
        <v>0</v>
      </c>
      <c r="K241" s="41">
        <f>IFERROR(VLOOKUP(A241,Community[],6,0),0)</f>
        <v>0</v>
      </c>
      <c r="L241" s="41">
        <f>IFERROR(VLOOKUP(A241,Community[],7,0),0)</f>
        <v>137014.88</v>
      </c>
      <c r="M241" s="41">
        <f>IFERROR(VLOOKUP(A241,Debt[],3,0),0)</f>
        <v>7815.6</v>
      </c>
      <c r="N241" s="41">
        <f>IFERROR(VLOOKUP(A241,Debt[],4,0),0)</f>
        <v>77477.600000000006</v>
      </c>
      <c r="O241" s="41">
        <f>IFERROR(VLOOKUP(A241,Debt[],5,0),0)</f>
        <v>0</v>
      </c>
      <c r="P241" s="41">
        <f>IFERROR(VLOOKUP(A241,Items[],3,0),0)</f>
        <v>204678.36</v>
      </c>
      <c r="Q241" s="41">
        <f>IFERROR(VLOOKUP($A241,Federal[],2,0),0)</f>
        <v>9710.02</v>
      </c>
      <c r="R241" s="41">
        <f>IFERROR(VLOOKUP($A241,Federal[],4,0),0)</f>
        <v>3403481.81</v>
      </c>
      <c r="S241" s="41"/>
      <c r="T241" s="47">
        <f>IFERROR(VLOOKUP($A241,Program[],3,0),0)</f>
        <v>0</v>
      </c>
      <c r="U241" s="47"/>
      <c r="V241" s="41">
        <f>IFERROR(VLOOKUP($A241,Program[],4,0),0)</f>
        <v>0</v>
      </c>
      <c r="W241" s="41">
        <f>IFERROR(VLOOKUP($A241,Program[],5,0),0)</f>
        <v>0</v>
      </c>
      <c r="X241" s="41"/>
      <c r="Y241" s="41"/>
      <c r="Z241" s="41"/>
      <c r="AA241" s="41">
        <f>IFERROR(VLOOKUP($A241,Program[],6,0),0)</f>
        <v>0</v>
      </c>
      <c r="AB241" s="41"/>
      <c r="AC241" s="41"/>
      <c r="AD241" s="41">
        <f>IFERROR(VLOOKUP($A241,Program[],7,0),0)</f>
        <v>0</v>
      </c>
      <c r="AE241" s="41">
        <f>IFERROR(VLOOKUP($A241,Program[],8,0),0)</f>
        <v>0</v>
      </c>
      <c r="AF241" s="41">
        <f>IFERROR(VLOOKUP($A241,Program[],9,0),0)</f>
        <v>0</v>
      </c>
      <c r="AG241" s="41">
        <f>IFERROR(VLOOKUP($A241,Program[],10,0),0)</f>
        <v>0</v>
      </c>
      <c r="AH241" s="41">
        <f>IFERROR(VLOOKUP($A241,Program[],11,0),0)</f>
        <v>0</v>
      </c>
      <c r="AI241" s="41">
        <f>IFERROR(VLOOKUP($A241,Program[],12,0),0)</f>
        <v>0</v>
      </c>
      <c r="AJ241" s="41"/>
      <c r="AK241" s="41">
        <f>IFERROR(VLOOKUP($A241,Program[],13,0),0)</f>
        <v>0</v>
      </c>
      <c r="AL241" s="41"/>
      <c r="AM241" s="41"/>
      <c r="AN241" s="41"/>
      <c r="AO241" s="41"/>
      <c r="AP241" s="41"/>
      <c r="AQ241" s="41"/>
      <c r="AR241" s="41"/>
      <c r="AS241" s="41">
        <f>IFERROR(VLOOKUP($A241,Program[],14,0),0)</f>
        <v>0</v>
      </c>
      <c r="AT241" s="41"/>
      <c r="AU241" s="41"/>
      <c r="AV241" s="41">
        <f>IFERROR(VLOOKUP($A241,Program[],15,0),0)</f>
        <v>0</v>
      </c>
      <c r="AW241" s="41"/>
      <c r="AX241" s="41">
        <f>IFERROR(VLOOKUP($A241,Program[],16,0),0)</f>
        <v>0</v>
      </c>
      <c r="AY241" s="41">
        <f>IFERROR(VLOOKUP($A241,Program[],17,0),0)</f>
        <v>0</v>
      </c>
      <c r="AZ241" s="41">
        <f>IFERROR(VLOOKUP($A241,Program[],18,0),0)</f>
        <v>0</v>
      </c>
      <c r="BA241" s="41">
        <f>IFERROR(VLOOKUP($A241,Program[],19,0),0)</f>
        <v>0</v>
      </c>
      <c r="BB241" s="77">
        <f t="shared" si="59"/>
        <v>827138.9600000002</v>
      </c>
      <c r="BC241" s="41">
        <f>IFERROR(VLOOKUP(A241,Food[],3,0),0)</f>
        <v>2651512.8800000004</v>
      </c>
      <c r="BD241" s="41">
        <f>IFERROR(VLOOKUP($A241,FoodRev[],2,0),0)</f>
        <v>512054.04</v>
      </c>
      <c r="BE241" s="41">
        <f>IFERROR(VLOOKUP($A241,FoodRev[],3,0),0)</f>
        <v>314943.84000000003</v>
      </c>
      <c r="BF241" s="41">
        <f>IFERROR(VLOOKUP($A241,FoodRev[],4,0),0)</f>
        <v>0</v>
      </c>
      <c r="BG241" s="41">
        <f>IFERROR(VLOOKUP($A241,FoodRev[],5,0),0)</f>
        <v>886870.23</v>
      </c>
      <c r="BH241" s="41">
        <f>IFERROR(VLOOKUP($A241,FoodRev[],6,0),0)</f>
        <v>0</v>
      </c>
      <c r="BI241" s="41">
        <f>IFERROR(VLOOKUP($A241,FoodRev[],7,0),0)</f>
        <v>0</v>
      </c>
      <c r="BJ241" s="41">
        <f>IFERROR(VLOOKUP($A241,FoodRev[],8,0),0)</f>
        <v>110505.81</v>
      </c>
      <c r="BK241" s="41">
        <f>IFERROR(VLOOKUP($A241,FoodRev[],9,0),0)</f>
        <v>0</v>
      </c>
      <c r="BL241" s="41">
        <f>IFERROR(VLOOKUP($A241,FoodRev[],10,0),0)</f>
        <v>0</v>
      </c>
      <c r="BM241" s="41">
        <f t="shared" si="60"/>
        <v>1824373.92</v>
      </c>
      <c r="BN241" s="42">
        <f t="shared" si="54"/>
        <v>827138.9600000002</v>
      </c>
      <c r="BO241" s="78">
        <f t="shared" si="64"/>
        <v>827138.9600000002</v>
      </c>
      <c r="BP241" s="78">
        <f t="shared" si="65"/>
        <v>0</v>
      </c>
    </row>
    <row r="242" spans="1:68" x14ac:dyDescent="0.25">
      <c r="A242" s="40" t="s">
        <v>6</v>
      </c>
      <c r="B242" s="40" t="s">
        <v>917</v>
      </c>
      <c r="D242" s="203">
        <f t="shared" si="57"/>
        <v>0</v>
      </c>
      <c r="E242" s="41">
        <f>IFERROR(VLOOKUP(A242,Items[],5,0),0)</f>
        <v>497630235.14999998</v>
      </c>
      <c r="F242" s="42">
        <f t="shared" si="58"/>
        <v>497630235.14999998</v>
      </c>
      <c r="G242" s="41">
        <v>0</v>
      </c>
      <c r="H242" s="41">
        <f>IFERROR(VLOOKUP(A242,Items[],4,0),0)</f>
        <v>586335661.41999996</v>
      </c>
      <c r="I242" s="41">
        <f>IFERROR(VLOOKUP(A242,Community[],4,0),0)</f>
        <v>0</v>
      </c>
      <c r="J242" s="41">
        <f>IFERROR(VLOOKUP(A242,Community[],5,0),0)</f>
        <v>0</v>
      </c>
      <c r="K242" s="41">
        <f>IFERROR(VLOOKUP(A242,Community[],6,0),0)</f>
        <v>13677411.23</v>
      </c>
      <c r="L242" s="41">
        <f>IFERROR(VLOOKUP(A242,Community[],7,0),0)</f>
        <v>7548249.1199999992</v>
      </c>
      <c r="M242" s="41">
        <f>IFERROR(VLOOKUP(A242,Debt[],3,0),0)</f>
        <v>309163.92</v>
      </c>
      <c r="N242" s="41">
        <f>IFERROR(VLOOKUP(A242,Debt[],4,0),0)</f>
        <v>6535545.1299999999</v>
      </c>
      <c r="O242" s="41">
        <f>IFERROR(VLOOKUP(A242,Debt[],5,0),0)</f>
        <v>0</v>
      </c>
      <c r="P242" s="41">
        <f>IFERROR(VLOOKUP(A242,Items[],3,0),0)</f>
        <v>6944989.9900000002</v>
      </c>
      <c r="Q242" s="41">
        <f>IFERROR(VLOOKUP($A242,Federal[],2,0),0)</f>
        <v>0</v>
      </c>
      <c r="R242" s="41">
        <f>IFERROR(VLOOKUP($A242,Federal[],4,0),0)</f>
        <v>50909111.359999999</v>
      </c>
      <c r="S242" s="41"/>
      <c r="T242" s="47">
        <f>IFERROR(VLOOKUP($A242,Program[],3,0),0)</f>
        <v>146729.69</v>
      </c>
      <c r="U242" s="47"/>
      <c r="V242" s="41">
        <f>IFERROR(VLOOKUP($A242,Program[],4,0),0)</f>
        <v>0</v>
      </c>
      <c r="W242" s="41">
        <f>IFERROR(VLOOKUP($A242,Program[],5,0),0)</f>
        <v>0</v>
      </c>
      <c r="X242" s="41"/>
      <c r="Y242" s="41"/>
      <c r="Z242" s="41"/>
      <c r="AA242" s="41">
        <f>IFERROR(VLOOKUP($A242,Program[],6,0),0)</f>
        <v>0</v>
      </c>
      <c r="AB242" s="41"/>
      <c r="AC242" s="41"/>
      <c r="AD242" s="41">
        <f>IFERROR(VLOOKUP($A242,Program[],7,0),0)</f>
        <v>56155.72</v>
      </c>
      <c r="AE242" s="41">
        <f>IFERROR(VLOOKUP($A242,Program[],8,0),0)</f>
        <v>0</v>
      </c>
      <c r="AF242" s="41">
        <f>IFERROR(VLOOKUP($A242,Program[],9,0),0)</f>
        <v>11717.5</v>
      </c>
      <c r="AG242" s="41">
        <f>IFERROR(VLOOKUP($A242,Program[],10,0),0)</f>
        <v>0</v>
      </c>
      <c r="AH242" s="41">
        <f>IFERROR(VLOOKUP($A242,Program[],11,0),0)</f>
        <v>0</v>
      </c>
      <c r="AI242" s="41">
        <f>IFERROR(VLOOKUP($A242,Program[],12,0),0)</f>
        <v>0</v>
      </c>
      <c r="AJ242" s="41"/>
      <c r="AK242" s="41">
        <f>IFERROR(VLOOKUP($A242,Program[],13,0),0)</f>
        <v>0</v>
      </c>
      <c r="AL242" s="41"/>
      <c r="AM242" s="41"/>
      <c r="AN242" s="41"/>
      <c r="AO242" s="41"/>
      <c r="AP242" s="41"/>
      <c r="AQ242" s="41"/>
      <c r="AR242" s="41"/>
      <c r="AS242" s="41">
        <f>IFERROR(VLOOKUP($A242,Program[],14,0),0)</f>
        <v>0</v>
      </c>
      <c r="AT242" s="41"/>
      <c r="AU242" s="41"/>
      <c r="AV242" s="41">
        <f>IFERROR(VLOOKUP($A242,Program[],15,0),0)</f>
        <v>0</v>
      </c>
      <c r="AW242" s="41"/>
      <c r="AX242" s="41">
        <f>IFERROR(VLOOKUP($A242,Program[],16,0),0)</f>
        <v>0</v>
      </c>
      <c r="AY242" s="41">
        <f>IFERROR(VLOOKUP($A242,Program[],17,0),0)</f>
        <v>225156.7</v>
      </c>
      <c r="AZ242" s="41">
        <f>IFERROR(VLOOKUP($A242,Program[],18,0),0)</f>
        <v>0</v>
      </c>
      <c r="BA242" s="41">
        <f>IFERROR(VLOOKUP($A242,Program[],19,0),0)</f>
        <v>566256.93000000005</v>
      </c>
      <c r="BB242" s="77">
        <f t="shared" si="59"/>
        <v>0</v>
      </c>
      <c r="BC242" s="41">
        <f>IFERROR(VLOOKUP(A242,Food[],3,0),0)</f>
        <v>21812972.080000006</v>
      </c>
      <c r="BD242" s="41">
        <f>IFERROR(VLOOKUP($A242,FoodRev[],2,0),0)</f>
        <v>181532.74</v>
      </c>
      <c r="BE242" s="41">
        <f>IFERROR(VLOOKUP($A242,FoodRev[],3,0),0)</f>
        <v>5569194.7199999997</v>
      </c>
      <c r="BF242" s="41">
        <f>IFERROR(VLOOKUP($A242,FoodRev[],4,0),0)</f>
        <v>0</v>
      </c>
      <c r="BG242" s="41">
        <f>IFERROR(VLOOKUP($A242,FoodRev[],5,0),0)</f>
        <v>16557759.890000001</v>
      </c>
      <c r="BH242" s="41">
        <f>IFERROR(VLOOKUP($A242,FoodRev[],6,0),0)</f>
        <v>0</v>
      </c>
      <c r="BI242" s="41">
        <f>IFERROR(VLOOKUP($A242,FoodRev[],7,0),0)</f>
        <v>50077.98</v>
      </c>
      <c r="BJ242" s="41">
        <f>IFERROR(VLOOKUP($A242,FoodRev[],8,0),0)</f>
        <v>1418162.15</v>
      </c>
      <c r="BK242" s="41">
        <f>IFERROR(VLOOKUP($A242,FoodRev[],9,0),0)</f>
        <v>0</v>
      </c>
      <c r="BL242" s="41">
        <f>IFERROR(VLOOKUP($A242,FoodRev[],10,0),0)</f>
        <v>0</v>
      </c>
      <c r="BM242" s="41">
        <f t="shared" si="60"/>
        <v>23776727.48</v>
      </c>
      <c r="BN242" s="42">
        <f t="shared" si="54"/>
        <v>-1963755.399999992</v>
      </c>
      <c r="BO242" s="78">
        <f t="shared" si="64"/>
        <v>0</v>
      </c>
      <c r="BP242" s="78">
        <f t="shared" si="65"/>
        <v>-1963755.399999992</v>
      </c>
    </row>
    <row r="243" spans="1:68" x14ac:dyDescent="0.25">
      <c r="A243" s="40" t="s">
        <v>540</v>
      </c>
      <c r="B243" s="40" t="s">
        <v>918</v>
      </c>
      <c r="D243" s="203">
        <f t="shared" si="57"/>
        <v>2.3283064365386963E-10</v>
      </c>
      <c r="E243" s="41">
        <f>IFERROR(VLOOKUP(A243,Items[],5,0),0)</f>
        <v>1399130.59</v>
      </c>
      <c r="F243" s="42">
        <f t="shared" si="58"/>
        <v>1399130.5899999999</v>
      </c>
      <c r="G243" s="41">
        <v>0</v>
      </c>
      <c r="H243" s="41">
        <f>IFERROR(VLOOKUP(A243,Items[],4,0),0)</f>
        <v>1527630.66</v>
      </c>
      <c r="I243" s="41">
        <f>IFERROR(VLOOKUP(A243,Community[],4,0),0)</f>
        <v>0</v>
      </c>
      <c r="J243" s="41">
        <f>IFERROR(VLOOKUP(A243,Community[],5,0),0)</f>
        <v>0</v>
      </c>
      <c r="K243" s="41">
        <f>IFERROR(VLOOKUP(A243,Community[],6,0),0)</f>
        <v>0</v>
      </c>
      <c r="L243" s="41">
        <f>IFERROR(VLOOKUP(A243,Community[],7,0),0)</f>
        <v>0</v>
      </c>
      <c r="M243" s="41">
        <f>IFERROR(VLOOKUP(A243,Debt[],3,0),0)</f>
        <v>0</v>
      </c>
      <c r="N243" s="41">
        <f>IFERROR(VLOOKUP(A243,Debt[],4,0),0)</f>
        <v>0</v>
      </c>
      <c r="O243" s="41">
        <f>IFERROR(VLOOKUP(A243,Debt[],5,0),0)</f>
        <v>0</v>
      </c>
      <c r="P243" s="41">
        <f>IFERROR(VLOOKUP(A243,Items[],3,0),0)</f>
        <v>33854.86</v>
      </c>
      <c r="Q243" s="41">
        <f>IFERROR(VLOOKUP($A243,Federal[],2,0),0)</f>
        <v>0</v>
      </c>
      <c r="R243" s="41">
        <f>IFERROR(VLOOKUP($A243,Federal[],4,0),0)</f>
        <v>94084.21</v>
      </c>
      <c r="S243" s="41"/>
      <c r="T243" s="47">
        <f>IFERROR(VLOOKUP($A243,Program[],3,0),0)</f>
        <v>0</v>
      </c>
      <c r="U243" s="47"/>
      <c r="V243" s="41">
        <f>IFERROR(VLOOKUP($A243,Program[],4,0),0)</f>
        <v>0</v>
      </c>
      <c r="W243" s="41">
        <f>IFERROR(VLOOKUP($A243,Program[],5,0),0)</f>
        <v>0</v>
      </c>
      <c r="X243" s="41"/>
      <c r="Y243" s="41"/>
      <c r="Z243" s="41"/>
      <c r="AA243" s="41">
        <f>IFERROR(VLOOKUP($A243,Program[],6,0),0)</f>
        <v>0</v>
      </c>
      <c r="AB243" s="41"/>
      <c r="AC243" s="41"/>
      <c r="AD243" s="41">
        <f>IFERROR(VLOOKUP($A243,Program[],7,0),0)</f>
        <v>0</v>
      </c>
      <c r="AE243" s="41">
        <f>IFERROR(VLOOKUP($A243,Program[],8,0),0)</f>
        <v>0</v>
      </c>
      <c r="AF243" s="41">
        <f>IFERROR(VLOOKUP($A243,Program[],9,0),0)</f>
        <v>0</v>
      </c>
      <c r="AG243" s="41">
        <f>IFERROR(VLOOKUP($A243,Program[],10,0),0)</f>
        <v>0</v>
      </c>
      <c r="AH243" s="41">
        <f>IFERROR(VLOOKUP($A243,Program[],11,0),0)</f>
        <v>0</v>
      </c>
      <c r="AI243" s="41">
        <f>IFERROR(VLOOKUP($A243,Program[],12,0),0)</f>
        <v>0</v>
      </c>
      <c r="AJ243" s="41"/>
      <c r="AK243" s="41">
        <f>IFERROR(VLOOKUP($A243,Program[],13,0),0)</f>
        <v>0</v>
      </c>
      <c r="AL243" s="41"/>
      <c r="AM243" s="41"/>
      <c r="AN243" s="41"/>
      <c r="AO243" s="41"/>
      <c r="AP243" s="41"/>
      <c r="AQ243" s="41"/>
      <c r="AR243" s="41"/>
      <c r="AS243" s="41">
        <f>IFERROR(VLOOKUP($A243,Program[],14,0),0)</f>
        <v>0</v>
      </c>
      <c r="AT243" s="41"/>
      <c r="AU243" s="41"/>
      <c r="AV243" s="41">
        <f>IFERROR(VLOOKUP($A243,Program[],15,0),0)</f>
        <v>0</v>
      </c>
      <c r="AW243" s="41"/>
      <c r="AX243" s="41">
        <f>IFERROR(VLOOKUP($A243,Program[],16,0),0)</f>
        <v>0</v>
      </c>
      <c r="AY243" s="41">
        <f>IFERROR(VLOOKUP($A243,Program[],17,0),0)</f>
        <v>0</v>
      </c>
      <c r="AZ243" s="41">
        <f>IFERROR(VLOOKUP($A243,Program[],18,0),0)</f>
        <v>0</v>
      </c>
      <c r="BA243" s="41">
        <f>IFERROR(VLOOKUP($A243,Program[],19,0),0)</f>
        <v>0</v>
      </c>
      <c r="BB243" s="77">
        <f t="shared" si="59"/>
        <v>3006.6699999999996</v>
      </c>
      <c r="BC243" s="41">
        <f>IFERROR(VLOOKUP(A243,Food[],3,0),0)</f>
        <v>3567.6699999999996</v>
      </c>
      <c r="BD243" s="41">
        <f>IFERROR(VLOOKUP($A243,FoodRev[],2,0),0)</f>
        <v>561</v>
      </c>
      <c r="BE243" s="41">
        <f>IFERROR(VLOOKUP($A243,FoodRev[],3,0),0)</f>
        <v>0</v>
      </c>
      <c r="BF243" s="41">
        <f>IFERROR(VLOOKUP($A243,FoodRev[],4,0),0)</f>
        <v>0</v>
      </c>
      <c r="BG243" s="41">
        <f>IFERROR(VLOOKUP($A243,FoodRev[],5,0),0)</f>
        <v>0</v>
      </c>
      <c r="BH243" s="41">
        <f>IFERROR(VLOOKUP($A243,FoodRev[],6,0),0)</f>
        <v>0</v>
      </c>
      <c r="BI243" s="41">
        <f>IFERROR(VLOOKUP($A243,FoodRev[],7,0),0)</f>
        <v>0</v>
      </c>
      <c r="BJ243" s="41">
        <f>IFERROR(VLOOKUP($A243,FoodRev[],8,0),0)</f>
        <v>0</v>
      </c>
      <c r="BK243" s="41">
        <f>IFERROR(VLOOKUP($A243,FoodRev[],9,0),0)</f>
        <v>0</v>
      </c>
      <c r="BL243" s="41">
        <f>IFERROR(VLOOKUP($A243,FoodRev[],10,0),0)</f>
        <v>0</v>
      </c>
      <c r="BM243" s="41">
        <f t="shared" si="60"/>
        <v>561</v>
      </c>
      <c r="BN243" s="42">
        <f t="shared" si="54"/>
        <v>3006.6699999999996</v>
      </c>
      <c r="BO243" s="78">
        <f t="shared" si="64"/>
        <v>3006.6699999999996</v>
      </c>
      <c r="BP243" s="78">
        <f t="shared" si="65"/>
        <v>0</v>
      </c>
    </row>
    <row r="244" spans="1:68" x14ac:dyDescent="0.25">
      <c r="A244" s="40" t="s">
        <v>572</v>
      </c>
      <c r="B244" s="40" t="s">
        <v>919</v>
      </c>
      <c r="D244" s="203">
        <f t="shared" si="57"/>
        <v>1.1641532182693481E-10</v>
      </c>
      <c r="E244" s="41">
        <f>IFERROR(VLOOKUP(A244,Items[],5,0),0)</f>
        <v>954176.88</v>
      </c>
      <c r="F244" s="42">
        <f t="shared" si="58"/>
        <v>954176.87999999989</v>
      </c>
      <c r="G244" s="41">
        <v>0</v>
      </c>
      <c r="H244" s="41">
        <f>IFERROR(VLOOKUP(A244,Items[],4,0),0)</f>
        <v>1147749.52</v>
      </c>
      <c r="I244" s="41">
        <f>IFERROR(VLOOKUP(A244,Community[],4,0),0)</f>
        <v>0</v>
      </c>
      <c r="J244" s="41">
        <f>IFERROR(VLOOKUP(A244,Community[],5,0),0)</f>
        <v>0</v>
      </c>
      <c r="K244" s="41">
        <f>IFERROR(VLOOKUP(A244,Community[],6,0),0)</f>
        <v>0</v>
      </c>
      <c r="L244" s="41">
        <f>IFERROR(VLOOKUP(A244,Community[],7,0),0)</f>
        <v>0</v>
      </c>
      <c r="M244" s="41">
        <f>IFERROR(VLOOKUP(A244,Debt[],3,0),0)</f>
        <v>0</v>
      </c>
      <c r="N244" s="41">
        <f>IFERROR(VLOOKUP(A244,Debt[],4,0),0)</f>
        <v>0</v>
      </c>
      <c r="O244" s="41">
        <f>IFERROR(VLOOKUP(A244,Debt[],5,0),0)</f>
        <v>0</v>
      </c>
      <c r="P244" s="41">
        <f>IFERROR(VLOOKUP(A244,Items[],3,0),0)</f>
        <v>10861.25</v>
      </c>
      <c r="Q244" s="41">
        <f>IFERROR(VLOOKUP($A244,Federal[],2,0),0)</f>
        <v>0</v>
      </c>
      <c r="R244" s="41">
        <f>IFERROR(VLOOKUP($A244,Federal[],4,0),0)</f>
        <v>174265.78</v>
      </c>
      <c r="S244" s="41"/>
      <c r="T244" s="47">
        <f>IFERROR(VLOOKUP($A244,Program[],3,0),0)</f>
        <v>0</v>
      </c>
      <c r="U244" s="47"/>
      <c r="V244" s="41">
        <f>IFERROR(VLOOKUP($A244,Program[],4,0),0)</f>
        <v>0</v>
      </c>
      <c r="W244" s="41">
        <f>IFERROR(VLOOKUP($A244,Program[],5,0),0)</f>
        <v>0</v>
      </c>
      <c r="X244" s="41"/>
      <c r="Y244" s="41"/>
      <c r="Z244" s="41"/>
      <c r="AA244" s="41">
        <f>IFERROR(VLOOKUP($A244,Program[],6,0),0)</f>
        <v>0</v>
      </c>
      <c r="AB244" s="41"/>
      <c r="AC244" s="41"/>
      <c r="AD244" s="41">
        <f>IFERROR(VLOOKUP($A244,Program[],7,0),0)</f>
        <v>0</v>
      </c>
      <c r="AE244" s="41">
        <f>IFERROR(VLOOKUP($A244,Program[],8,0),0)</f>
        <v>0</v>
      </c>
      <c r="AF244" s="41">
        <f>IFERROR(VLOOKUP($A244,Program[],9,0),0)</f>
        <v>0</v>
      </c>
      <c r="AG244" s="41">
        <f>IFERROR(VLOOKUP($A244,Program[],10,0),0)</f>
        <v>0</v>
      </c>
      <c r="AH244" s="41">
        <f>IFERROR(VLOOKUP($A244,Program[],11,0),0)</f>
        <v>0</v>
      </c>
      <c r="AI244" s="41">
        <f>IFERROR(VLOOKUP($A244,Program[],12,0),0)</f>
        <v>0</v>
      </c>
      <c r="AJ244" s="41"/>
      <c r="AK244" s="41">
        <f>IFERROR(VLOOKUP($A244,Program[],13,0),0)</f>
        <v>0</v>
      </c>
      <c r="AL244" s="41"/>
      <c r="AM244" s="41"/>
      <c r="AN244" s="41"/>
      <c r="AO244" s="41"/>
      <c r="AP244" s="41"/>
      <c r="AQ244" s="41"/>
      <c r="AR244" s="41"/>
      <c r="AS244" s="41">
        <f>IFERROR(VLOOKUP($A244,Program[],14,0),0)</f>
        <v>0</v>
      </c>
      <c r="AT244" s="41"/>
      <c r="AU244" s="41"/>
      <c r="AV244" s="41">
        <f>IFERROR(VLOOKUP($A244,Program[],15,0),0)</f>
        <v>0</v>
      </c>
      <c r="AW244" s="41"/>
      <c r="AX244" s="41">
        <f>IFERROR(VLOOKUP($A244,Program[],16,0),0)</f>
        <v>0</v>
      </c>
      <c r="AY244" s="41">
        <f>IFERROR(VLOOKUP($A244,Program[],17,0),0)</f>
        <v>0</v>
      </c>
      <c r="AZ244" s="41">
        <f>IFERROR(VLOOKUP($A244,Program[],18,0),0)</f>
        <v>0</v>
      </c>
      <c r="BA244" s="41">
        <f>IFERROR(VLOOKUP($A244,Program[],19,0),0)</f>
        <v>0</v>
      </c>
      <c r="BB244" s="77">
        <f t="shared" si="59"/>
        <v>11047.820000000002</v>
      </c>
      <c r="BC244" s="41">
        <f>IFERROR(VLOOKUP(A244,Food[],3,0),0)</f>
        <v>33236.19</v>
      </c>
      <c r="BD244" s="41">
        <f>IFERROR(VLOOKUP($A244,FoodRev[],2,0),0)</f>
        <v>0</v>
      </c>
      <c r="BE244" s="41">
        <f>IFERROR(VLOOKUP($A244,FoodRev[],3,0),0)</f>
        <v>8445.61</v>
      </c>
      <c r="BF244" s="41">
        <f>IFERROR(VLOOKUP($A244,FoodRev[],4,0),0)</f>
        <v>0</v>
      </c>
      <c r="BG244" s="41">
        <f>IFERROR(VLOOKUP($A244,FoodRev[],5,0),0)</f>
        <v>13742.76</v>
      </c>
      <c r="BH244" s="41">
        <f>IFERROR(VLOOKUP($A244,FoodRev[],6,0),0)</f>
        <v>0</v>
      </c>
      <c r="BI244" s="41">
        <f>IFERROR(VLOOKUP($A244,FoodRev[],7,0),0)</f>
        <v>0</v>
      </c>
      <c r="BJ244" s="41">
        <f>IFERROR(VLOOKUP($A244,FoodRev[],8,0),0)</f>
        <v>0</v>
      </c>
      <c r="BK244" s="41">
        <f>IFERROR(VLOOKUP($A244,FoodRev[],9,0),0)</f>
        <v>0</v>
      </c>
      <c r="BL244" s="41">
        <f>IFERROR(VLOOKUP($A244,FoodRev[],10,0),0)</f>
        <v>0</v>
      </c>
      <c r="BM244" s="41">
        <f t="shared" si="60"/>
        <v>22188.370000000003</v>
      </c>
      <c r="BN244" s="42">
        <f t="shared" si="54"/>
        <v>11047.820000000002</v>
      </c>
      <c r="BO244" s="78">
        <f t="shared" si="64"/>
        <v>11047.820000000002</v>
      </c>
      <c r="BP244" s="78">
        <f t="shared" si="65"/>
        <v>0</v>
      </c>
    </row>
    <row r="245" spans="1:68" x14ac:dyDescent="0.25">
      <c r="A245" s="40" t="s">
        <v>258</v>
      </c>
      <c r="B245" s="40" t="s">
        <v>920</v>
      </c>
      <c r="D245" s="203">
        <f t="shared" si="57"/>
        <v>-3.7252902984619141E-9</v>
      </c>
      <c r="E245" s="41">
        <f>IFERROR(VLOOKUP(A245,Items[],5,0),0)</f>
        <v>23190536.609999999</v>
      </c>
      <c r="F245" s="42">
        <f t="shared" si="58"/>
        <v>23190536.610000003</v>
      </c>
      <c r="G245" s="41">
        <v>0</v>
      </c>
      <c r="H245" s="41">
        <f>IFERROR(VLOOKUP(A245,Items[],4,0),0)</f>
        <v>25227103.989999998</v>
      </c>
      <c r="I245" s="41">
        <f>IFERROR(VLOOKUP(A245,Community[],4,0),0)</f>
        <v>0</v>
      </c>
      <c r="J245" s="41">
        <f>IFERROR(VLOOKUP(A245,Community[],5,0),0)</f>
        <v>0</v>
      </c>
      <c r="K245" s="41">
        <f>IFERROR(VLOOKUP(A245,Community[],6,0),0)</f>
        <v>190069.47000000003</v>
      </c>
      <c r="L245" s="41">
        <f>IFERROR(VLOOKUP(A245,Community[],7,0),0)</f>
        <v>234</v>
      </c>
      <c r="M245" s="41">
        <f>IFERROR(VLOOKUP(A245,Debt[],3,0),0)</f>
        <v>157.58000000000001</v>
      </c>
      <c r="N245" s="41">
        <f>IFERROR(VLOOKUP(A245,Debt[],4,0),0)</f>
        <v>22728.79</v>
      </c>
      <c r="O245" s="41">
        <f>IFERROR(VLOOKUP(A245,Debt[],5,0),0)</f>
        <v>0</v>
      </c>
      <c r="P245" s="41">
        <f>IFERROR(VLOOKUP(A245,Items[],3,0),0)</f>
        <v>206927.89</v>
      </c>
      <c r="Q245" s="41">
        <f>IFERROR(VLOOKUP($A245,Federal[],2,0),0)</f>
        <v>0</v>
      </c>
      <c r="R245" s="41">
        <f>IFERROR(VLOOKUP($A245,Federal[],4,0),0)</f>
        <v>1314201.1499999999</v>
      </c>
      <c r="S245" s="41"/>
      <c r="T245" s="47">
        <f>IFERROR(VLOOKUP($A245,Program[],3,0),0)</f>
        <v>0</v>
      </c>
      <c r="U245" s="47"/>
      <c r="V245" s="41">
        <f>IFERROR(VLOOKUP($A245,Program[],4,0),0)</f>
        <v>0</v>
      </c>
      <c r="W245" s="41">
        <f>IFERROR(VLOOKUP($A245,Program[],5,0),0)</f>
        <v>0</v>
      </c>
      <c r="X245" s="41"/>
      <c r="Y245" s="41"/>
      <c r="Z245" s="41"/>
      <c r="AA245" s="41">
        <f>IFERROR(VLOOKUP($A245,Program[],6,0),0)</f>
        <v>0</v>
      </c>
      <c r="AB245" s="41"/>
      <c r="AC245" s="41"/>
      <c r="AD245" s="41">
        <f>IFERROR(VLOOKUP($A245,Program[],7,0),0)</f>
        <v>0</v>
      </c>
      <c r="AE245" s="41">
        <f>IFERROR(VLOOKUP($A245,Program[],8,0),0)</f>
        <v>0</v>
      </c>
      <c r="AF245" s="41">
        <f>IFERROR(VLOOKUP($A245,Program[],9,0),0)</f>
        <v>0</v>
      </c>
      <c r="AG245" s="41">
        <f>IFERROR(VLOOKUP($A245,Program[],10,0),0)</f>
        <v>0</v>
      </c>
      <c r="AH245" s="41">
        <f>IFERROR(VLOOKUP($A245,Program[],11,0),0)</f>
        <v>0</v>
      </c>
      <c r="AI245" s="41">
        <f>IFERROR(VLOOKUP($A245,Program[],12,0),0)</f>
        <v>0</v>
      </c>
      <c r="AJ245" s="41"/>
      <c r="AK245" s="41">
        <f>IFERROR(VLOOKUP($A245,Program[],13,0),0)</f>
        <v>0</v>
      </c>
      <c r="AL245" s="41"/>
      <c r="AM245" s="41"/>
      <c r="AN245" s="41"/>
      <c r="AO245" s="41"/>
      <c r="AP245" s="41"/>
      <c r="AQ245" s="41"/>
      <c r="AR245" s="41"/>
      <c r="AS245" s="41">
        <f>IFERROR(VLOOKUP($A245,Program[],14,0),0)</f>
        <v>0</v>
      </c>
      <c r="AT245" s="41"/>
      <c r="AU245" s="41"/>
      <c r="AV245" s="41">
        <f>IFERROR(VLOOKUP($A245,Program[],15,0),0)</f>
        <v>15785</v>
      </c>
      <c r="AW245" s="41"/>
      <c r="AX245" s="41">
        <f>IFERROR(VLOOKUP($A245,Program[],16,0),0)</f>
        <v>0</v>
      </c>
      <c r="AY245" s="41">
        <f>IFERROR(VLOOKUP($A245,Program[],17,0),0)</f>
        <v>0</v>
      </c>
      <c r="AZ245" s="41">
        <f>IFERROR(VLOOKUP($A245,Program[],18,0),0)</f>
        <v>0</v>
      </c>
      <c r="BA245" s="41">
        <f>IFERROR(VLOOKUP($A245,Program[],19,0),0)</f>
        <v>0</v>
      </c>
      <c r="BB245" s="77">
        <f t="shared" si="59"/>
        <v>104337.58999999992</v>
      </c>
      <c r="BC245" s="41">
        <f>IFERROR(VLOOKUP(A245,Food[],3,0),0)</f>
        <v>737961.97</v>
      </c>
      <c r="BD245" s="41">
        <f>IFERROR(VLOOKUP($A245,FoodRev[],2,0),0)</f>
        <v>103137.56</v>
      </c>
      <c r="BE245" s="41">
        <f>IFERROR(VLOOKUP($A245,FoodRev[],3,0),0)</f>
        <v>214895.94</v>
      </c>
      <c r="BF245" s="41">
        <f>IFERROR(VLOOKUP($A245,FoodRev[],4,0),0)</f>
        <v>0</v>
      </c>
      <c r="BG245" s="41">
        <f>IFERROR(VLOOKUP($A245,FoodRev[],5,0),0)</f>
        <v>266259.43</v>
      </c>
      <c r="BH245" s="41">
        <f>IFERROR(VLOOKUP($A245,FoodRev[],6,0),0)</f>
        <v>0</v>
      </c>
      <c r="BI245" s="41">
        <f>IFERROR(VLOOKUP($A245,FoodRev[],7,0),0)</f>
        <v>0</v>
      </c>
      <c r="BJ245" s="41">
        <f>IFERROR(VLOOKUP($A245,FoodRev[],8,0),0)</f>
        <v>49331.45</v>
      </c>
      <c r="BK245" s="41">
        <f>IFERROR(VLOOKUP($A245,FoodRev[],9,0),0)</f>
        <v>0</v>
      </c>
      <c r="BL245" s="41">
        <f>IFERROR(VLOOKUP($A245,FoodRev[],10,0),0)</f>
        <v>0</v>
      </c>
      <c r="BM245" s="41">
        <f t="shared" si="60"/>
        <v>633624.37999999989</v>
      </c>
      <c r="BN245" s="42">
        <f t="shared" si="54"/>
        <v>104337.58999999992</v>
      </c>
      <c r="BO245" s="78">
        <f t="shared" si="64"/>
        <v>104337.58999999992</v>
      </c>
      <c r="BP245" s="78">
        <f t="shared" si="65"/>
        <v>0</v>
      </c>
    </row>
    <row r="246" spans="1:68" x14ac:dyDescent="0.25">
      <c r="A246" s="40" t="s">
        <v>226</v>
      </c>
      <c r="B246" s="40" t="s">
        <v>921</v>
      </c>
      <c r="D246" s="203">
        <f t="shared" si="57"/>
        <v>3.7252902984619141E-9</v>
      </c>
      <c r="E246" s="41">
        <f>IFERROR(VLOOKUP(A246,Items[],5,0),0)</f>
        <v>26504725.370000001</v>
      </c>
      <c r="F246" s="42">
        <f t="shared" si="58"/>
        <v>26504725.369999997</v>
      </c>
      <c r="G246" s="41">
        <v>0</v>
      </c>
      <c r="H246" s="41">
        <f>IFERROR(VLOOKUP(A246,Items[],4,0),0)</f>
        <v>32272308.059999999</v>
      </c>
      <c r="I246" s="41">
        <f>IFERROR(VLOOKUP(A246,Community[],4,0),0)</f>
        <v>0</v>
      </c>
      <c r="J246" s="41">
        <f>IFERROR(VLOOKUP(A246,Community[],5,0),0)</f>
        <v>0</v>
      </c>
      <c r="K246" s="41">
        <f>IFERROR(VLOOKUP(A246,Community[],6,0),0)</f>
        <v>0</v>
      </c>
      <c r="L246" s="41">
        <f>IFERROR(VLOOKUP(A246,Community[],7,0),0)</f>
        <v>398863.25</v>
      </c>
      <c r="M246" s="41">
        <f>IFERROR(VLOOKUP(A246,Debt[],3,0),0)</f>
        <v>0</v>
      </c>
      <c r="N246" s="41">
        <f>IFERROR(VLOOKUP(A246,Debt[],4,0),0)</f>
        <v>0</v>
      </c>
      <c r="O246" s="41">
        <f>IFERROR(VLOOKUP(A246,Debt[],5,0),0)</f>
        <v>0</v>
      </c>
      <c r="P246" s="41">
        <f>IFERROR(VLOOKUP(A246,Items[],3,0),0)</f>
        <v>101668.51</v>
      </c>
      <c r="Q246" s="41">
        <f>IFERROR(VLOOKUP($A246,Federal[],2,0),0)</f>
        <v>3070312.86</v>
      </c>
      <c r="R246" s="41">
        <f>IFERROR(VLOOKUP($A246,Federal[],4,0),0)</f>
        <v>1657507.99</v>
      </c>
      <c r="S246" s="41"/>
      <c r="T246" s="47">
        <f>IFERROR(VLOOKUP($A246,Program[],3,0),0)</f>
        <v>0</v>
      </c>
      <c r="U246" s="47"/>
      <c r="V246" s="41">
        <f>IFERROR(VLOOKUP($A246,Program[],4,0),0)</f>
        <v>0</v>
      </c>
      <c r="W246" s="41">
        <f>IFERROR(VLOOKUP($A246,Program[],5,0),0)</f>
        <v>0</v>
      </c>
      <c r="X246" s="41"/>
      <c r="Y246" s="41"/>
      <c r="Z246" s="41"/>
      <c r="AA246" s="41">
        <f>IFERROR(VLOOKUP($A246,Program[],6,0),0)</f>
        <v>0</v>
      </c>
      <c r="AB246" s="41"/>
      <c r="AC246" s="41"/>
      <c r="AD246" s="41">
        <f>IFERROR(VLOOKUP($A246,Program[],7,0),0)</f>
        <v>0</v>
      </c>
      <c r="AE246" s="41">
        <f>IFERROR(VLOOKUP($A246,Program[],8,0),0)</f>
        <v>0</v>
      </c>
      <c r="AF246" s="41">
        <f>IFERROR(VLOOKUP($A246,Program[],9,0),0)</f>
        <v>0</v>
      </c>
      <c r="AG246" s="41">
        <f>IFERROR(VLOOKUP($A246,Program[],10,0),0)</f>
        <v>0</v>
      </c>
      <c r="AH246" s="41">
        <f>IFERROR(VLOOKUP($A246,Program[],11,0),0)</f>
        <v>0</v>
      </c>
      <c r="AI246" s="41">
        <f>IFERROR(VLOOKUP($A246,Program[],12,0),0)</f>
        <v>0</v>
      </c>
      <c r="AJ246" s="41"/>
      <c r="AK246" s="41">
        <f>IFERROR(VLOOKUP($A246,Program[],13,0),0)</f>
        <v>0</v>
      </c>
      <c r="AL246" s="41"/>
      <c r="AM246" s="41"/>
      <c r="AN246" s="41"/>
      <c r="AO246" s="41"/>
      <c r="AP246" s="41"/>
      <c r="AQ246" s="41"/>
      <c r="AR246" s="41"/>
      <c r="AS246" s="41">
        <f>IFERROR(VLOOKUP($A246,Program[],14,0),0)</f>
        <v>0</v>
      </c>
      <c r="AT246" s="41"/>
      <c r="AU246" s="41"/>
      <c r="AV246" s="41">
        <f>IFERROR(VLOOKUP($A246,Program[],15,0),0)</f>
        <v>0</v>
      </c>
      <c r="AW246" s="41"/>
      <c r="AX246" s="41">
        <f>IFERROR(VLOOKUP($A246,Program[],16,0),0)</f>
        <v>0</v>
      </c>
      <c r="AY246" s="41">
        <f>IFERROR(VLOOKUP($A246,Program[],17,0),0)</f>
        <v>0</v>
      </c>
      <c r="AZ246" s="41">
        <f>IFERROR(VLOOKUP($A246,Program[],18,0),0)</f>
        <v>0</v>
      </c>
      <c r="BA246" s="41">
        <f>IFERROR(VLOOKUP($A246,Program[],19,0),0)</f>
        <v>15985.16</v>
      </c>
      <c r="BB246" s="77">
        <f t="shared" si="59"/>
        <v>340667.20000000019</v>
      </c>
      <c r="BC246" s="41">
        <f>IFERROR(VLOOKUP(A246,Food[],3,0),0)</f>
        <v>1451172.7100000002</v>
      </c>
      <c r="BD246" s="41">
        <f>IFERROR(VLOOKUP($A246,FoodRev[],2,0),0)</f>
        <v>172519.78</v>
      </c>
      <c r="BE246" s="41">
        <f>IFERROR(VLOOKUP($A246,FoodRev[],3,0),0)</f>
        <v>382695.46</v>
      </c>
      <c r="BF246" s="41">
        <f>IFERROR(VLOOKUP($A246,FoodRev[],4,0),0)</f>
        <v>0</v>
      </c>
      <c r="BG246" s="41">
        <f>IFERROR(VLOOKUP($A246,FoodRev[],5,0),0)</f>
        <v>469021.95</v>
      </c>
      <c r="BH246" s="41">
        <f>IFERROR(VLOOKUP($A246,FoodRev[],6,0),0)</f>
        <v>0</v>
      </c>
      <c r="BI246" s="41">
        <f>IFERROR(VLOOKUP($A246,FoodRev[],7,0),0)</f>
        <v>0</v>
      </c>
      <c r="BJ246" s="41">
        <f>IFERROR(VLOOKUP($A246,FoodRev[],8,0),0)</f>
        <v>86268.32</v>
      </c>
      <c r="BK246" s="41">
        <f>IFERROR(VLOOKUP($A246,FoodRev[],9,0),0)</f>
        <v>0</v>
      </c>
      <c r="BL246" s="41">
        <f>IFERROR(VLOOKUP($A246,FoodRev[],10,0),0)</f>
        <v>0</v>
      </c>
      <c r="BM246" s="41">
        <f t="shared" si="60"/>
        <v>1110505.51</v>
      </c>
      <c r="BN246" s="42">
        <f t="shared" si="54"/>
        <v>340667.20000000019</v>
      </c>
      <c r="BO246" s="78">
        <f t="shared" si="64"/>
        <v>340667.20000000019</v>
      </c>
      <c r="BP246" s="78">
        <f t="shared" si="65"/>
        <v>0</v>
      </c>
    </row>
    <row r="247" spans="1:68" x14ac:dyDescent="0.25">
      <c r="A247" s="40" t="s">
        <v>70</v>
      </c>
      <c r="B247" s="40" t="s">
        <v>922</v>
      </c>
      <c r="D247" s="203">
        <f t="shared" si="57"/>
        <v>0</v>
      </c>
      <c r="E247" s="41">
        <f>IFERROR(VLOOKUP(A247,Items[],5,0),0)</f>
        <v>164964434.71000001</v>
      </c>
      <c r="F247" s="42">
        <f t="shared" si="58"/>
        <v>164964434.71000001</v>
      </c>
      <c r="G247" s="41">
        <v>0</v>
      </c>
      <c r="H247" s="41">
        <f>IFERROR(VLOOKUP(A247,Items[],4,0),0)</f>
        <v>177223333.91</v>
      </c>
      <c r="I247" s="41">
        <f>IFERROR(VLOOKUP(A247,Community[],4,0),0)</f>
        <v>0</v>
      </c>
      <c r="J247" s="41">
        <f>IFERROR(VLOOKUP(A247,Community[],5,0),0)</f>
        <v>1702.46</v>
      </c>
      <c r="K247" s="41">
        <f>IFERROR(VLOOKUP(A247,Community[],6,0),0)</f>
        <v>0</v>
      </c>
      <c r="L247" s="41">
        <f>IFERROR(VLOOKUP(A247,Community[],7,0),0)</f>
        <v>430343.73</v>
      </c>
      <c r="M247" s="41">
        <f>IFERROR(VLOOKUP(A247,Debt[],3,0),0)</f>
        <v>3432.55</v>
      </c>
      <c r="N247" s="41">
        <f>IFERROR(VLOOKUP(A247,Debt[],4,0),0)</f>
        <v>108639.25</v>
      </c>
      <c r="O247" s="41">
        <f>IFERROR(VLOOKUP(A247,Debt[],5,0),0)</f>
        <v>0</v>
      </c>
      <c r="P247" s="41">
        <f>IFERROR(VLOOKUP(A247,Items[],3,0),0)</f>
        <v>1739953.64</v>
      </c>
      <c r="Q247" s="41">
        <f>IFERROR(VLOOKUP($A247,Federal[],2,0),0)</f>
        <v>0</v>
      </c>
      <c r="R247" s="41">
        <f>IFERROR(VLOOKUP($A247,Federal[],4,0),0)</f>
        <v>8400791.9100000001</v>
      </c>
      <c r="S247" s="41"/>
      <c r="T247" s="47">
        <f>IFERROR(VLOOKUP($A247,Program[],3,0),0)</f>
        <v>0</v>
      </c>
      <c r="U247" s="47"/>
      <c r="V247" s="41">
        <f>IFERROR(VLOOKUP($A247,Program[],4,0),0)</f>
        <v>0</v>
      </c>
      <c r="W247" s="41">
        <f>IFERROR(VLOOKUP($A247,Program[],5,0),0)</f>
        <v>0</v>
      </c>
      <c r="X247" s="41"/>
      <c r="Y247" s="41"/>
      <c r="Z247" s="41"/>
      <c r="AA247" s="41">
        <f>IFERROR(VLOOKUP($A247,Program[],6,0),0)</f>
        <v>0</v>
      </c>
      <c r="AB247" s="41"/>
      <c r="AC247" s="41"/>
      <c r="AD247" s="41">
        <f>IFERROR(VLOOKUP($A247,Program[],7,0),0)</f>
        <v>0</v>
      </c>
      <c r="AE247" s="41">
        <f>IFERROR(VLOOKUP($A247,Program[],8,0),0)</f>
        <v>0</v>
      </c>
      <c r="AF247" s="41">
        <f>IFERROR(VLOOKUP($A247,Program[],9,0),0)</f>
        <v>0</v>
      </c>
      <c r="AG247" s="41">
        <f>IFERROR(VLOOKUP($A247,Program[],10,0),0)</f>
        <v>0</v>
      </c>
      <c r="AH247" s="41">
        <f>IFERROR(VLOOKUP($A247,Program[],11,0),0)</f>
        <v>0</v>
      </c>
      <c r="AI247" s="41">
        <f>IFERROR(VLOOKUP($A247,Program[],12,0),0)</f>
        <v>0</v>
      </c>
      <c r="AJ247" s="41"/>
      <c r="AK247" s="41">
        <f>IFERROR(VLOOKUP($A247,Program[],13,0),0)</f>
        <v>0</v>
      </c>
      <c r="AL247" s="41"/>
      <c r="AM247" s="41"/>
      <c r="AN247" s="41"/>
      <c r="AO247" s="41"/>
      <c r="AP247" s="41"/>
      <c r="AQ247" s="41"/>
      <c r="AR247" s="41"/>
      <c r="AS247" s="41">
        <f>IFERROR(VLOOKUP($A247,Program[],14,0),0)</f>
        <v>0</v>
      </c>
      <c r="AT247" s="41"/>
      <c r="AU247" s="41"/>
      <c r="AV247" s="41">
        <f>IFERROR(VLOOKUP($A247,Program[],15,0),0)</f>
        <v>0</v>
      </c>
      <c r="AW247" s="41"/>
      <c r="AX247" s="41">
        <f>IFERROR(VLOOKUP($A247,Program[],16,0),0)</f>
        <v>0</v>
      </c>
      <c r="AY247" s="41">
        <f>IFERROR(VLOOKUP($A247,Program[],17,0),0)</f>
        <v>0</v>
      </c>
      <c r="AZ247" s="41">
        <f>IFERROR(VLOOKUP($A247,Program[],18,0),0)</f>
        <v>0</v>
      </c>
      <c r="BA247" s="41">
        <f>IFERROR(VLOOKUP($A247,Program[],19,0),0)</f>
        <v>3916</v>
      </c>
      <c r="BB247" s="77">
        <f t="shared" si="59"/>
        <v>0</v>
      </c>
      <c r="BC247" s="41">
        <f>IFERROR(VLOOKUP(A247,Food[],3,0),0)</f>
        <v>5102757.75</v>
      </c>
      <c r="BD247" s="41">
        <f>IFERROR(VLOOKUP($A247,FoodRev[],2,0),0)</f>
        <v>1209182.2</v>
      </c>
      <c r="BE247" s="41">
        <f>IFERROR(VLOOKUP($A247,FoodRev[],3,0),0)</f>
        <v>949574.35</v>
      </c>
      <c r="BF247" s="41">
        <f>IFERROR(VLOOKUP($A247,FoodRev[],4,0),0)</f>
        <v>0</v>
      </c>
      <c r="BG247" s="41">
        <f>IFERROR(VLOOKUP($A247,FoodRev[],5,0),0)</f>
        <v>3062126.25</v>
      </c>
      <c r="BH247" s="41">
        <f>IFERROR(VLOOKUP($A247,FoodRev[],6,0),0)</f>
        <v>0</v>
      </c>
      <c r="BI247" s="41">
        <f>IFERROR(VLOOKUP($A247,FoodRev[],7,0),0)</f>
        <v>0</v>
      </c>
      <c r="BJ247" s="41">
        <f>IFERROR(VLOOKUP($A247,FoodRev[],8,0),0)</f>
        <v>462679.84</v>
      </c>
      <c r="BK247" s="41">
        <f>IFERROR(VLOOKUP($A247,FoodRev[],9,0),0)</f>
        <v>0</v>
      </c>
      <c r="BL247" s="41">
        <f>IFERROR(VLOOKUP($A247,FoodRev[],10,0),0)</f>
        <v>0</v>
      </c>
      <c r="BM247" s="41">
        <f t="shared" si="60"/>
        <v>5683562.6399999997</v>
      </c>
      <c r="BN247" s="42">
        <f t="shared" si="54"/>
        <v>-580804.89000000036</v>
      </c>
      <c r="BO247" s="78">
        <f t="shared" si="64"/>
        <v>0</v>
      </c>
      <c r="BP247" s="78">
        <f t="shared" si="65"/>
        <v>-580804.89000000036</v>
      </c>
    </row>
    <row r="248" spans="1:68" x14ac:dyDescent="0.25">
      <c r="A248" s="40" t="s">
        <v>50</v>
      </c>
      <c r="B248" s="40" t="s">
        <v>923</v>
      </c>
      <c r="D248" s="203">
        <f t="shared" si="57"/>
        <v>2.9802322387695313E-8</v>
      </c>
      <c r="E248" s="41">
        <f>IFERROR(VLOOKUP(A248,Items[],5,0),0)</f>
        <v>231939392.28</v>
      </c>
      <c r="F248" s="42">
        <f t="shared" si="58"/>
        <v>231939392.27999997</v>
      </c>
      <c r="G248" s="41">
        <v>0</v>
      </c>
      <c r="H248" s="41">
        <f>IFERROR(VLOOKUP(A248,Items[],4,0),0)</f>
        <v>258017660.06</v>
      </c>
      <c r="I248" s="41">
        <f>IFERROR(VLOOKUP(A248,Community[],4,0),0)</f>
        <v>0</v>
      </c>
      <c r="J248" s="41">
        <f>IFERROR(VLOOKUP(A248,Community[],5,0),0)</f>
        <v>43110.83</v>
      </c>
      <c r="K248" s="41">
        <f>IFERROR(VLOOKUP(A248,Community[],6,0),0)</f>
        <v>8081008.9700000007</v>
      </c>
      <c r="L248" s="41">
        <f>IFERROR(VLOOKUP(A248,Community[],7,0),0)</f>
        <v>569657.93999999994</v>
      </c>
      <c r="M248" s="41">
        <f>IFERROR(VLOOKUP(A248,Debt[],3,0),0)</f>
        <v>44748.95</v>
      </c>
      <c r="N248" s="41">
        <f>IFERROR(VLOOKUP(A248,Debt[],4,0),0)</f>
        <v>626424.9</v>
      </c>
      <c r="O248" s="41">
        <f>IFERROR(VLOOKUP(A248,Debt[],5,0),0)</f>
        <v>0</v>
      </c>
      <c r="P248" s="41">
        <f>IFERROR(VLOOKUP(A248,Items[],3,0),0)</f>
        <v>999864.22</v>
      </c>
      <c r="Q248" s="41">
        <f>IFERROR(VLOOKUP($A248,Federal[],2,0),0)</f>
        <v>0</v>
      </c>
      <c r="R248" s="41">
        <f>IFERROR(VLOOKUP($A248,Federal[],4,0),0)</f>
        <v>13296067.08</v>
      </c>
      <c r="S248" s="41"/>
      <c r="T248" s="47">
        <f>IFERROR(VLOOKUP($A248,Program[],3,0),0)</f>
        <v>0</v>
      </c>
      <c r="U248" s="47"/>
      <c r="V248" s="41">
        <f>IFERROR(VLOOKUP($A248,Program[],4,0),0)</f>
        <v>0</v>
      </c>
      <c r="W248" s="41">
        <f>IFERROR(VLOOKUP($A248,Program[],5,0),0)</f>
        <v>0</v>
      </c>
      <c r="X248" s="41"/>
      <c r="Y248" s="41"/>
      <c r="Z248" s="41"/>
      <c r="AA248" s="41">
        <f>IFERROR(VLOOKUP($A248,Program[],6,0),0)</f>
        <v>0</v>
      </c>
      <c r="AB248" s="41"/>
      <c r="AC248" s="41"/>
      <c r="AD248" s="41">
        <f>IFERROR(VLOOKUP($A248,Program[],7,0),0)</f>
        <v>0</v>
      </c>
      <c r="AE248" s="41">
        <f>IFERROR(VLOOKUP($A248,Program[],8,0),0)</f>
        <v>0</v>
      </c>
      <c r="AF248" s="41">
        <f>IFERROR(VLOOKUP($A248,Program[],9,0),0)</f>
        <v>0</v>
      </c>
      <c r="AG248" s="41">
        <f>IFERROR(VLOOKUP($A248,Program[],10,0),0)</f>
        <v>0</v>
      </c>
      <c r="AH248" s="41">
        <f>IFERROR(VLOOKUP($A248,Program[],11,0),0)</f>
        <v>0</v>
      </c>
      <c r="AI248" s="41">
        <f>IFERROR(VLOOKUP($A248,Program[],12,0),0)</f>
        <v>0</v>
      </c>
      <c r="AJ248" s="41"/>
      <c r="AK248" s="41">
        <f>IFERROR(VLOOKUP($A248,Program[],13,0),0)</f>
        <v>0</v>
      </c>
      <c r="AL248" s="41"/>
      <c r="AM248" s="41"/>
      <c r="AN248" s="41"/>
      <c r="AO248" s="41"/>
      <c r="AP248" s="41"/>
      <c r="AQ248" s="41"/>
      <c r="AR248" s="41"/>
      <c r="AS248" s="41">
        <f>IFERROR(VLOOKUP($A248,Program[],14,0),0)</f>
        <v>0</v>
      </c>
      <c r="AT248" s="41"/>
      <c r="AU248" s="41"/>
      <c r="AV248" s="41">
        <f>IFERROR(VLOOKUP($A248,Program[],15,0),0)</f>
        <v>0</v>
      </c>
      <c r="AW248" s="41"/>
      <c r="AX248" s="41">
        <f>IFERROR(VLOOKUP($A248,Program[],16,0),0)</f>
        <v>0</v>
      </c>
      <c r="AY248" s="41">
        <f>IFERROR(VLOOKUP($A248,Program[],17,0),0)</f>
        <v>0</v>
      </c>
      <c r="AZ248" s="41">
        <f>IFERROR(VLOOKUP($A248,Program[],18,0),0)</f>
        <v>0</v>
      </c>
      <c r="BA248" s="41">
        <f>IFERROR(VLOOKUP($A248,Program[],19,0),0)</f>
        <v>7561.09</v>
      </c>
      <c r="BB248" s="77">
        <f t="shared" si="59"/>
        <v>1281639.1899999983</v>
      </c>
      <c r="BC248" s="41">
        <f>IFERROR(VLOOKUP(A248,Food[],3,0),0)</f>
        <v>8894401.5599999987</v>
      </c>
      <c r="BD248" s="41">
        <f>IFERROR(VLOOKUP($A248,FoodRev[],2,0),0)</f>
        <v>1056071.8700000001</v>
      </c>
      <c r="BE248" s="41">
        <f>IFERROR(VLOOKUP($A248,FoodRev[],3,0),0)</f>
        <v>1349893.03</v>
      </c>
      <c r="BF248" s="41">
        <f>IFERROR(VLOOKUP($A248,FoodRev[],4,0),0)</f>
        <v>18981.080000000002</v>
      </c>
      <c r="BG248" s="41">
        <f>IFERROR(VLOOKUP($A248,FoodRev[],5,0),0)</f>
        <v>4572177.92</v>
      </c>
      <c r="BH248" s="41">
        <f>IFERROR(VLOOKUP($A248,FoodRev[],6,0),0)</f>
        <v>0</v>
      </c>
      <c r="BI248" s="41">
        <f>IFERROR(VLOOKUP($A248,FoodRev[],7,0),0)</f>
        <v>0</v>
      </c>
      <c r="BJ248" s="41">
        <f>IFERROR(VLOOKUP($A248,FoodRev[],8,0),0)</f>
        <v>615638.47</v>
      </c>
      <c r="BK248" s="41">
        <f>IFERROR(VLOOKUP($A248,FoodRev[],9,0),0)</f>
        <v>0</v>
      </c>
      <c r="BL248" s="41">
        <f>IFERROR(VLOOKUP($A248,FoodRev[],10,0),0)</f>
        <v>0</v>
      </c>
      <c r="BM248" s="41">
        <f t="shared" si="60"/>
        <v>7612762.3700000001</v>
      </c>
      <c r="BN248" s="42">
        <f t="shared" si="54"/>
        <v>1281639.1899999983</v>
      </c>
      <c r="BO248" s="78">
        <f t="shared" si="64"/>
        <v>1281639.1899999983</v>
      </c>
      <c r="BP248" s="78">
        <f t="shared" si="65"/>
        <v>0</v>
      </c>
    </row>
    <row r="249" spans="1:68" x14ac:dyDescent="0.25">
      <c r="A249" s="40" t="s">
        <v>312</v>
      </c>
      <c r="B249" s="40" t="s">
        <v>924</v>
      </c>
      <c r="D249" s="203">
        <f t="shared" si="57"/>
        <v>0</v>
      </c>
      <c r="E249" s="41">
        <f>IFERROR(VLOOKUP(A249,Items[],5,0),0)</f>
        <v>13233946.140000001</v>
      </c>
      <c r="F249" s="42">
        <f t="shared" si="58"/>
        <v>13233946.140000001</v>
      </c>
      <c r="G249" s="41">
        <v>0</v>
      </c>
      <c r="H249" s="41">
        <f>IFERROR(VLOOKUP(A249,Items[],4,0),0)</f>
        <v>13896052.73</v>
      </c>
      <c r="I249" s="41">
        <f>IFERROR(VLOOKUP(A249,Community[],4,0),0)</f>
        <v>0</v>
      </c>
      <c r="J249" s="41">
        <f>IFERROR(VLOOKUP(A249,Community[],5,0),0)</f>
        <v>0</v>
      </c>
      <c r="K249" s="41">
        <f>IFERROR(VLOOKUP(A249,Community[],6,0),0)</f>
        <v>10985.91</v>
      </c>
      <c r="L249" s="41">
        <f>IFERROR(VLOOKUP(A249,Community[],7,0),0)</f>
        <v>0</v>
      </c>
      <c r="M249" s="41">
        <f>IFERROR(VLOOKUP(A249,Debt[],3,0),0)</f>
        <v>5259.24</v>
      </c>
      <c r="N249" s="41">
        <f>IFERROR(VLOOKUP(A249,Debt[],4,0),0)</f>
        <v>0</v>
      </c>
      <c r="O249" s="41">
        <f>IFERROR(VLOOKUP(A249,Debt[],5,0),0)</f>
        <v>0</v>
      </c>
      <c r="P249" s="41">
        <f>IFERROR(VLOOKUP(A249,Items[],3,0),0)</f>
        <v>30091.53</v>
      </c>
      <c r="Q249" s="41">
        <f>IFERROR(VLOOKUP($A249,Federal[],2,0),0)</f>
        <v>0</v>
      </c>
      <c r="R249" s="41">
        <f>IFERROR(VLOOKUP($A249,Federal[],4,0),0)</f>
        <v>435271.81</v>
      </c>
      <c r="S249" s="41"/>
      <c r="T249" s="47">
        <f>IFERROR(VLOOKUP($A249,Program[],3,0),0)</f>
        <v>0</v>
      </c>
      <c r="U249" s="47"/>
      <c r="V249" s="41">
        <f>IFERROR(VLOOKUP($A249,Program[],4,0),0)</f>
        <v>0</v>
      </c>
      <c r="W249" s="41">
        <f>IFERROR(VLOOKUP($A249,Program[],5,0),0)</f>
        <v>0</v>
      </c>
      <c r="X249" s="41"/>
      <c r="Y249" s="41"/>
      <c r="Z249" s="41"/>
      <c r="AA249" s="41">
        <f>IFERROR(VLOOKUP($A249,Program[],6,0),0)</f>
        <v>0</v>
      </c>
      <c r="AB249" s="41"/>
      <c r="AC249" s="41"/>
      <c r="AD249" s="41">
        <f>IFERROR(VLOOKUP($A249,Program[],7,0),0)</f>
        <v>0</v>
      </c>
      <c r="AE249" s="41">
        <f>IFERROR(VLOOKUP($A249,Program[],8,0),0)</f>
        <v>0</v>
      </c>
      <c r="AF249" s="41">
        <f>IFERROR(VLOOKUP($A249,Program[],9,0),0)</f>
        <v>0</v>
      </c>
      <c r="AG249" s="41">
        <f>IFERROR(VLOOKUP($A249,Program[],10,0),0)</f>
        <v>0</v>
      </c>
      <c r="AH249" s="41">
        <f>IFERROR(VLOOKUP($A249,Program[],11,0),0)</f>
        <v>0</v>
      </c>
      <c r="AI249" s="41">
        <f>IFERROR(VLOOKUP($A249,Program[],12,0),0)</f>
        <v>0</v>
      </c>
      <c r="AJ249" s="41"/>
      <c r="AK249" s="41">
        <f>IFERROR(VLOOKUP($A249,Program[],13,0),0)</f>
        <v>0</v>
      </c>
      <c r="AL249" s="41"/>
      <c r="AM249" s="41"/>
      <c r="AN249" s="41"/>
      <c r="AO249" s="41"/>
      <c r="AP249" s="41"/>
      <c r="AQ249" s="41"/>
      <c r="AR249" s="41"/>
      <c r="AS249" s="41">
        <f>IFERROR(VLOOKUP($A249,Program[],14,0),0)</f>
        <v>0</v>
      </c>
      <c r="AT249" s="41"/>
      <c r="AU249" s="41"/>
      <c r="AV249" s="41">
        <f>IFERROR(VLOOKUP($A249,Program[],15,0),0)</f>
        <v>0</v>
      </c>
      <c r="AW249" s="41"/>
      <c r="AX249" s="41">
        <f>IFERROR(VLOOKUP($A249,Program[],16,0),0)</f>
        <v>0</v>
      </c>
      <c r="AY249" s="41">
        <f>IFERROR(VLOOKUP($A249,Program[],17,0),0)</f>
        <v>0</v>
      </c>
      <c r="AZ249" s="41">
        <f>IFERROR(VLOOKUP($A249,Program[],18,0),0)</f>
        <v>0</v>
      </c>
      <c r="BA249" s="41">
        <f>IFERROR(VLOOKUP($A249,Program[],19,0),0)</f>
        <v>0</v>
      </c>
      <c r="BB249" s="77">
        <f t="shared" si="59"/>
        <v>97108.22000000003</v>
      </c>
      <c r="BC249" s="41">
        <f>IFERROR(VLOOKUP(A249,Food[],3,0),0)</f>
        <v>424553.02</v>
      </c>
      <c r="BD249" s="41">
        <f>IFERROR(VLOOKUP($A249,FoodRev[],2,0),0)</f>
        <v>175607.82</v>
      </c>
      <c r="BE249" s="41">
        <f>IFERROR(VLOOKUP($A249,FoodRev[],3,0),0)</f>
        <v>4890.28</v>
      </c>
      <c r="BF249" s="41">
        <f>IFERROR(VLOOKUP($A249,FoodRev[],4,0),0)</f>
        <v>0</v>
      </c>
      <c r="BG249" s="41">
        <f>IFERROR(VLOOKUP($A249,FoodRev[],5,0),0)</f>
        <v>111298.45</v>
      </c>
      <c r="BH249" s="41">
        <f>IFERROR(VLOOKUP($A249,FoodRev[],6,0),0)</f>
        <v>0</v>
      </c>
      <c r="BI249" s="41">
        <f>IFERROR(VLOOKUP($A249,FoodRev[],7,0),0)</f>
        <v>0</v>
      </c>
      <c r="BJ249" s="41">
        <f>IFERROR(VLOOKUP($A249,FoodRev[],8,0),0)</f>
        <v>35648.25</v>
      </c>
      <c r="BK249" s="41">
        <f>IFERROR(VLOOKUP($A249,FoodRev[],9,0),0)</f>
        <v>0</v>
      </c>
      <c r="BL249" s="41">
        <f>IFERROR(VLOOKUP($A249,FoodRev[],10,0),0)</f>
        <v>0</v>
      </c>
      <c r="BM249" s="41">
        <f t="shared" si="60"/>
        <v>327444.8</v>
      </c>
      <c r="BN249" s="42">
        <f t="shared" si="54"/>
        <v>97108.22000000003</v>
      </c>
      <c r="BO249" s="78">
        <f t="shared" si="64"/>
        <v>97108.22000000003</v>
      </c>
      <c r="BP249" s="78">
        <f t="shared" si="65"/>
        <v>0</v>
      </c>
    </row>
    <row r="250" spans="1:68" x14ac:dyDescent="0.25">
      <c r="A250" s="40" t="s">
        <v>126</v>
      </c>
      <c r="B250" s="40" t="s">
        <v>925</v>
      </c>
      <c r="D250" s="203">
        <f t="shared" si="57"/>
        <v>0</v>
      </c>
      <c r="E250" s="41">
        <f>IFERROR(VLOOKUP(A250,Items[],5,0),0)</f>
        <v>85164129.469999999</v>
      </c>
      <c r="F250" s="42">
        <f t="shared" si="58"/>
        <v>85164129.469999999</v>
      </c>
      <c r="G250" s="41">
        <v>0</v>
      </c>
      <c r="H250" s="41">
        <f>IFERROR(VLOOKUP(A250,Items[],4,0),0)</f>
        <v>94972148.25</v>
      </c>
      <c r="I250" s="41">
        <f>IFERROR(VLOOKUP(A250,Community[],4,0),0)</f>
        <v>0</v>
      </c>
      <c r="J250" s="41">
        <f>IFERROR(VLOOKUP(A250,Community[],5,0),0)</f>
        <v>0</v>
      </c>
      <c r="K250" s="41">
        <f>IFERROR(VLOOKUP(A250,Community[],6,0),0)</f>
        <v>962359.0199999999</v>
      </c>
      <c r="L250" s="41">
        <f>IFERROR(VLOOKUP(A250,Community[],7,0),0)</f>
        <v>51894.57</v>
      </c>
      <c r="M250" s="41">
        <f>IFERROR(VLOOKUP(A250,Debt[],3,0),0)</f>
        <v>0</v>
      </c>
      <c r="N250" s="41">
        <f>IFERROR(VLOOKUP(A250,Debt[],4,0),0)</f>
        <v>0</v>
      </c>
      <c r="O250" s="41">
        <f>IFERROR(VLOOKUP(A250,Debt[],5,0),0)</f>
        <v>0</v>
      </c>
      <c r="P250" s="41">
        <f>IFERROR(VLOOKUP(A250,Items[],3,0),0)</f>
        <v>2077299.32</v>
      </c>
      <c r="Q250" s="41">
        <f>IFERROR(VLOOKUP($A250,Federal[],2,0),0)</f>
        <v>0</v>
      </c>
      <c r="R250" s="41">
        <f>IFERROR(VLOOKUP($A250,Federal[],4,0),0)</f>
        <v>6188152.4500000002</v>
      </c>
      <c r="S250" s="41"/>
      <c r="T250" s="47">
        <f>IFERROR(VLOOKUP($A250,Program[],3,0),0)</f>
        <v>0</v>
      </c>
      <c r="U250" s="47"/>
      <c r="V250" s="41">
        <f>IFERROR(VLOOKUP($A250,Program[],4,0),0)</f>
        <v>0</v>
      </c>
      <c r="W250" s="41">
        <f>IFERROR(VLOOKUP($A250,Program[],5,0),0)</f>
        <v>0</v>
      </c>
      <c r="X250" s="41"/>
      <c r="Y250" s="41"/>
      <c r="Z250" s="41"/>
      <c r="AA250" s="41">
        <f>IFERROR(VLOOKUP($A250,Program[],6,0),0)</f>
        <v>0</v>
      </c>
      <c r="AB250" s="41"/>
      <c r="AC250" s="41"/>
      <c r="AD250" s="41">
        <f>IFERROR(VLOOKUP($A250,Program[],7,0),0)</f>
        <v>1985</v>
      </c>
      <c r="AE250" s="41">
        <f>IFERROR(VLOOKUP($A250,Program[],8,0),0)</f>
        <v>0</v>
      </c>
      <c r="AF250" s="41">
        <f>IFERROR(VLOOKUP($A250,Program[],9,0),0)</f>
        <v>0</v>
      </c>
      <c r="AG250" s="41">
        <f>IFERROR(VLOOKUP($A250,Program[],10,0),0)</f>
        <v>0</v>
      </c>
      <c r="AH250" s="41">
        <f>IFERROR(VLOOKUP($A250,Program[],11,0),0)</f>
        <v>0</v>
      </c>
      <c r="AI250" s="41">
        <f>IFERROR(VLOOKUP($A250,Program[],12,0),0)</f>
        <v>0</v>
      </c>
      <c r="AJ250" s="41"/>
      <c r="AK250" s="41">
        <f>IFERROR(VLOOKUP($A250,Program[],13,0),0)</f>
        <v>0</v>
      </c>
      <c r="AL250" s="41"/>
      <c r="AM250" s="41"/>
      <c r="AN250" s="41"/>
      <c r="AO250" s="41"/>
      <c r="AP250" s="41"/>
      <c r="AQ250" s="41"/>
      <c r="AR250" s="41"/>
      <c r="AS250" s="41">
        <f>IFERROR(VLOOKUP($A250,Program[],14,0),0)</f>
        <v>0</v>
      </c>
      <c r="AT250" s="41"/>
      <c r="AU250" s="41"/>
      <c r="AV250" s="41">
        <f>IFERROR(VLOOKUP($A250,Program[],15,0),0)</f>
        <v>531480.94999999995</v>
      </c>
      <c r="AW250" s="41"/>
      <c r="AX250" s="41">
        <f>IFERROR(VLOOKUP($A250,Program[],16,0),0)</f>
        <v>0</v>
      </c>
      <c r="AY250" s="41">
        <f>IFERROR(VLOOKUP($A250,Program[],17,0),0)</f>
        <v>0</v>
      </c>
      <c r="AZ250" s="41">
        <f>IFERROR(VLOOKUP($A250,Program[],18,0),0)</f>
        <v>0</v>
      </c>
      <c r="BA250" s="41">
        <f>IFERROR(VLOOKUP($A250,Program[],19,0),0)</f>
        <v>279.95999999999998</v>
      </c>
      <c r="BB250" s="77">
        <f t="shared" si="59"/>
        <v>871821.98999999929</v>
      </c>
      <c r="BC250" s="41">
        <f>IFERROR(VLOOKUP(A250,Food[],3,0),0)</f>
        <v>4575911.4799999995</v>
      </c>
      <c r="BD250" s="41">
        <f>IFERROR(VLOOKUP($A250,FoodRev[],2,0),0)</f>
        <v>77168.42</v>
      </c>
      <c r="BE250" s="41">
        <f>IFERROR(VLOOKUP($A250,FoodRev[],3,0),0)</f>
        <v>984890.91</v>
      </c>
      <c r="BF250" s="41">
        <f>IFERROR(VLOOKUP($A250,FoodRev[],4,0),0)</f>
        <v>0</v>
      </c>
      <c r="BG250" s="41">
        <f>IFERROR(VLOOKUP($A250,FoodRev[],5,0),0)</f>
        <v>2357623.9500000002</v>
      </c>
      <c r="BH250" s="41">
        <f>IFERROR(VLOOKUP($A250,FoodRev[],6,0),0)</f>
        <v>0</v>
      </c>
      <c r="BI250" s="41">
        <f>IFERROR(VLOOKUP($A250,FoodRev[],7,0),0)</f>
        <v>0</v>
      </c>
      <c r="BJ250" s="41">
        <f>IFERROR(VLOOKUP($A250,FoodRev[],8,0),0)</f>
        <v>284406.21000000002</v>
      </c>
      <c r="BK250" s="41">
        <f>IFERROR(VLOOKUP($A250,FoodRev[],9,0),0)</f>
        <v>0</v>
      </c>
      <c r="BL250" s="41">
        <f>IFERROR(VLOOKUP($A250,FoodRev[],10,0),0)</f>
        <v>0</v>
      </c>
      <c r="BM250" s="41">
        <f t="shared" si="60"/>
        <v>3704089.49</v>
      </c>
      <c r="BN250" s="42">
        <f t="shared" si="54"/>
        <v>871821.98999999929</v>
      </c>
      <c r="BO250" s="78">
        <f t="shared" si="64"/>
        <v>871821.98999999929</v>
      </c>
      <c r="BP250" s="78">
        <f t="shared" si="65"/>
        <v>0</v>
      </c>
    </row>
    <row r="251" spans="1:68" x14ac:dyDescent="0.25">
      <c r="A251" s="40" t="s">
        <v>140</v>
      </c>
      <c r="B251" s="40" t="s">
        <v>1022</v>
      </c>
      <c r="D251" s="203">
        <f t="shared" si="57"/>
        <v>2.2351741790771484E-8</v>
      </c>
      <c r="E251" s="41">
        <f>IFERROR(VLOOKUP(A251,Items[],5,0),0)</f>
        <v>62342040.75</v>
      </c>
      <c r="F251" s="42">
        <f t="shared" si="58"/>
        <v>62342040.749999978</v>
      </c>
      <c r="G251" s="41">
        <v>0</v>
      </c>
      <c r="H251" s="41">
        <f>IFERROR(VLOOKUP(A251,Items[],4,0),0)</f>
        <v>70194428.719999999</v>
      </c>
      <c r="I251" s="41">
        <f>IFERROR(VLOOKUP(A251,Community[],4,0),0)</f>
        <v>0</v>
      </c>
      <c r="J251" s="41">
        <f>IFERROR(VLOOKUP(A251,Community[],5,0),0)</f>
        <v>0</v>
      </c>
      <c r="K251" s="41">
        <f>IFERROR(VLOOKUP(A251,Community[],6,0),0)</f>
        <v>1386942.03</v>
      </c>
      <c r="L251" s="41">
        <f>IFERROR(VLOOKUP(A251,Community[],7,0),0)</f>
        <v>14033.29</v>
      </c>
      <c r="M251" s="41">
        <f>IFERROR(VLOOKUP(A251,Debt[],3,0),0)</f>
        <v>34143.440000000002</v>
      </c>
      <c r="N251" s="41">
        <f>IFERROR(VLOOKUP(A251,Debt[],4,0),0)</f>
        <v>345229.03</v>
      </c>
      <c r="O251" s="41">
        <f>IFERROR(VLOOKUP(A251,Debt[],5,0),0)</f>
        <v>0</v>
      </c>
      <c r="P251" s="41">
        <f>IFERROR(VLOOKUP(A251,Items[],3,0),0)</f>
        <v>293668.73</v>
      </c>
      <c r="Q251" s="41">
        <f>IFERROR(VLOOKUP($A251,Federal[],2,0),0)</f>
        <v>0</v>
      </c>
      <c r="R251" s="41">
        <f>IFERROR(VLOOKUP($A251,Federal[],4,0),0)</f>
        <v>5269123.84</v>
      </c>
      <c r="S251" s="41"/>
      <c r="T251" s="47">
        <f>IFERROR(VLOOKUP($A251,Program[],3,0),0)</f>
        <v>0</v>
      </c>
      <c r="U251" s="47"/>
      <c r="V251" s="41">
        <f>IFERROR(VLOOKUP($A251,Program[],4,0),0)</f>
        <v>0</v>
      </c>
      <c r="W251" s="41">
        <f>IFERROR(VLOOKUP($A251,Program[],5,0),0)</f>
        <v>0</v>
      </c>
      <c r="X251" s="41"/>
      <c r="Y251" s="41"/>
      <c r="Z251" s="41"/>
      <c r="AA251" s="41">
        <f>IFERROR(VLOOKUP($A251,Program[],6,0),0)</f>
        <v>0</v>
      </c>
      <c r="AB251" s="41"/>
      <c r="AC251" s="41"/>
      <c r="AD251" s="41">
        <f>IFERROR(VLOOKUP($A251,Program[],7,0),0)</f>
        <v>0</v>
      </c>
      <c r="AE251" s="41">
        <f>IFERROR(VLOOKUP($A251,Program[],8,0),0)</f>
        <v>0</v>
      </c>
      <c r="AF251" s="41">
        <f>IFERROR(VLOOKUP($A251,Program[],9,0),0)</f>
        <v>0</v>
      </c>
      <c r="AG251" s="41">
        <f>IFERROR(VLOOKUP($A251,Program[],10,0),0)</f>
        <v>0</v>
      </c>
      <c r="AH251" s="41">
        <f>IFERROR(VLOOKUP($A251,Program[],11,0),0)</f>
        <v>0</v>
      </c>
      <c r="AI251" s="41">
        <f>IFERROR(VLOOKUP($A251,Program[],12,0),0)</f>
        <v>0</v>
      </c>
      <c r="AJ251" s="41"/>
      <c r="AK251" s="41">
        <f>IFERROR(VLOOKUP($A251,Program[],13,0),0)</f>
        <v>0</v>
      </c>
      <c r="AL251" s="41"/>
      <c r="AM251" s="41"/>
      <c r="AN251" s="41"/>
      <c r="AO251" s="41"/>
      <c r="AP251" s="41"/>
      <c r="AQ251" s="41"/>
      <c r="AR251" s="41"/>
      <c r="AS251" s="41">
        <f>IFERROR(VLOOKUP($A251,Program[],14,0),0)</f>
        <v>0</v>
      </c>
      <c r="AT251" s="41"/>
      <c r="AU251" s="41"/>
      <c r="AV251" s="41">
        <f>IFERROR(VLOOKUP($A251,Program[],15,0),0)</f>
        <v>0</v>
      </c>
      <c r="AW251" s="41"/>
      <c r="AX251" s="41">
        <f>IFERROR(VLOOKUP($A251,Program[],16,0),0)</f>
        <v>0</v>
      </c>
      <c r="AY251" s="41">
        <f>IFERROR(VLOOKUP($A251,Program[],17,0),0)</f>
        <v>0</v>
      </c>
      <c r="AZ251" s="41">
        <f>IFERROR(VLOOKUP($A251,Program[],18,0),0)</f>
        <v>0</v>
      </c>
      <c r="BA251" s="41">
        <f>IFERROR(VLOOKUP($A251,Program[],19,0),0)</f>
        <v>0</v>
      </c>
      <c r="BB251" s="77">
        <f t="shared" si="59"/>
        <v>163317.0499999999</v>
      </c>
      <c r="BC251" s="41">
        <f>IFERROR(VLOOKUP(A251,Food[],3,0),0)</f>
        <v>3001245.9499999997</v>
      </c>
      <c r="BD251" s="41">
        <f>IFERROR(VLOOKUP($A251,FoodRev[],2,0),0)</f>
        <v>2493.56</v>
      </c>
      <c r="BE251" s="41">
        <f>IFERROR(VLOOKUP($A251,FoodRev[],3,0),0)</f>
        <v>506754.05</v>
      </c>
      <c r="BF251" s="41">
        <f>IFERROR(VLOOKUP($A251,FoodRev[],4,0),0)</f>
        <v>0</v>
      </c>
      <c r="BG251" s="41">
        <f>IFERROR(VLOOKUP($A251,FoodRev[],5,0),0)</f>
        <v>2121927.96</v>
      </c>
      <c r="BH251" s="41">
        <f>IFERROR(VLOOKUP($A251,FoodRev[],6,0),0)</f>
        <v>0</v>
      </c>
      <c r="BI251" s="41">
        <f>IFERROR(VLOOKUP($A251,FoodRev[],7,0),0)</f>
        <v>0</v>
      </c>
      <c r="BJ251" s="41">
        <f>IFERROR(VLOOKUP($A251,FoodRev[],8,0),0)</f>
        <v>206753.33</v>
      </c>
      <c r="BK251" s="41">
        <f>IFERROR(VLOOKUP($A251,FoodRev[],9,0),0)</f>
        <v>0</v>
      </c>
      <c r="BL251" s="41">
        <f>IFERROR(VLOOKUP($A251,FoodRev[],10,0),0)</f>
        <v>0</v>
      </c>
      <c r="BM251" s="41">
        <f t="shared" si="60"/>
        <v>2837928.9</v>
      </c>
      <c r="BN251" s="42">
        <f t="shared" si="54"/>
        <v>163317.0499999999</v>
      </c>
      <c r="BO251" s="78">
        <f t="shared" si="64"/>
        <v>163317.0499999999</v>
      </c>
      <c r="BP251" s="78">
        <f t="shared" si="65"/>
        <v>0</v>
      </c>
    </row>
    <row r="252" spans="1:68" x14ac:dyDescent="0.25">
      <c r="A252" s="40" t="s">
        <v>390</v>
      </c>
      <c r="B252" s="40" t="s">
        <v>926</v>
      </c>
      <c r="D252" s="203">
        <f t="shared" si="57"/>
        <v>1.862645149230957E-9</v>
      </c>
      <c r="E252" s="41">
        <f>IFERROR(VLOOKUP(A252,Items[],5,0),0)</f>
        <v>10078015.060000001</v>
      </c>
      <c r="F252" s="42">
        <f t="shared" si="58"/>
        <v>10078015.059999999</v>
      </c>
      <c r="G252" s="41">
        <v>0</v>
      </c>
      <c r="H252" s="41">
        <f>IFERROR(VLOOKUP(A252,Items[],4,0),0)</f>
        <v>10994011.73</v>
      </c>
      <c r="I252" s="41">
        <f>IFERROR(VLOOKUP(A252,Community[],4,0),0)</f>
        <v>0</v>
      </c>
      <c r="J252" s="41">
        <f>IFERROR(VLOOKUP(A252,Community[],5,0),0)</f>
        <v>0</v>
      </c>
      <c r="K252" s="41">
        <f>IFERROR(VLOOKUP(A252,Community[],6,0),0)</f>
        <v>0</v>
      </c>
      <c r="L252" s="41">
        <f>IFERROR(VLOOKUP(A252,Community[],7,0),0)</f>
        <v>0</v>
      </c>
      <c r="M252" s="41">
        <f>IFERROR(VLOOKUP(A252,Debt[],3,0),0)</f>
        <v>0</v>
      </c>
      <c r="N252" s="41">
        <f>IFERROR(VLOOKUP(A252,Debt[],4,0),0)</f>
        <v>0</v>
      </c>
      <c r="O252" s="41">
        <f>IFERROR(VLOOKUP(A252,Debt[],5,0),0)</f>
        <v>0</v>
      </c>
      <c r="P252" s="41">
        <f>IFERROR(VLOOKUP(A252,Items[],3,0),0)</f>
        <v>85640.13</v>
      </c>
      <c r="Q252" s="41">
        <f>IFERROR(VLOOKUP($A252,Federal[],2,0),0)</f>
        <v>0</v>
      </c>
      <c r="R252" s="41">
        <f>IFERROR(VLOOKUP($A252,Federal[],4,0),0)</f>
        <v>600613.55000000005</v>
      </c>
      <c r="S252" s="41"/>
      <c r="T252" s="47">
        <f>IFERROR(VLOOKUP($A252,Program[],3,0),0)</f>
        <v>0</v>
      </c>
      <c r="U252" s="47"/>
      <c r="V252" s="41">
        <f>IFERROR(VLOOKUP($A252,Program[],4,0),0)</f>
        <v>0</v>
      </c>
      <c r="W252" s="41">
        <f>IFERROR(VLOOKUP($A252,Program[],5,0),0)</f>
        <v>0</v>
      </c>
      <c r="X252" s="41"/>
      <c r="Y252" s="41"/>
      <c r="Z252" s="41"/>
      <c r="AA252" s="41">
        <f>IFERROR(VLOOKUP($A252,Program[],6,0),0)</f>
        <v>0</v>
      </c>
      <c r="AB252" s="41"/>
      <c r="AC252" s="41"/>
      <c r="AD252" s="41">
        <f>IFERROR(VLOOKUP($A252,Program[],7,0),0)</f>
        <v>0</v>
      </c>
      <c r="AE252" s="41">
        <f>IFERROR(VLOOKUP($A252,Program[],8,0),0)</f>
        <v>0</v>
      </c>
      <c r="AF252" s="41">
        <f>IFERROR(VLOOKUP($A252,Program[],9,0),0)</f>
        <v>0</v>
      </c>
      <c r="AG252" s="41">
        <f>IFERROR(VLOOKUP($A252,Program[],10,0),0)</f>
        <v>0</v>
      </c>
      <c r="AH252" s="41">
        <f>IFERROR(VLOOKUP($A252,Program[],11,0),0)</f>
        <v>0</v>
      </c>
      <c r="AI252" s="41">
        <f>IFERROR(VLOOKUP($A252,Program[],12,0),0)</f>
        <v>0</v>
      </c>
      <c r="AJ252" s="41"/>
      <c r="AK252" s="41">
        <f>IFERROR(VLOOKUP($A252,Program[],13,0),0)</f>
        <v>0</v>
      </c>
      <c r="AL252" s="41"/>
      <c r="AM252" s="41"/>
      <c r="AN252" s="41"/>
      <c r="AO252" s="41"/>
      <c r="AP252" s="41"/>
      <c r="AQ252" s="41"/>
      <c r="AR252" s="41"/>
      <c r="AS252" s="41">
        <f>IFERROR(VLOOKUP($A252,Program[],14,0),0)</f>
        <v>0</v>
      </c>
      <c r="AT252" s="41"/>
      <c r="AU252" s="41"/>
      <c r="AV252" s="41">
        <f>IFERROR(VLOOKUP($A252,Program[],15,0),0)</f>
        <v>0</v>
      </c>
      <c r="AW252" s="41"/>
      <c r="AX252" s="41">
        <f>IFERROR(VLOOKUP($A252,Program[],16,0),0)</f>
        <v>0</v>
      </c>
      <c r="AY252" s="41">
        <f>IFERROR(VLOOKUP($A252,Program[],17,0),0)</f>
        <v>0</v>
      </c>
      <c r="AZ252" s="41">
        <f>IFERROR(VLOOKUP($A252,Program[],18,0),0)</f>
        <v>0</v>
      </c>
      <c r="BA252" s="41">
        <f>IFERROR(VLOOKUP($A252,Program[],19,0),0)</f>
        <v>0</v>
      </c>
      <c r="BB252" s="77">
        <f t="shared" si="59"/>
        <v>0</v>
      </c>
      <c r="BC252" s="41">
        <f>IFERROR(VLOOKUP(A252,Food[],3,0),0)</f>
        <v>418048.63</v>
      </c>
      <c r="BD252" s="41">
        <f>IFERROR(VLOOKUP($A252,FoodRev[],2,0),0)</f>
        <v>32778.879999999997</v>
      </c>
      <c r="BE252" s="41">
        <f>IFERROR(VLOOKUP($A252,FoodRev[],3,0),0)</f>
        <v>198824.9</v>
      </c>
      <c r="BF252" s="41">
        <f>IFERROR(VLOOKUP($A252,FoodRev[],4,0),0)</f>
        <v>0</v>
      </c>
      <c r="BG252" s="41">
        <f>IFERROR(VLOOKUP($A252,FoodRev[],5,0),0)</f>
        <v>169720.9</v>
      </c>
      <c r="BH252" s="41">
        <f>IFERROR(VLOOKUP($A252,FoodRev[],6,0),0)</f>
        <v>0</v>
      </c>
      <c r="BI252" s="41">
        <f>IFERROR(VLOOKUP($A252,FoodRev[],7,0),0)</f>
        <v>0</v>
      </c>
      <c r="BJ252" s="41">
        <f>IFERROR(VLOOKUP($A252,FoodRev[],8,0),0)</f>
        <v>18584.740000000002</v>
      </c>
      <c r="BK252" s="41">
        <f>IFERROR(VLOOKUP($A252,FoodRev[],9,0),0)</f>
        <v>0</v>
      </c>
      <c r="BL252" s="41">
        <f>IFERROR(VLOOKUP($A252,FoodRev[],10,0),0)</f>
        <v>0</v>
      </c>
      <c r="BM252" s="41">
        <f t="shared" si="60"/>
        <v>419909.42</v>
      </c>
      <c r="BN252" s="42">
        <f t="shared" si="54"/>
        <v>-1860.78999999999</v>
      </c>
      <c r="BO252" s="78">
        <f t="shared" si="64"/>
        <v>0</v>
      </c>
      <c r="BP252" s="78">
        <f t="shared" si="65"/>
        <v>-1860.78999999999</v>
      </c>
    </row>
    <row r="253" spans="1:68" x14ac:dyDescent="0.25">
      <c r="A253" s="40" t="s">
        <v>150</v>
      </c>
      <c r="B253" s="40" t="s">
        <v>1023</v>
      </c>
      <c r="D253" s="203">
        <f t="shared" si="57"/>
        <v>7.4505805969238281E-9</v>
      </c>
      <c r="E253" s="41">
        <f>IFERROR(VLOOKUP(A253,Items[],5,0),0)</f>
        <v>54743093.32</v>
      </c>
      <c r="F253" s="42">
        <f t="shared" si="58"/>
        <v>54743093.319999993</v>
      </c>
      <c r="G253" s="41">
        <v>0</v>
      </c>
      <c r="H253" s="41">
        <f>IFERROR(VLOOKUP(A253,Items[],4,0),0)</f>
        <v>60425370.850000001</v>
      </c>
      <c r="I253" s="41">
        <f>IFERROR(VLOOKUP(A253,Community[],4,0),0)</f>
        <v>0</v>
      </c>
      <c r="J253" s="41">
        <f>IFERROR(VLOOKUP(A253,Community[],5,0),0)</f>
        <v>0</v>
      </c>
      <c r="K253" s="41">
        <f>IFERROR(VLOOKUP(A253,Community[],6,0),0)</f>
        <v>764175.37</v>
      </c>
      <c r="L253" s="41">
        <f>IFERROR(VLOOKUP(A253,Community[],7,0),0)</f>
        <v>0</v>
      </c>
      <c r="M253" s="41">
        <f>IFERROR(VLOOKUP(A253,Debt[],3,0),0)</f>
        <v>5348.94</v>
      </c>
      <c r="N253" s="41">
        <f>IFERROR(VLOOKUP(A253,Debt[],4,0),0)</f>
        <v>172935.06</v>
      </c>
      <c r="O253" s="41">
        <f>IFERROR(VLOOKUP(A253,Debt[],5,0),0)</f>
        <v>0</v>
      </c>
      <c r="P253" s="41">
        <f>IFERROR(VLOOKUP(A253,Items[],3,0),0)</f>
        <v>46000</v>
      </c>
      <c r="Q253" s="41">
        <f>IFERROR(VLOOKUP($A253,Federal[],2,0),0)</f>
        <v>0</v>
      </c>
      <c r="R253" s="41">
        <f>IFERROR(VLOOKUP($A253,Federal[],4,0),0)</f>
        <v>4037623.84</v>
      </c>
      <c r="S253" s="41"/>
      <c r="T253" s="47">
        <f>IFERROR(VLOOKUP($A253,Program[],3,0),0)</f>
        <v>0</v>
      </c>
      <c r="U253" s="47"/>
      <c r="V253" s="41">
        <f>IFERROR(VLOOKUP($A253,Program[],4,0),0)</f>
        <v>0</v>
      </c>
      <c r="W253" s="41">
        <f>IFERROR(VLOOKUP($A253,Program[],5,0),0)</f>
        <v>0</v>
      </c>
      <c r="X253" s="41"/>
      <c r="Y253" s="41"/>
      <c r="Z253" s="41"/>
      <c r="AA253" s="41">
        <f>IFERROR(VLOOKUP($A253,Program[],6,0),0)</f>
        <v>0</v>
      </c>
      <c r="AB253" s="41"/>
      <c r="AC253" s="41"/>
      <c r="AD253" s="41">
        <f>IFERROR(VLOOKUP($A253,Program[],7,0),0)</f>
        <v>0</v>
      </c>
      <c r="AE253" s="41">
        <f>IFERROR(VLOOKUP($A253,Program[],8,0),0)</f>
        <v>0</v>
      </c>
      <c r="AF253" s="41">
        <f>IFERROR(VLOOKUP($A253,Program[],9,0),0)</f>
        <v>0</v>
      </c>
      <c r="AG253" s="41">
        <f>IFERROR(VLOOKUP($A253,Program[],10,0),0)</f>
        <v>0</v>
      </c>
      <c r="AH253" s="41">
        <f>IFERROR(VLOOKUP($A253,Program[],11,0),0)</f>
        <v>0</v>
      </c>
      <c r="AI253" s="41">
        <f>IFERROR(VLOOKUP($A253,Program[],12,0),0)</f>
        <v>0</v>
      </c>
      <c r="AJ253" s="41"/>
      <c r="AK253" s="41">
        <f>IFERROR(VLOOKUP($A253,Program[],13,0),0)</f>
        <v>0</v>
      </c>
      <c r="AL253" s="41"/>
      <c r="AM253" s="41"/>
      <c r="AN253" s="41"/>
      <c r="AO253" s="41"/>
      <c r="AP253" s="41"/>
      <c r="AQ253" s="41"/>
      <c r="AR253" s="41"/>
      <c r="AS253" s="41">
        <f>IFERROR(VLOOKUP($A253,Program[],14,0),0)</f>
        <v>0</v>
      </c>
      <c r="AT253" s="41"/>
      <c r="AU253" s="41"/>
      <c r="AV253" s="41">
        <f>IFERROR(VLOOKUP($A253,Program[],15,0),0)</f>
        <v>0</v>
      </c>
      <c r="AW253" s="41"/>
      <c r="AX253" s="41">
        <f>IFERROR(VLOOKUP($A253,Program[],16,0),0)</f>
        <v>0</v>
      </c>
      <c r="AY253" s="41">
        <f>IFERROR(VLOOKUP($A253,Program[],17,0),0)</f>
        <v>0</v>
      </c>
      <c r="AZ253" s="41">
        <f>IFERROR(VLOOKUP($A253,Program[],18,0),0)</f>
        <v>0</v>
      </c>
      <c r="BA253" s="41">
        <f>IFERROR(VLOOKUP($A253,Program[],19,0),0)</f>
        <v>0</v>
      </c>
      <c r="BB253" s="77">
        <f t="shared" si="59"/>
        <v>193805.33000000037</v>
      </c>
      <c r="BC253" s="41">
        <f>IFERROR(VLOOKUP(A253,Food[],3,0),0)</f>
        <v>2496297.2400000002</v>
      </c>
      <c r="BD253" s="41">
        <f>IFERROR(VLOOKUP($A253,FoodRev[],2,0),0)</f>
        <v>12418.3</v>
      </c>
      <c r="BE253" s="41">
        <f>IFERROR(VLOOKUP($A253,FoodRev[],3,0),0)</f>
        <v>643776.02</v>
      </c>
      <c r="BF253" s="41">
        <f>IFERROR(VLOOKUP($A253,FoodRev[],4,0),0)</f>
        <v>0</v>
      </c>
      <c r="BG253" s="41">
        <f>IFERROR(VLOOKUP($A253,FoodRev[],5,0),0)</f>
        <v>1466050.04</v>
      </c>
      <c r="BH253" s="41">
        <f>IFERROR(VLOOKUP($A253,FoodRev[],6,0),0)</f>
        <v>0</v>
      </c>
      <c r="BI253" s="41">
        <f>IFERROR(VLOOKUP($A253,FoodRev[],7,0),0)</f>
        <v>0</v>
      </c>
      <c r="BJ253" s="41">
        <f>IFERROR(VLOOKUP($A253,FoodRev[],8,0),0)</f>
        <v>180247.55</v>
      </c>
      <c r="BK253" s="41">
        <f>IFERROR(VLOOKUP($A253,FoodRev[],9,0),0)</f>
        <v>0</v>
      </c>
      <c r="BL253" s="41">
        <f>IFERROR(VLOOKUP($A253,FoodRev[],10,0),0)</f>
        <v>0</v>
      </c>
      <c r="BM253" s="41">
        <f t="shared" si="60"/>
        <v>2302491.91</v>
      </c>
      <c r="BN253" s="42">
        <f t="shared" ref="BN253:BN316" si="66">BC253-BD253-BE253-BF253-BG253-BH253-BI253-BJ253-BK253-BL253</f>
        <v>193805.33000000037</v>
      </c>
      <c r="BO253" s="78">
        <f t="shared" si="64"/>
        <v>193805.33000000037</v>
      </c>
      <c r="BP253" s="78">
        <f t="shared" si="65"/>
        <v>0</v>
      </c>
    </row>
    <row r="254" spans="1:68" x14ac:dyDescent="0.25">
      <c r="A254" s="40" t="s">
        <v>202</v>
      </c>
      <c r="B254" s="40" t="s">
        <v>927</v>
      </c>
      <c r="D254" s="203">
        <f t="shared" si="57"/>
        <v>-7.4505805969238281E-9</v>
      </c>
      <c r="E254" s="41">
        <f>IFERROR(VLOOKUP(A254,Items[],5,0),0)</f>
        <v>38510043.219999999</v>
      </c>
      <c r="F254" s="42">
        <f t="shared" si="58"/>
        <v>38510043.220000006</v>
      </c>
      <c r="G254" s="41">
        <v>0</v>
      </c>
      <c r="H254" s="41">
        <f>IFERROR(VLOOKUP(A254,Items[],4,0),0)</f>
        <v>42906169.359999999</v>
      </c>
      <c r="I254" s="41">
        <f>IFERROR(VLOOKUP(A254,Community[],4,0),0)</f>
        <v>0</v>
      </c>
      <c r="J254" s="41">
        <f>IFERROR(VLOOKUP(A254,Community[],5,0),0)</f>
        <v>0</v>
      </c>
      <c r="K254" s="41">
        <f>IFERROR(VLOOKUP(A254,Community[],6,0),0)</f>
        <v>820622.36</v>
      </c>
      <c r="L254" s="41">
        <f>IFERROR(VLOOKUP(A254,Community[],7,0),0)</f>
        <v>0</v>
      </c>
      <c r="M254" s="41">
        <f>IFERROR(VLOOKUP(A254,Debt[],3,0),0)</f>
        <v>0</v>
      </c>
      <c r="N254" s="41">
        <f>IFERROR(VLOOKUP(A254,Debt[],4,0),0)</f>
        <v>0</v>
      </c>
      <c r="O254" s="41">
        <f>IFERROR(VLOOKUP(A254,Debt[],5,0),0)</f>
        <v>10500</v>
      </c>
      <c r="P254" s="41">
        <f>IFERROR(VLOOKUP(A254,Items[],3,0),0)</f>
        <v>758467.47</v>
      </c>
      <c r="Q254" s="41">
        <f>IFERROR(VLOOKUP($A254,Federal[],2,0),0)</f>
        <v>0</v>
      </c>
      <c r="R254" s="41">
        <f>IFERROR(VLOOKUP($A254,Federal[],4,0),0)</f>
        <v>3100646.32</v>
      </c>
      <c r="S254" s="41"/>
      <c r="T254" s="47">
        <f>IFERROR(VLOOKUP($A254,Program[],3,0),0)</f>
        <v>0</v>
      </c>
      <c r="U254" s="47"/>
      <c r="V254" s="41">
        <f>IFERROR(VLOOKUP($A254,Program[],4,0),0)</f>
        <v>544856.31000000006</v>
      </c>
      <c r="W254" s="41">
        <f>IFERROR(VLOOKUP($A254,Program[],5,0),0)</f>
        <v>0</v>
      </c>
      <c r="X254" s="41"/>
      <c r="Y254" s="41"/>
      <c r="Z254" s="41"/>
      <c r="AA254" s="41">
        <f>IFERROR(VLOOKUP($A254,Program[],6,0),0)</f>
        <v>0</v>
      </c>
      <c r="AB254" s="41"/>
      <c r="AC254" s="41"/>
      <c r="AD254" s="41">
        <f>IFERROR(VLOOKUP($A254,Program[],7,0),0)</f>
        <v>0</v>
      </c>
      <c r="AE254" s="41">
        <f>IFERROR(VLOOKUP($A254,Program[],8,0),0)</f>
        <v>0</v>
      </c>
      <c r="AF254" s="41">
        <f>IFERROR(VLOOKUP($A254,Program[],9,0),0)</f>
        <v>0</v>
      </c>
      <c r="AG254" s="41">
        <f>IFERROR(VLOOKUP($A254,Program[],10,0),0)</f>
        <v>0</v>
      </c>
      <c r="AH254" s="41">
        <f>IFERROR(VLOOKUP($A254,Program[],11,0),0)</f>
        <v>0</v>
      </c>
      <c r="AI254" s="41">
        <f>IFERROR(VLOOKUP($A254,Program[],12,0),0)</f>
        <v>0</v>
      </c>
      <c r="AJ254" s="41"/>
      <c r="AK254" s="41">
        <f>IFERROR(VLOOKUP($A254,Program[],13,0),0)</f>
        <v>0</v>
      </c>
      <c r="AL254" s="41"/>
      <c r="AM254" s="41"/>
      <c r="AN254" s="41"/>
      <c r="AO254" s="41"/>
      <c r="AP254" s="41"/>
      <c r="AQ254" s="41"/>
      <c r="AR254" s="41"/>
      <c r="AS254" s="41">
        <f>IFERROR(VLOOKUP($A254,Program[],14,0),0)</f>
        <v>0</v>
      </c>
      <c r="AT254" s="41"/>
      <c r="AU254" s="41"/>
      <c r="AV254" s="41">
        <f>IFERROR(VLOOKUP($A254,Program[],15,0),0)</f>
        <v>0</v>
      </c>
      <c r="AW254" s="41"/>
      <c r="AX254" s="41">
        <f>IFERROR(VLOOKUP($A254,Program[],16,0),0)</f>
        <v>0</v>
      </c>
      <c r="AY254" s="41">
        <f>IFERROR(VLOOKUP($A254,Program[],17,0),0)</f>
        <v>0</v>
      </c>
      <c r="AZ254" s="41">
        <f>IFERROR(VLOOKUP($A254,Program[],18,0),0)</f>
        <v>0</v>
      </c>
      <c r="BA254" s="41">
        <f>IFERROR(VLOOKUP($A254,Program[],19,0),0)</f>
        <v>0</v>
      </c>
      <c r="BB254" s="77">
        <f t="shared" si="59"/>
        <v>0</v>
      </c>
      <c r="BC254" s="41">
        <f>IFERROR(VLOOKUP(A254,Food[],3,0),0)</f>
        <v>1255987.6399999999</v>
      </c>
      <c r="BD254" s="41">
        <f>IFERROR(VLOOKUP($A254,FoodRev[],2,0),0)</f>
        <v>7076.2</v>
      </c>
      <c r="BE254" s="41">
        <f>IFERROR(VLOOKUP($A254,FoodRev[],3,0),0)</f>
        <v>326626.17</v>
      </c>
      <c r="BF254" s="41">
        <f>IFERROR(VLOOKUP($A254,FoodRev[],4,0),0)</f>
        <v>0</v>
      </c>
      <c r="BG254" s="41">
        <f>IFERROR(VLOOKUP($A254,FoodRev[],5,0),0)</f>
        <v>949684.39</v>
      </c>
      <c r="BH254" s="41">
        <f>IFERROR(VLOOKUP($A254,FoodRev[],6,0),0)</f>
        <v>0</v>
      </c>
      <c r="BI254" s="41">
        <f>IFERROR(VLOOKUP($A254,FoodRev[],7,0),0)</f>
        <v>0</v>
      </c>
      <c r="BJ254" s="41">
        <f>IFERROR(VLOOKUP($A254,FoodRev[],8,0),0)</f>
        <v>55556.95</v>
      </c>
      <c r="BK254" s="41">
        <f>IFERROR(VLOOKUP($A254,FoodRev[],9,0),0)</f>
        <v>0</v>
      </c>
      <c r="BL254" s="41">
        <f>IFERROR(VLOOKUP($A254,FoodRev[],10,0),0)</f>
        <v>0</v>
      </c>
      <c r="BM254" s="41">
        <f t="shared" si="60"/>
        <v>1338943.71</v>
      </c>
      <c r="BN254" s="42">
        <f t="shared" si="66"/>
        <v>-82956.069999999992</v>
      </c>
      <c r="BO254" s="78">
        <f t="shared" si="64"/>
        <v>0</v>
      </c>
      <c r="BP254" s="78">
        <f t="shared" si="65"/>
        <v>-82956.069999999992</v>
      </c>
    </row>
    <row r="255" spans="1:68" x14ac:dyDescent="0.25">
      <c r="A255" s="40" t="s">
        <v>250</v>
      </c>
      <c r="B255" s="40" t="s">
        <v>928</v>
      </c>
      <c r="D255" s="203">
        <f t="shared" si="57"/>
        <v>3.7252902984619141E-9</v>
      </c>
      <c r="E255" s="41">
        <f>IFERROR(VLOOKUP(A255,Items[],5,0),0)</f>
        <v>23005079.32</v>
      </c>
      <c r="F255" s="42">
        <f t="shared" si="58"/>
        <v>23005079.319999997</v>
      </c>
      <c r="G255" s="41">
        <v>0</v>
      </c>
      <c r="H255" s="41">
        <f>IFERROR(VLOOKUP(A255,Items[],4,0),0)</f>
        <v>25961858.719999999</v>
      </c>
      <c r="I255" s="41">
        <f>IFERROR(VLOOKUP(A255,Community[],4,0),0)</f>
        <v>0</v>
      </c>
      <c r="J255" s="41">
        <f>IFERROR(VLOOKUP(A255,Community[],5,0),0)</f>
        <v>0</v>
      </c>
      <c r="K255" s="41">
        <f>IFERROR(VLOOKUP(A255,Community[],6,0),0)</f>
        <v>657389.34000000008</v>
      </c>
      <c r="L255" s="41">
        <f>IFERROR(VLOOKUP(A255,Community[],7,0),0)</f>
        <v>556.94000000000005</v>
      </c>
      <c r="M255" s="41">
        <f>IFERROR(VLOOKUP(A255,Debt[],3,0),0)</f>
        <v>503.21</v>
      </c>
      <c r="N255" s="41">
        <f>IFERROR(VLOOKUP(A255,Debt[],4,0),0)</f>
        <v>11176.81</v>
      </c>
      <c r="O255" s="41">
        <f>IFERROR(VLOOKUP(A255,Debt[],5,0),0)</f>
        <v>0</v>
      </c>
      <c r="P255" s="41">
        <f>IFERROR(VLOOKUP(A255,Items[],3,0),0)</f>
        <v>280143.59999999998</v>
      </c>
      <c r="Q255" s="41">
        <f>IFERROR(VLOOKUP($A255,Federal[],2,0),0)</f>
        <v>0</v>
      </c>
      <c r="R255" s="41">
        <f>IFERROR(VLOOKUP($A255,Federal[],4,0),0)</f>
        <v>1784718.77</v>
      </c>
      <c r="S255" s="41"/>
      <c r="T255" s="47">
        <f>IFERROR(VLOOKUP($A255,Program[],3,0),0)</f>
        <v>0</v>
      </c>
      <c r="U255" s="47"/>
      <c r="V255" s="41">
        <f>IFERROR(VLOOKUP($A255,Program[],4,0),0)</f>
        <v>0</v>
      </c>
      <c r="W255" s="41">
        <f>IFERROR(VLOOKUP($A255,Program[],5,0),0)</f>
        <v>0</v>
      </c>
      <c r="X255" s="41"/>
      <c r="Y255" s="41"/>
      <c r="Z255" s="41"/>
      <c r="AA255" s="41">
        <f>IFERROR(VLOOKUP($A255,Program[],6,0),0)</f>
        <v>0</v>
      </c>
      <c r="AB255" s="41"/>
      <c r="AC255" s="41"/>
      <c r="AD255" s="41">
        <f>IFERROR(VLOOKUP($A255,Program[],7,0),0)</f>
        <v>0</v>
      </c>
      <c r="AE255" s="41">
        <f>IFERROR(VLOOKUP($A255,Program[],8,0),0)</f>
        <v>0</v>
      </c>
      <c r="AF255" s="41">
        <f>IFERROR(VLOOKUP($A255,Program[],9,0),0)</f>
        <v>0</v>
      </c>
      <c r="AG255" s="41">
        <f>IFERROR(VLOOKUP($A255,Program[],10,0),0)</f>
        <v>0</v>
      </c>
      <c r="AH255" s="41">
        <f>IFERROR(VLOOKUP($A255,Program[],11,0),0)</f>
        <v>0</v>
      </c>
      <c r="AI255" s="41">
        <f>IFERROR(VLOOKUP($A255,Program[],12,0),0)</f>
        <v>0</v>
      </c>
      <c r="AJ255" s="41"/>
      <c r="AK255" s="41">
        <f>IFERROR(VLOOKUP($A255,Program[],13,0),0)</f>
        <v>0</v>
      </c>
      <c r="AL255" s="41"/>
      <c r="AM255" s="41"/>
      <c r="AN255" s="41"/>
      <c r="AO255" s="41"/>
      <c r="AP255" s="41"/>
      <c r="AQ255" s="41"/>
      <c r="AR255" s="41"/>
      <c r="AS255" s="41">
        <f>IFERROR(VLOOKUP($A255,Program[],14,0),0)</f>
        <v>0</v>
      </c>
      <c r="AT255" s="41"/>
      <c r="AU255" s="41"/>
      <c r="AV255" s="41">
        <f>IFERROR(VLOOKUP($A255,Program[],15,0),0)</f>
        <v>8498.02</v>
      </c>
      <c r="AW255" s="41"/>
      <c r="AX255" s="41">
        <f>IFERROR(VLOOKUP($A255,Program[],16,0),0)</f>
        <v>0</v>
      </c>
      <c r="AY255" s="41">
        <f>IFERROR(VLOOKUP($A255,Program[],17,0),0)</f>
        <v>0</v>
      </c>
      <c r="AZ255" s="41">
        <f>IFERROR(VLOOKUP($A255,Program[],18,0),0)</f>
        <v>0</v>
      </c>
      <c r="BA255" s="41">
        <f>IFERROR(VLOOKUP($A255,Program[],19,0),0)</f>
        <v>32645.75</v>
      </c>
      <c r="BB255" s="77">
        <f t="shared" si="59"/>
        <v>0</v>
      </c>
      <c r="BC255" s="41">
        <f>IFERROR(VLOOKUP(A255,Food[],3,0),0)</f>
        <v>1026205.6999999998</v>
      </c>
      <c r="BD255" s="41">
        <f>IFERROR(VLOOKUP($A255,FoodRev[],2,0),0)</f>
        <v>2866.09</v>
      </c>
      <c r="BE255" s="41">
        <f>IFERROR(VLOOKUP($A255,FoodRev[],3,0),0)</f>
        <v>320229.45</v>
      </c>
      <c r="BF255" s="41">
        <f>IFERROR(VLOOKUP($A255,FoodRev[],4,0),0)</f>
        <v>0</v>
      </c>
      <c r="BG255" s="41">
        <f>IFERROR(VLOOKUP($A255,FoodRev[],5,0),0)</f>
        <v>694780.02</v>
      </c>
      <c r="BH255" s="41">
        <f>IFERROR(VLOOKUP($A255,FoodRev[],6,0),0)</f>
        <v>0</v>
      </c>
      <c r="BI255" s="41">
        <f>IFERROR(VLOOKUP($A255,FoodRev[],7,0),0)</f>
        <v>0</v>
      </c>
      <c r="BJ255" s="41">
        <f>IFERROR(VLOOKUP($A255,FoodRev[],8,0),0)</f>
        <v>67991.179999999993</v>
      </c>
      <c r="BK255" s="41">
        <f>IFERROR(VLOOKUP($A255,FoodRev[],9,0),0)</f>
        <v>0</v>
      </c>
      <c r="BL255" s="41">
        <f>IFERROR(VLOOKUP($A255,FoodRev[],10,0),0)</f>
        <v>0</v>
      </c>
      <c r="BM255" s="41">
        <f t="shared" si="60"/>
        <v>1085866.74</v>
      </c>
      <c r="BN255" s="42">
        <f t="shared" si="66"/>
        <v>-59661.040000000095</v>
      </c>
      <c r="BO255" s="78">
        <f t="shared" si="64"/>
        <v>0</v>
      </c>
      <c r="BP255" s="78">
        <f t="shared" si="65"/>
        <v>-59661.040000000095</v>
      </c>
    </row>
    <row r="256" spans="1:68" x14ac:dyDescent="0.25">
      <c r="A256" s="43" t="s">
        <v>442</v>
      </c>
      <c r="B256" s="43" t="s">
        <v>929</v>
      </c>
      <c r="D256" s="203">
        <f t="shared" si="57"/>
        <v>0</v>
      </c>
      <c r="E256" s="41">
        <f>IFERROR(VLOOKUP(A256,Items[],5,0),0)</f>
        <v>12657165.289999999</v>
      </c>
      <c r="F256" s="42">
        <f t="shared" si="58"/>
        <v>12657165.289999999</v>
      </c>
      <c r="G256" s="41">
        <v>0</v>
      </c>
      <c r="H256" s="41">
        <f>IFERROR(VLOOKUP(A256,Items[],4,0),0)</f>
        <v>14123916.15</v>
      </c>
      <c r="I256" s="41">
        <f>IFERROR(VLOOKUP(A256,Community[],4,0),0)</f>
        <v>0</v>
      </c>
      <c r="J256" s="41">
        <f>IFERROR(VLOOKUP(A256,Community[],5,0),0)</f>
        <v>0</v>
      </c>
      <c r="K256" s="41">
        <f>IFERROR(VLOOKUP(A256,Community[],6,0),0)</f>
        <v>0</v>
      </c>
      <c r="L256" s="41">
        <f>IFERROR(VLOOKUP(A256,Community[],7,0),0)</f>
        <v>114562.82000000002</v>
      </c>
      <c r="M256" s="41">
        <f>IFERROR(VLOOKUP(A256,Debt[],3,0),0)</f>
        <v>0</v>
      </c>
      <c r="N256" s="41">
        <f>IFERROR(VLOOKUP(A256,Debt[],4,0),0)</f>
        <v>15177.86</v>
      </c>
      <c r="O256" s="41">
        <f>IFERROR(VLOOKUP(A256,Debt[],5,0),0)</f>
        <v>0</v>
      </c>
      <c r="P256" s="41">
        <f>IFERROR(VLOOKUP(A256,Items[],3,0),0)</f>
        <v>234364.05</v>
      </c>
      <c r="Q256" s="41">
        <f>IFERROR(VLOOKUP($A256,Federal[],2,0),0)</f>
        <v>0</v>
      </c>
      <c r="R256" s="41">
        <f>IFERROR(VLOOKUP($A256,Federal[],4,0),0)</f>
        <v>928667.49</v>
      </c>
      <c r="S256" s="41"/>
      <c r="T256" s="47">
        <f>IFERROR(VLOOKUP($A256,Program[],3,0),0)</f>
        <v>0</v>
      </c>
      <c r="U256" s="47"/>
      <c r="V256" s="41">
        <f>IFERROR(VLOOKUP($A256,Program[],4,0),0)</f>
        <v>0</v>
      </c>
      <c r="W256" s="41">
        <f>IFERROR(VLOOKUP($A256,Program[],5,0),0)</f>
        <v>0</v>
      </c>
      <c r="X256" s="41"/>
      <c r="Y256" s="41"/>
      <c r="Z256" s="41"/>
      <c r="AA256" s="41">
        <f>IFERROR(VLOOKUP($A256,Program[],6,0),0)</f>
        <v>0</v>
      </c>
      <c r="AB256" s="41"/>
      <c r="AC256" s="41"/>
      <c r="AD256" s="41">
        <f>IFERROR(VLOOKUP($A256,Program[],7,0),0)</f>
        <v>0</v>
      </c>
      <c r="AE256" s="41">
        <f>IFERROR(VLOOKUP($A256,Program[],8,0),0)</f>
        <v>0</v>
      </c>
      <c r="AF256" s="41">
        <f>IFERROR(VLOOKUP($A256,Program[],9,0),0)</f>
        <v>0</v>
      </c>
      <c r="AG256" s="41">
        <f>IFERROR(VLOOKUP($A256,Program[],10,0),0)</f>
        <v>0</v>
      </c>
      <c r="AH256" s="41">
        <f>IFERROR(VLOOKUP($A256,Program[],11,0),0)</f>
        <v>0</v>
      </c>
      <c r="AI256" s="41">
        <f>IFERROR(VLOOKUP($A256,Program[],12,0),0)</f>
        <v>0</v>
      </c>
      <c r="AJ256" s="41"/>
      <c r="AK256" s="41">
        <f>IFERROR(VLOOKUP($A256,Program[],13,0),0)</f>
        <v>0</v>
      </c>
      <c r="AL256" s="41"/>
      <c r="AM256" s="41"/>
      <c r="AN256" s="41"/>
      <c r="AO256" s="41"/>
      <c r="AP256" s="41"/>
      <c r="AQ256" s="41"/>
      <c r="AR256" s="41"/>
      <c r="AS256" s="41">
        <f>IFERROR(VLOOKUP($A256,Program[],14,0),0)</f>
        <v>0</v>
      </c>
      <c r="AT256" s="41"/>
      <c r="AU256" s="41"/>
      <c r="AV256" s="41">
        <f>IFERROR(VLOOKUP($A256,Program[],15,0),0)</f>
        <v>0</v>
      </c>
      <c r="AW256" s="41"/>
      <c r="AX256" s="41">
        <f>IFERROR(VLOOKUP($A256,Program[],16,0),0)</f>
        <v>0</v>
      </c>
      <c r="AY256" s="41">
        <f>IFERROR(VLOOKUP($A256,Program[],17,0),0)</f>
        <v>0</v>
      </c>
      <c r="AZ256" s="41">
        <f>IFERROR(VLOOKUP($A256,Program[],18,0),0)</f>
        <v>0</v>
      </c>
      <c r="BA256" s="41">
        <f>IFERROR(VLOOKUP($A256,Program[],19,0),0)</f>
        <v>0</v>
      </c>
      <c r="BB256" s="77">
        <f t="shared" si="59"/>
        <v>0</v>
      </c>
      <c r="BC256" s="41">
        <f>IFERROR(VLOOKUP(A256,Food[],3,0),0)</f>
        <v>635729.76000000013</v>
      </c>
      <c r="BD256" s="41">
        <f>IFERROR(VLOOKUP($A256,FoodRev[],2,0),0)</f>
        <v>-297.25</v>
      </c>
      <c r="BE256" s="41">
        <f>IFERROR(VLOOKUP($A256,FoodRev[],3,0),0)</f>
        <v>312187.75</v>
      </c>
      <c r="BF256" s="41">
        <f>IFERROR(VLOOKUP($A256,FoodRev[],4,0),0)</f>
        <v>0</v>
      </c>
      <c r="BG256" s="41">
        <f>IFERROR(VLOOKUP($A256,FoodRev[],5,0),0)</f>
        <v>388569.61</v>
      </c>
      <c r="BH256" s="41">
        <f>IFERROR(VLOOKUP($A256,FoodRev[],6,0),0)</f>
        <v>0</v>
      </c>
      <c r="BI256" s="41">
        <f>IFERROR(VLOOKUP($A256,FoodRev[],7,0),0)</f>
        <v>0</v>
      </c>
      <c r="BJ256" s="41">
        <f>IFERROR(VLOOKUP($A256,FoodRev[],8,0),0)</f>
        <v>73181.509999999995</v>
      </c>
      <c r="BK256" s="41">
        <f>IFERROR(VLOOKUP($A256,FoodRev[],9,0),0)</f>
        <v>0</v>
      </c>
      <c r="BL256" s="41">
        <f>IFERROR(VLOOKUP($A256,FoodRev[],10,0),0)</f>
        <v>0</v>
      </c>
      <c r="BM256" s="41">
        <f t="shared" si="60"/>
        <v>773641.62</v>
      </c>
      <c r="BN256" s="42">
        <f t="shared" si="66"/>
        <v>-137911.85999999987</v>
      </c>
      <c r="BO256" s="78">
        <f t="shared" si="64"/>
        <v>0</v>
      </c>
      <c r="BP256" s="78">
        <f t="shared" si="65"/>
        <v>-137911.85999999987</v>
      </c>
    </row>
    <row r="257" spans="1:68" x14ac:dyDescent="0.25">
      <c r="A257" s="45" t="s">
        <v>1160</v>
      </c>
      <c r="B257" s="40" t="s">
        <v>1172</v>
      </c>
      <c r="D257" s="203">
        <f t="shared" si="57"/>
        <v>2.3283064365386963E-10</v>
      </c>
      <c r="E257" s="41">
        <f>IFERROR(VLOOKUP(A257,Items[],5,0),0)</f>
        <v>1746636.67</v>
      </c>
      <c r="F257" s="42">
        <f t="shared" si="58"/>
        <v>1746636.6699999997</v>
      </c>
      <c r="G257" s="41">
        <v>0</v>
      </c>
      <c r="H257" s="41">
        <f>IFERROR(VLOOKUP(A257,Items[],4,0),0)</f>
        <v>2232759.5099999998</v>
      </c>
      <c r="I257" s="41">
        <f>IFERROR(VLOOKUP(A257,Community[],4,0),0)</f>
        <v>0</v>
      </c>
      <c r="J257" s="41">
        <f>IFERROR(VLOOKUP(A257,Community[],5,0),0)</f>
        <v>0</v>
      </c>
      <c r="K257" s="41">
        <f>IFERROR(VLOOKUP(A257,Community[],6,0),0)</f>
        <v>0</v>
      </c>
      <c r="L257" s="41">
        <f>IFERROR(VLOOKUP(A257,Community[],7,0),0)</f>
        <v>0</v>
      </c>
      <c r="M257" s="41">
        <f>IFERROR(VLOOKUP(A257,Debt[],3,0),0)</f>
        <v>233477.98</v>
      </c>
      <c r="N257" s="41">
        <f>IFERROR(VLOOKUP(A257,Debt[],4,0),0)</f>
        <v>144811.04</v>
      </c>
      <c r="O257" s="41">
        <f>IFERROR(VLOOKUP(A257,Debt[],5,0),0)</f>
        <v>0</v>
      </c>
      <c r="P257" s="41">
        <f>IFERROR(VLOOKUP(A257,Items[],3,0),0)</f>
        <v>0</v>
      </c>
      <c r="Q257" s="41">
        <f>IFERROR(VLOOKUP($A257,Federal[],2,0),0)</f>
        <v>0</v>
      </c>
      <c r="R257" s="41">
        <f>IFERROR(VLOOKUP($A257,Federal[],4,0),0)</f>
        <v>105565.55</v>
      </c>
      <c r="S257" s="41"/>
      <c r="T257" s="47">
        <f>IFERROR(VLOOKUP($A257,Program[],3,0),0)</f>
        <v>0</v>
      </c>
      <c r="U257" s="47"/>
      <c r="V257" s="41">
        <f>IFERROR(VLOOKUP($A257,Program[],4,0),0)</f>
        <v>0</v>
      </c>
      <c r="W257" s="41">
        <f>IFERROR(VLOOKUP($A257,Program[],5,0),0)</f>
        <v>0</v>
      </c>
      <c r="X257" s="41"/>
      <c r="Y257" s="41"/>
      <c r="Z257" s="41"/>
      <c r="AA257" s="41">
        <f>IFERROR(VLOOKUP($A257,Program[],6,0),0)</f>
        <v>0</v>
      </c>
      <c r="AB257" s="41"/>
      <c r="AC257" s="41"/>
      <c r="AD257" s="41">
        <f>IFERROR(VLOOKUP($A257,Program[],7,0),0)</f>
        <v>0</v>
      </c>
      <c r="AE257" s="41">
        <f>IFERROR(VLOOKUP($A257,Program[],8,0),0)</f>
        <v>0</v>
      </c>
      <c r="AF257" s="41">
        <f>IFERROR(VLOOKUP($A257,Program[],9,0),0)</f>
        <v>0</v>
      </c>
      <c r="AG257" s="41">
        <f>IFERROR(VLOOKUP($A257,Program[],10,0),0)</f>
        <v>0</v>
      </c>
      <c r="AH257" s="41">
        <f>IFERROR(VLOOKUP($A257,Program[],11,0),0)</f>
        <v>0</v>
      </c>
      <c r="AI257" s="41">
        <f>IFERROR(VLOOKUP($A257,Program[],12,0),0)</f>
        <v>0</v>
      </c>
      <c r="AJ257" s="41"/>
      <c r="AK257" s="41">
        <f>IFERROR(VLOOKUP($A257,Program[],13,0),0)</f>
        <v>0</v>
      </c>
      <c r="AL257" s="41"/>
      <c r="AM257" s="41"/>
      <c r="AN257" s="41"/>
      <c r="AO257" s="41"/>
      <c r="AP257" s="41"/>
      <c r="AQ257" s="41"/>
      <c r="AR257" s="41"/>
      <c r="AS257" s="41">
        <f>IFERROR(VLOOKUP($A257,Program[],14,0),0)</f>
        <v>0</v>
      </c>
      <c r="AT257" s="41"/>
      <c r="AU257" s="41"/>
      <c r="AV257" s="41">
        <f>IFERROR(VLOOKUP($A257,Program[],15,0),0)</f>
        <v>0</v>
      </c>
      <c r="AW257" s="41"/>
      <c r="AX257" s="41">
        <f>IFERROR(VLOOKUP($A257,Program[],16,0),0)</f>
        <v>0</v>
      </c>
      <c r="AY257" s="41">
        <f>IFERROR(VLOOKUP($A257,Program[],17,0),0)</f>
        <v>0</v>
      </c>
      <c r="AZ257" s="41">
        <f>IFERROR(VLOOKUP($A257,Program[],18,0),0)</f>
        <v>0</v>
      </c>
      <c r="BA257" s="41">
        <f>IFERROR(VLOOKUP($A257,Program[],19,0),0)</f>
        <v>0</v>
      </c>
      <c r="BB257" s="77">
        <f t="shared" si="59"/>
        <v>1722.4499999999971</v>
      </c>
      <c r="BC257" s="41">
        <f>IFERROR(VLOOKUP(A257,Food[],3,0),0)</f>
        <v>23422.05</v>
      </c>
      <c r="BD257" s="41">
        <f>IFERROR(VLOOKUP($A257,FoodRev[],2,0),0)</f>
        <v>1917</v>
      </c>
      <c r="BE257" s="41">
        <f>IFERROR(VLOOKUP($A257,FoodRev[],3,0),0)</f>
        <v>351.27</v>
      </c>
      <c r="BF257" s="41">
        <f>IFERROR(VLOOKUP($A257,FoodRev[],4,0),0)</f>
        <v>0</v>
      </c>
      <c r="BG257" s="41">
        <f>IFERROR(VLOOKUP($A257,FoodRev[],5,0),0)</f>
        <v>19431.330000000002</v>
      </c>
      <c r="BH257" s="41">
        <f>IFERROR(VLOOKUP($A257,FoodRev[],6,0),0)</f>
        <v>0</v>
      </c>
      <c r="BI257" s="41">
        <f>IFERROR(VLOOKUP($A257,FoodRev[],7,0),0)</f>
        <v>0</v>
      </c>
      <c r="BJ257" s="41">
        <f>IFERROR(VLOOKUP($A257,FoodRev[],8,0),0)</f>
        <v>0</v>
      </c>
      <c r="BK257" s="41">
        <f>IFERROR(VLOOKUP($A257,FoodRev[],9,0),0)</f>
        <v>0</v>
      </c>
      <c r="BL257" s="41">
        <f>IFERROR(VLOOKUP($A257,FoodRev[],10,0),0)</f>
        <v>0</v>
      </c>
      <c r="BM257" s="41">
        <f t="shared" si="60"/>
        <v>21699.600000000002</v>
      </c>
      <c r="BN257" s="42">
        <f t="shared" si="66"/>
        <v>1722.4499999999971</v>
      </c>
      <c r="BO257" s="78"/>
      <c r="BP257" s="78"/>
    </row>
    <row r="258" spans="1:68" x14ac:dyDescent="0.25">
      <c r="A258" s="43" t="s">
        <v>448</v>
      </c>
      <c r="B258" s="43" t="s">
        <v>930</v>
      </c>
      <c r="D258" s="203">
        <f t="shared" si="57"/>
        <v>0</v>
      </c>
      <c r="E258" s="41">
        <f>IFERROR(VLOOKUP(A258,Items[],5,0),0)</f>
        <v>4197949.2300000004</v>
      </c>
      <c r="F258" s="42">
        <f t="shared" si="58"/>
        <v>4197949.2300000004</v>
      </c>
      <c r="G258" s="41">
        <v>0</v>
      </c>
      <c r="H258" s="41">
        <f>IFERROR(VLOOKUP(A258,Items[],4,0),0)</f>
        <v>5578616.5199999996</v>
      </c>
      <c r="I258" s="41">
        <f>IFERROR(VLOOKUP(A258,Community[],4,0),0)</f>
        <v>0</v>
      </c>
      <c r="J258" s="41">
        <f>IFERROR(VLOOKUP(A258,Community[],5,0),0)</f>
        <v>0</v>
      </c>
      <c r="K258" s="41">
        <f>IFERROR(VLOOKUP(A258,Community[],6,0),0)</f>
        <v>0</v>
      </c>
      <c r="L258" s="41">
        <f>IFERROR(VLOOKUP(A258,Community[],7,0),0)</f>
        <v>0</v>
      </c>
      <c r="M258" s="41">
        <f>IFERROR(VLOOKUP(A258,Debt[],3,0),0)</f>
        <v>282583</v>
      </c>
      <c r="N258" s="41">
        <f>IFERROR(VLOOKUP(A258,Debt[],4,0),0)</f>
        <v>538350.52</v>
      </c>
      <c r="O258" s="41">
        <f>IFERROR(VLOOKUP(A258,Debt[],5,0),0)</f>
        <v>0</v>
      </c>
      <c r="P258" s="41">
        <f>IFERROR(VLOOKUP(A258,Items[],3,0),0)</f>
        <v>0</v>
      </c>
      <c r="Q258" s="41">
        <f>IFERROR(VLOOKUP($A258,Federal[],2,0),0)</f>
        <v>0</v>
      </c>
      <c r="R258" s="41">
        <f>IFERROR(VLOOKUP($A258,Federal[],4,0),0)</f>
        <v>520002.22</v>
      </c>
      <c r="S258" s="41"/>
      <c r="T258" s="47">
        <f>IFERROR(VLOOKUP($A258,Program[],3,0),0)</f>
        <v>0</v>
      </c>
      <c r="U258" s="47"/>
      <c r="V258" s="41">
        <f>IFERROR(VLOOKUP($A258,Program[],4,0),0)</f>
        <v>0</v>
      </c>
      <c r="W258" s="41">
        <f>IFERROR(VLOOKUP($A258,Program[],5,0),0)</f>
        <v>0</v>
      </c>
      <c r="X258" s="41"/>
      <c r="Y258" s="41"/>
      <c r="Z258" s="41"/>
      <c r="AA258" s="41">
        <f>IFERROR(VLOOKUP($A258,Program[],6,0),0)</f>
        <v>0</v>
      </c>
      <c r="AB258" s="41"/>
      <c r="AC258" s="41"/>
      <c r="AD258" s="41">
        <f>IFERROR(VLOOKUP($A258,Program[],7,0),0)</f>
        <v>0</v>
      </c>
      <c r="AE258" s="41">
        <f>IFERROR(VLOOKUP($A258,Program[],8,0),0)</f>
        <v>0</v>
      </c>
      <c r="AF258" s="41">
        <f>IFERROR(VLOOKUP($A258,Program[],9,0),0)</f>
        <v>0</v>
      </c>
      <c r="AG258" s="41">
        <f>IFERROR(VLOOKUP($A258,Program[],10,0),0)</f>
        <v>0</v>
      </c>
      <c r="AH258" s="41">
        <f>IFERROR(VLOOKUP($A258,Program[],11,0),0)</f>
        <v>0</v>
      </c>
      <c r="AI258" s="41">
        <f>IFERROR(VLOOKUP($A258,Program[],12,0),0)</f>
        <v>0</v>
      </c>
      <c r="AJ258" s="41"/>
      <c r="AK258" s="41">
        <f>IFERROR(VLOOKUP($A258,Program[],13,0),0)</f>
        <v>0</v>
      </c>
      <c r="AL258" s="41"/>
      <c r="AM258" s="41"/>
      <c r="AN258" s="41"/>
      <c r="AO258" s="41"/>
      <c r="AP258" s="41"/>
      <c r="AQ258" s="41"/>
      <c r="AR258" s="41"/>
      <c r="AS258" s="41">
        <f>IFERROR(VLOOKUP($A258,Program[],14,0),0)</f>
        <v>0</v>
      </c>
      <c r="AT258" s="41"/>
      <c r="AU258" s="41"/>
      <c r="AV258" s="41">
        <f>IFERROR(VLOOKUP($A258,Program[],15,0),0)</f>
        <v>0</v>
      </c>
      <c r="AW258" s="41"/>
      <c r="AX258" s="41">
        <f>IFERROR(VLOOKUP($A258,Program[],16,0),0)</f>
        <v>0</v>
      </c>
      <c r="AY258" s="41">
        <f>IFERROR(VLOOKUP($A258,Program[],17,0),0)</f>
        <v>0</v>
      </c>
      <c r="AZ258" s="41">
        <f>IFERROR(VLOOKUP($A258,Program[],18,0),0)</f>
        <v>0</v>
      </c>
      <c r="BA258" s="41">
        <f>IFERROR(VLOOKUP($A258,Program[],19,0),0)</f>
        <v>0</v>
      </c>
      <c r="BB258" s="77">
        <f t="shared" si="59"/>
        <v>29566.770000000019</v>
      </c>
      <c r="BC258" s="41">
        <f>IFERROR(VLOOKUP(A258,Food[],3,0),0)</f>
        <v>155004.16</v>
      </c>
      <c r="BD258" s="41">
        <f>IFERROR(VLOOKUP($A258,FoodRev[],2,0),0)</f>
        <v>-1168.2</v>
      </c>
      <c r="BE258" s="41">
        <f>IFERROR(VLOOKUP($A258,FoodRev[],3,0),0)</f>
        <v>40899.75</v>
      </c>
      <c r="BF258" s="41">
        <f>IFERROR(VLOOKUP($A258,FoodRev[],4,0),0)</f>
        <v>0</v>
      </c>
      <c r="BG258" s="41">
        <f>IFERROR(VLOOKUP($A258,FoodRev[],5,0),0)</f>
        <v>85705.84</v>
      </c>
      <c r="BH258" s="41">
        <f>IFERROR(VLOOKUP($A258,FoodRev[],6,0),0)</f>
        <v>0</v>
      </c>
      <c r="BI258" s="41">
        <f>IFERROR(VLOOKUP($A258,FoodRev[],7,0),0)</f>
        <v>0</v>
      </c>
      <c r="BJ258" s="41">
        <f>IFERROR(VLOOKUP($A258,FoodRev[],8,0),0)</f>
        <v>0</v>
      </c>
      <c r="BK258" s="41">
        <f>IFERROR(VLOOKUP($A258,FoodRev[],9,0),0)</f>
        <v>0</v>
      </c>
      <c r="BL258" s="41">
        <f>IFERROR(VLOOKUP($A258,FoodRev[],10,0),0)</f>
        <v>0</v>
      </c>
      <c r="BM258" s="41">
        <f t="shared" si="60"/>
        <v>125437.39</v>
      </c>
      <c r="BN258" s="42">
        <f t="shared" si="66"/>
        <v>29566.770000000019</v>
      </c>
      <c r="BO258" s="78">
        <f t="shared" ref="BO258:BO288" si="67">IF(BN258&lt;0,0,BN258)</f>
        <v>29566.770000000019</v>
      </c>
      <c r="BP258" s="78">
        <f t="shared" ref="BP258:BP288" si="68">IF(BN258&lt;0,BN258,0)</f>
        <v>0</v>
      </c>
    </row>
    <row r="259" spans="1:68" x14ac:dyDescent="0.25">
      <c r="A259" s="40" t="s">
        <v>578</v>
      </c>
      <c r="B259" s="40" t="s">
        <v>931</v>
      </c>
      <c r="D259" s="203">
        <f t="shared" si="57"/>
        <v>0</v>
      </c>
      <c r="E259" s="41">
        <f>IFERROR(VLOOKUP(A259,Items[],5,0),0)</f>
        <v>1073078.8700000001</v>
      </c>
      <c r="F259" s="42">
        <f t="shared" si="58"/>
        <v>1073078.8700000001</v>
      </c>
      <c r="G259" s="41">
        <v>0</v>
      </c>
      <c r="H259" s="41">
        <f>IFERROR(VLOOKUP(A259,Items[],4,0),0)</f>
        <v>1313192.8600000001</v>
      </c>
      <c r="I259" s="41">
        <f>IFERROR(VLOOKUP(A259,Community[],4,0),0)</f>
        <v>0</v>
      </c>
      <c r="J259" s="41">
        <f>IFERROR(VLOOKUP(A259,Community[],5,0),0)</f>
        <v>0</v>
      </c>
      <c r="K259" s="41">
        <f>IFERROR(VLOOKUP(A259,Community[],6,0),0)</f>
        <v>14754.56</v>
      </c>
      <c r="L259" s="41">
        <f>IFERROR(VLOOKUP(A259,Community[],7,0),0)</f>
        <v>0</v>
      </c>
      <c r="M259" s="41">
        <f>IFERROR(VLOOKUP(A259,Debt[],3,0),0)</f>
        <v>0</v>
      </c>
      <c r="N259" s="41">
        <f>IFERROR(VLOOKUP(A259,Debt[],4,0),0)</f>
        <v>0</v>
      </c>
      <c r="O259" s="41">
        <f>IFERROR(VLOOKUP(A259,Debt[],5,0),0)</f>
        <v>0</v>
      </c>
      <c r="P259" s="41">
        <f>IFERROR(VLOOKUP(A259,Items[],3,0),0)</f>
        <v>57998.35</v>
      </c>
      <c r="Q259" s="41">
        <f>IFERROR(VLOOKUP($A259,Federal[],2,0),0)</f>
        <v>361.76</v>
      </c>
      <c r="R259" s="41">
        <f>IFERROR(VLOOKUP($A259,Federal[],4,0),0)</f>
        <v>164699.38</v>
      </c>
      <c r="S259" s="41"/>
      <c r="T259" s="47">
        <f>IFERROR(VLOOKUP($A259,Program[],3,0),0)</f>
        <v>0</v>
      </c>
      <c r="U259" s="47"/>
      <c r="V259" s="41">
        <f>IFERROR(VLOOKUP($A259,Program[],4,0),0)</f>
        <v>0</v>
      </c>
      <c r="W259" s="41">
        <f>IFERROR(VLOOKUP($A259,Program[],5,0),0)</f>
        <v>0</v>
      </c>
      <c r="X259" s="41"/>
      <c r="Y259" s="41"/>
      <c r="Z259" s="41"/>
      <c r="AA259" s="41">
        <f>IFERROR(VLOOKUP($A259,Program[],6,0),0)</f>
        <v>0</v>
      </c>
      <c r="AB259" s="41"/>
      <c r="AC259" s="41"/>
      <c r="AD259" s="41">
        <f>IFERROR(VLOOKUP($A259,Program[],7,0),0)</f>
        <v>0</v>
      </c>
      <c r="AE259" s="41">
        <f>IFERROR(VLOOKUP($A259,Program[],8,0),0)</f>
        <v>0</v>
      </c>
      <c r="AF259" s="41">
        <f>IFERROR(VLOOKUP($A259,Program[],9,0),0)</f>
        <v>0</v>
      </c>
      <c r="AG259" s="41">
        <f>IFERROR(VLOOKUP($A259,Program[],10,0),0)</f>
        <v>0</v>
      </c>
      <c r="AH259" s="41">
        <f>IFERROR(VLOOKUP($A259,Program[],11,0),0)</f>
        <v>0</v>
      </c>
      <c r="AI259" s="41">
        <f>IFERROR(VLOOKUP($A259,Program[],12,0),0)</f>
        <v>0</v>
      </c>
      <c r="AJ259" s="41"/>
      <c r="AK259" s="41">
        <f>IFERROR(VLOOKUP($A259,Program[],13,0),0)</f>
        <v>0</v>
      </c>
      <c r="AL259" s="41"/>
      <c r="AM259" s="41"/>
      <c r="AN259" s="41"/>
      <c r="AO259" s="41"/>
      <c r="AP259" s="41"/>
      <c r="AQ259" s="41"/>
      <c r="AR259" s="41"/>
      <c r="AS259" s="41">
        <f>IFERROR(VLOOKUP($A259,Program[],14,0),0)</f>
        <v>0</v>
      </c>
      <c r="AT259" s="41"/>
      <c r="AU259" s="41"/>
      <c r="AV259" s="41">
        <f>IFERROR(VLOOKUP($A259,Program[],15,0),0)</f>
        <v>0</v>
      </c>
      <c r="AW259" s="41"/>
      <c r="AX259" s="41">
        <f>IFERROR(VLOOKUP($A259,Program[],16,0),0)</f>
        <v>0</v>
      </c>
      <c r="AY259" s="41">
        <f>IFERROR(VLOOKUP($A259,Program[],17,0),0)</f>
        <v>0</v>
      </c>
      <c r="AZ259" s="41">
        <f>IFERROR(VLOOKUP($A259,Program[],18,0),0)</f>
        <v>0</v>
      </c>
      <c r="BA259" s="41">
        <f>IFERROR(VLOOKUP($A259,Program[],19,0),0)</f>
        <v>0</v>
      </c>
      <c r="BB259" s="77">
        <f t="shared" si="59"/>
        <v>56310.840000000004</v>
      </c>
      <c r="BC259" s="41">
        <f>IFERROR(VLOOKUP(A259,Food[],3,0),0)</f>
        <v>124838.16</v>
      </c>
      <c r="BD259" s="41">
        <f>IFERROR(VLOOKUP($A259,FoodRev[],2,0),0)</f>
        <v>564</v>
      </c>
      <c r="BE259" s="41">
        <f>IFERROR(VLOOKUP($A259,FoodRev[],3,0),0)</f>
        <v>1735.94</v>
      </c>
      <c r="BF259" s="41">
        <f>IFERROR(VLOOKUP($A259,FoodRev[],4,0),0)</f>
        <v>0</v>
      </c>
      <c r="BG259" s="41">
        <f>IFERROR(VLOOKUP($A259,FoodRev[],5,0),0)</f>
        <v>49451.03</v>
      </c>
      <c r="BH259" s="41">
        <f>IFERROR(VLOOKUP($A259,FoodRev[],6,0),0)</f>
        <v>0</v>
      </c>
      <c r="BI259" s="41">
        <f>IFERROR(VLOOKUP($A259,FoodRev[],7,0),0)</f>
        <v>10640.35</v>
      </c>
      <c r="BJ259" s="41">
        <f>IFERROR(VLOOKUP($A259,FoodRev[],8,0),0)</f>
        <v>6136</v>
      </c>
      <c r="BK259" s="41">
        <f>IFERROR(VLOOKUP($A259,FoodRev[],9,0),0)</f>
        <v>0</v>
      </c>
      <c r="BL259" s="41">
        <f>IFERROR(VLOOKUP($A259,FoodRev[],10,0),0)</f>
        <v>0</v>
      </c>
      <c r="BM259" s="41">
        <f t="shared" si="60"/>
        <v>68527.320000000007</v>
      </c>
      <c r="BN259" s="42">
        <f t="shared" si="66"/>
        <v>56310.840000000004</v>
      </c>
      <c r="BO259" s="78">
        <f t="shared" si="67"/>
        <v>56310.840000000004</v>
      </c>
      <c r="BP259" s="78">
        <f t="shared" si="68"/>
        <v>0</v>
      </c>
    </row>
    <row r="260" spans="1:68" x14ac:dyDescent="0.25">
      <c r="A260" s="43" t="s">
        <v>326</v>
      </c>
      <c r="B260" s="40" t="s">
        <v>932</v>
      </c>
      <c r="D260" s="203">
        <f t="shared" si="57"/>
        <v>-1.862645149230957E-9</v>
      </c>
      <c r="E260" s="41">
        <f>IFERROR(VLOOKUP(A260,Items[],5,0),0)</f>
        <v>13104467.09</v>
      </c>
      <c r="F260" s="42">
        <f t="shared" si="58"/>
        <v>13104467.090000002</v>
      </c>
      <c r="G260" s="41">
        <v>0</v>
      </c>
      <c r="H260" s="41">
        <f>IFERROR(VLOOKUP(A260,Items[],4,0),0)</f>
        <v>14552013.07</v>
      </c>
      <c r="I260" s="41">
        <f>IFERROR(VLOOKUP(A260,Community[],4,0),0)</f>
        <v>0</v>
      </c>
      <c r="J260" s="41">
        <f>IFERROR(VLOOKUP(A260,Community[],5,0),0)</f>
        <v>0</v>
      </c>
      <c r="K260" s="41">
        <f>IFERROR(VLOOKUP(A260,Community[],6,0),0)</f>
        <v>0</v>
      </c>
      <c r="L260" s="41">
        <f>IFERROR(VLOOKUP(A260,Community[],7,0),0)</f>
        <v>2558.62</v>
      </c>
      <c r="M260" s="41">
        <f>IFERROR(VLOOKUP(A260,Debt[],3,0),0)</f>
        <v>2352.44</v>
      </c>
      <c r="N260" s="41">
        <f>IFERROR(VLOOKUP(A260,Debt[],4,0),0)</f>
        <v>7583.56</v>
      </c>
      <c r="O260" s="41">
        <f>IFERROR(VLOOKUP(A260,Debt[],5,0),0)</f>
        <v>0</v>
      </c>
      <c r="P260" s="41">
        <f>IFERROR(VLOOKUP(A260,Items[],3,0),0)</f>
        <v>71758.490000000005</v>
      </c>
      <c r="Q260" s="41">
        <f>IFERROR(VLOOKUP($A260,Federal[],2,0),0)</f>
        <v>6465</v>
      </c>
      <c r="R260" s="41">
        <f>IFERROR(VLOOKUP($A260,Federal[],4,0),0)</f>
        <v>1257215.28</v>
      </c>
      <c r="S260" s="41"/>
      <c r="T260" s="47">
        <f>IFERROR(VLOOKUP($A260,Program[],3,0),0)</f>
        <v>0</v>
      </c>
      <c r="U260" s="47"/>
      <c r="V260" s="41">
        <f>IFERROR(VLOOKUP($A260,Program[],4,0),0)</f>
        <v>0</v>
      </c>
      <c r="W260" s="41">
        <f>IFERROR(VLOOKUP($A260,Program[],5,0),0)</f>
        <v>0</v>
      </c>
      <c r="X260" s="41"/>
      <c r="Y260" s="41"/>
      <c r="Z260" s="41"/>
      <c r="AA260" s="41">
        <f>IFERROR(VLOOKUP($A260,Program[],6,0),0)</f>
        <v>0</v>
      </c>
      <c r="AB260" s="41"/>
      <c r="AC260" s="41"/>
      <c r="AD260" s="41">
        <f>IFERROR(VLOOKUP($A260,Program[],7,0),0)</f>
        <v>0</v>
      </c>
      <c r="AE260" s="41">
        <f>IFERROR(VLOOKUP($A260,Program[],8,0),0)</f>
        <v>0</v>
      </c>
      <c r="AF260" s="41">
        <f>IFERROR(VLOOKUP($A260,Program[],9,0),0)</f>
        <v>0</v>
      </c>
      <c r="AG260" s="41">
        <f>IFERROR(VLOOKUP($A260,Program[],10,0),0)</f>
        <v>0</v>
      </c>
      <c r="AH260" s="41">
        <f>IFERROR(VLOOKUP($A260,Program[],11,0),0)</f>
        <v>0</v>
      </c>
      <c r="AI260" s="41">
        <f>IFERROR(VLOOKUP($A260,Program[],12,0),0)</f>
        <v>0</v>
      </c>
      <c r="AJ260" s="41"/>
      <c r="AK260" s="41">
        <f>IFERROR(VLOOKUP($A260,Program[],13,0),0)</f>
        <v>0</v>
      </c>
      <c r="AL260" s="41"/>
      <c r="AM260" s="41"/>
      <c r="AN260" s="41"/>
      <c r="AO260" s="41"/>
      <c r="AP260" s="41"/>
      <c r="AQ260" s="41"/>
      <c r="AR260" s="41"/>
      <c r="AS260" s="41">
        <f>IFERROR(VLOOKUP($A260,Program[],14,0),0)</f>
        <v>0</v>
      </c>
      <c r="AT260" s="41"/>
      <c r="AU260" s="41"/>
      <c r="AV260" s="41">
        <f>IFERROR(VLOOKUP($A260,Program[],15,0),0)</f>
        <v>0</v>
      </c>
      <c r="AW260" s="41"/>
      <c r="AX260" s="41">
        <f>IFERROR(VLOOKUP($A260,Program[],16,0),0)</f>
        <v>0</v>
      </c>
      <c r="AY260" s="41">
        <f>IFERROR(VLOOKUP($A260,Program[],17,0),0)</f>
        <v>0</v>
      </c>
      <c r="AZ260" s="41">
        <f>IFERROR(VLOOKUP($A260,Program[],18,0),0)</f>
        <v>0</v>
      </c>
      <c r="BA260" s="41">
        <f>IFERROR(VLOOKUP($A260,Program[],19,0),0)</f>
        <v>0</v>
      </c>
      <c r="BB260" s="77">
        <f t="shared" si="59"/>
        <v>57218.519999999982</v>
      </c>
      <c r="BC260" s="41">
        <f>IFERROR(VLOOKUP(A260,Food[],3,0),0)</f>
        <v>583559.12</v>
      </c>
      <c r="BD260" s="41">
        <f>IFERROR(VLOOKUP($A260,FoodRev[],2,0),0)</f>
        <v>1909.76</v>
      </c>
      <c r="BE260" s="41">
        <f>IFERROR(VLOOKUP($A260,FoodRev[],3,0),0)</f>
        <v>93582.83</v>
      </c>
      <c r="BF260" s="41">
        <f>IFERROR(VLOOKUP($A260,FoodRev[],4,0),0)</f>
        <v>4120</v>
      </c>
      <c r="BG260" s="41">
        <f>IFERROR(VLOOKUP($A260,FoodRev[],5,0),0)</f>
        <v>393450.62</v>
      </c>
      <c r="BH260" s="41">
        <f>IFERROR(VLOOKUP($A260,FoodRev[],6,0),0)</f>
        <v>12279.96</v>
      </c>
      <c r="BI260" s="41">
        <f>IFERROR(VLOOKUP($A260,FoodRev[],7,0),0)</f>
        <v>0</v>
      </c>
      <c r="BJ260" s="41">
        <f>IFERROR(VLOOKUP($A260,FoodRev[],8,0),0)</f>
        <v>20997.43</v>
      </c>
      <c r="BK260" s="41">
        <f>IFERROR(VLOOKUP($A260,FoodRev[],9,0),0)</f>
        <v>0</v>
      </c>
      <c r="BL260" s="41">
        <f>IFERROR(VLOOKUP($A260,FoodRev[],10,0),0)</f>
        <v>0</v>
      </c>
      <c r="BM260" s="41">
        <f t="shared" si="60"/>
        <v>526340.6</v>
      </c>
      <c r="BN260" s="42">
        <f t="shared" si="66"/>
        <v>57218.519999999982</v>
      </c>
      <c r="BO260" s="78">
        <f t="shared" si="67"/>
        <v>57218.519999999982</v>
      </c>
      <c r="BP260" s="78">
        <f t="shared" si="68"/>
        <v>0</v>
      </c>
    </row>
    <row r="261" spans="1:68" x14ac:dyDescent="0.25">
      <c r="A261" s="40" t="s">
        <v>404</v>
      </c>
      <c r="B261" s="40" t="s">
        <v>933</v>
      </c>
      <c r="D261" s="203">
        <f t="shared" si="57"/>
        <v>9.3132257461547852E-10</v>
      </c>
      <c r="E261" s="41">
        <f>IFERROR(VLOOKUP(A261,Items[],5,0),0)</f>
        <v>8236621.3300000001</v>
      </c>
      <c r="F261" s="42">
        <f t="shared" si="58"/>
        <v>8236621.3299999991</v>
      </c>
      <c r="G261" s="41">
        <v>0</v>
      </c>
      <c r="H261" s="41">
        <f>IFERROR(VLOOKUP(A261,Items[],4,0),0)</f>
        <v>13469244.91</v>
      </c>
      <c r="I261" s="41">
        <f>IFERROR(VLOOKUP(A261,Community[],4,0),0)</f>
        <v>0</v>
      </c>
      <c r="J261" s="41">
        <f>IFERROR(VLOOKUP(A261,Community[],5,0),0)</f>
        <v>0</v>
      </c>
      <c r="K261" s="41">
        <f>IFERROR(VLOOKUP(A261,Community[],6,0),0)</f>
        <v>0</v>
      </c>
      <c r="L261" s="41">
        <f>IFERROR(VLOOKUP(A261,Community[],7,0),0)</f>
        <v>11711.03</v>
      </c>
      <c r="M261" s="41">
        <f>IFERROR(VLOOKUP(A261,Debt[],3,0),0)</f>
        <v>0</v>
      </c>
      <c r="N261" s="41">
        <f>IFERROR(VLOOKUP(A261,Debt[],4,0),0)</f>
        <v>0</v>
      </c>
      <c r="O261" s="41">
        <f>IFERROR(VLOOKUP(A261,Debt[],5,0),0)</f>
        <v>0</v>
      </c>
      <c r="P261" s="41">
        <f>IFERROR(VLOOKUP(A261,Items[],3,0),0)</f>
        <v>2877</v>
      </c>
      <c r="Q261" s="41">
        <f>IFERROR(VLOOKUP($A261,Federal[],2,0),0)</f>
        <v>3820305.54</v>
      </c>
      <c r="R261" s="41">
        <f>IFERROR(VLOOKUP($A261,Federal[],4,0),0)</f>
        <v>1382582.24</v>
      </c>
      <c r="S261" s="41"/>
      <c r="T261" s="47">
        <f>IFERROR(VLOOKUP($A261,Program[],3,0),0)</f>
        <v>0</v>
      </c>
      <c r="U261" s="47"/>
      <c r="V261" s="41">
        <f>IFERROR(VLOOKUP($A261,Program[],4,0),0)</f>
        <v>0</v>
      </c>
      <c r="W261" s="41">
        <f>IFERROR(VLOOKUP($A261,Program[],5,0),0)</f>
        <v>0</v>
      </c>
      <c r="X261" s="41"/>
      <c r="Y261" s="41"/>
      <c r="Z261" s="41"/>
      <c r="AA261" s="41">
        <f>IFERROR(VLOOKUP($A261,Program[],6,0),0)</f>
        <v>0</v>
      </c>
      <c r="AB261" s="41"/>
      <c r="AC261" s="41"/>
      <c r="AD261" s="41">
        <f>IFERROR(VLOOKUP($A261,Program[],7,0),0)</f>
        <v>0</v>
      </c>
      <c r="AE261" s="41">
        <f>IFERROR(VLOOKUP($A261,Program[],8,0),0)</f>
        <v>0</v>
      </c>
      <c r="AF261" s="41">
        <f>IFERROR(VLOOKUP($A261,Program[],9,0),0)</f>
        <v>0</v>
      </c>
      <c r="AG261" s="41">
        <f>IFERROR(VLOOKUP($A261,Program[],10,0),0)</f>
        <v>0</v>
      </c>
      <c r="AH261" s="41">
        <f>IFERROR(VLOOKUP($A261,Program[],11,0),0)</f>
        <v>0</v>
      </c>
      <c r="AI261" s="41">
        <f>IFERROR(VLOOKUP($A261,Program[],12,0),0)</f>
        <v>0</v>
      </c>
      <c r="AJ261" s="41"/>
      <c r="AK261" s="41">
        <f>IFERROR(VLOOKUP($A261,Program[],13,0),0)</f>
        <v>0</v>
      </c>
      <c r="AL261" s="41"/>
      <c r="AM261" s="41"/>
      <c r="AN261" s="41"/>
      <c r="AO261" s="41"/>
      <c r="AP261" s="41"/>
      <c r="AQ261" s="41"/>
      <c r="AR261" s="41"/>
      <c r="AS261" s="41">
        <f>IFERROR(VLOOKUP($A261,Program[],14,0),0)</f>
        <v>0</v>
      </c>
      <c r="AT261" s="41"/>
      <c r="AU261" s="41"/>
      <c r="AV261" s="41">
        <f>IFERROR(VLOOKUP($A261,Program[],15,0),0)</f>
        <v>0</v>
      </c>
      <c r="AW261" s="41"/>
      <c r="AX261" s="41">
        <f>IFERROR(VLOOKUP($A261,Program[],16,0),0)</f>
        <v>0</v>
      </c>
      <c r="AY261" s="41">
        <f>IFERROR(VLOOKUP($A261,Program[],17,0),0)</f>
        <v>0</v>
      </c>
      <c r="AZ261" s="41">
        <f>IFERROR(VLOOKUP($A261,Program[],18,0),0)</f>
        <v>0</v>
      </c>
      <c r="BA261" s="41">
        <f>IFERROR(VLOOKUP($A261,Program[],19,0),0)</f>
        <v>0</v>
      </c>
      <c r="BB261" s="77">
        <f t="shared" si="59"/>
        <v>156190.61000000007</v>
      </c>
      <c r="BC261" s="41">
        <f>IFERROR(VLOOKUP(A261,Food[],3,0),0)</f>
        <v>424724.52</v>
      </c>
      <c r="BD261" s="41">
        <f>IFERROR(VLOOKUP($A261,FoodRev[],2,0),0)</f>
        <v>9012.35</v>
      </c>
      <c r="BE261" s="41">
        <f>IFERROR(VLOOKUP($A261,FoodRev[],3,0),0)</f>
        <v>6135.42</v>
      </c>
      <c r="BF261" s="41">
        <f>IFERROR(VLOOKUP($A261,FoodRev[],4,0),0)</f>
        <v>0</v>
      </c>
      <c r="BG261" s="41">
        <f>IFERROR(VLOOKUP($A261,FoodRev[],5,0),0)</f>
        <v>232018.96</v>
      </c>
      <c r="BH261" s="41">
        <f>IFERROR(VLOOKUP($A261,FoodRev[],6,0),0)</f>
        <v>0</v>
      </c>
      <c r="BI261" s="41">
        <f>IFERROR(VLOOKUP($A261,FoodRev[],7,0),0)</f>
        <v>0</v>
      </c>
      <c r="BJ261" s="41">
        <f>IFERROR(VLOOKUP($A261,FoodRev[],8,0),0)</f>
        <v>21367.18</v>
      </c>
      <c r="BK261" s="41">
        <f>IFERROR(VLOOKUP($A261,FoodRev[],9,0),0)</f>
        <v>0</v>
      </c>
      <c r="BL261" s="41">
        <f>IFERROR(VLOOKUP($A261,FoodRev[],10,0),0)</f>
        <v>0</v>
      </c>
      <c r="BM261" s="41">
        <f t="shared" si="60"/>
        <v>268533.90999999997</v>
      </c>
      <c r="BN261" s="42">
        <f t="shared" si="66"/>
        <v>156190.61000000007</v>
      </c>
      <c r="BO261" s="78">
        <f t="shared" si="67"/>
        <v>156190.61000000007</v>
      </c>
      <c r="BP261" s="78">
        <f t="shared" si="68"/>
        <v>0</v>
      </c>
    </row>
    <row r="262" spans="1:68" x14ac:dyDescent="0.25">
      <c r="A262" s="40" t="s">
        <v>338</v>
      </c>
      <c r="B262" s="40" t="s">
        <v>934</v>
      </c>
      <c r="D262" s="203">
        <f t="shared" si="57"/>
        <v>3.7252902984619141E-9</v>
      </c>
      <c r="E262" s="41">
        <f>IFERROR(VLOOKUP(A262,Items[],5,0),0)</f>
        <v>15755219.859999999</v>
      </c>
      <c r="F262" s="42">
        <f t="shared" si="58"/>
        <v>15755219.859999996</v>
      </c>
      <c r="G262" s="41">
        <v>0</v>
      </c>
      <c r="H262" s="41">
        <f>IFERROR(VLOOKUP(A262,Items[],4,0),0)</f>
        <v>17982420.25</v>
      </c>
      <c r="I262" s="41">
        <f>IFERROR(VLOOKUP(A262,Community[],4,0),0)</f>
        <v>0</v>
      </c>
      <c r="J262" s="41">
        <f>IFERROR(VLOOKUP(A262,Community[],5,0),0)</f>
        <v>0</v>
      </c>
      <c r="K262" s="41">
        <f>IFERROR(VLOOKUP(A262,Community[],6,0),0)</f>
        <v>894061.52999999991</v>
      </c>
      <c r="L262" s="41">
        <f>IFERROR(VLOOKUP(A262,Community[],7,0),0)</f>
        <v>212436.66999999998</v>
      </c>
      <c r="M262" s="41">
        <f>IFERROR(VLOOKUP(A262,Debt[],3,0),0)</f>
        <v>0</v>
      </c>
      <c r="N262" s="41">
        <f>IFERROR(VLOOKUP(A262,Debt[],4,0),0)</f>
        <v>0</v>
      </c>
      <c r="O262" s="41">
        <f>IFERROR(VLOOKUP(A262,Debt[],5,0),0)</f>
        <v>0</v>
      </c>
      <c r="P262" s="41">
        <f>IFERROR(VLOOKUP(A262,Items[],3,0),0)</f>
        <v>403112.99</v>
      </c>
      <c r="Q262" s="41">
        <f>IFERROR(VLOOKUP($A262,Federal[],2,0),0)</f>
        <v>2263.08</v>
      </c>
      <c r="R262" s="41">
        <f>IFERROR(VLOOKUP($A262,Federal[],4,0),0)</f>
        <v>691490.85</v>
      </c>
      <c r="S262" s="41"/>
      <c r="T262" s="47">
        <f>IFERROR(VLOOKUP($A262,Program[],3,0),0)</f>
        <v>0</v>
      </c>
      <c r="U262" s="47"/>
      <c r="V262" s="41">
        <f>IFERROR(VLOOKUP($A262,Program[],4,0),0)</f>
        <v>0</v>
      </c>
      <c r="W262" s="41">
        <f>IFERROR(VLOOKUP($A262,Program[],5,0),0)</f>
        <v>0</v>
      </c>
      <c r="X262" s="41"/>
      <c r="Y262" s="41"/>
      <c r="Z262" s="41"/>
      <c r="AA262" s="41">
        <f>IFERROR(VLOOKUP($A262,Program[],6,0),0)</f>
        <v>0</v>
      </c>
      <c r="AB262" s="41"/>
      <c r="AC262" s="41"/>
      <c r="AD262" s="41">
        <f>IFERROR(VLOOKUP($A262,Program[],7,0),0)</f>
        <v>0</v>
      </c>
      <c r="AE262" s="41">
        <f>IFERROR(VLOOKUP($A262,Program[],8,0),0)</f>
        <v>0</v>
      </c>
      <c r="AF262" s="41">
        <f>IFERROR(VLOOKUP($A262,Program[],9,0),0)</f>
        <v>0</v>
      </c>
      <c r="AG262" s="41">
        <f>IFERROR(VLOOKUP($A262,Program[],10,0),0)</f>
        <v>0</v>
      </c>
      <c r="AH262" s="41">
        <f>IFERROR(VLOOKUP($A262,Program[],11,0),0)</f>
        <v>0</v>
      </c>
      <c r="AI262" s="41">
        <f>IFERROR(VLOOKUP($A262,Program[],12,0),0)</f>
        <v>0</v>
      </c>
      <c r="AJ262" s="41"/>
      <c r="AK262" s="41">
        <f>IFERROR(VLOOKUP($A262,Program[],13,0),0)</f>
        <v>0</v>
      </c>
      <c r="AL262" s="41"/>
      <c r="AM262" s="41"/>
      <c r="AN262" s="41"/>
      <c r="AO262" s="41"/>
      <c r="AP262" s="41"/>
      <c r="AQ262" s="41"/>
      <c r="AR262" s="41"/>
      <c r="AS262" s="41">
        <f>IFERROR(VLOOKUP($A262,Program[],14,0),0)</f>
        <v>0</v>
      </c>
      <c r="AT262" s="41"/>
      <c r="AU262" s="41"/>
      <c r="AV262" s="41">
        <f>IFERROR(VLOOKUP($A262,Program[],15,0),0)</f>
        <v>0</v>
      </c>
      <c r="AW262" s="41"/>
      <c r="AX262" s="41">
        <f>IFERROR(VLOOKUP($A262,Program[],16,0),0)</f>
        <v>0</v>
      </c>
      <c r="AY262" s="41">
        <f>IFERROR(VLOOKUP($A262,Program[],17,0),0)</f>
        <v>0</v>
      </c>
      <c r="AZ262" s="41">
        <f>IFERROR(VLOOKUP($A262,Program[],18,0),0)</f>
        <v>0</v>
      </c>
      <c r="BA262" s="41">
        <f>IFERROR(VLOOKUP($A262,Program[],19,0),0)</f>
        <v>0</v>
      </c>
      <c r="BB262" s="77">
        <f t="shared" si="59"/>
        <v>211286.44999999998</v>
      </c>
      <c r="BC262" s="41">
        <f>IFERROR(VLOOKUP(A262,Food[],3,0),0)</f>
        <v>496326.76</v>
      </c>
      <c r="BD262" s="41">
        <f>IFERROR(VLOOKUP($A262,FoodRev[],2,0),0)</f>
        <v>2178.6999999999998</v>
      </c>
      <c r="BE262" s="41">
        <f>IFERROR(VLOOKUP($A262,FoodRev[],3,0),0)</f>
        <v>21656.57</v>
      </c>
      <c r="BF262" s="41">
        <f>IFERROR(VLOOKUP($A262,FoodRev[],4,0),0)</f>
        <v>0</v>
      </c>
      <c r="BG262" s="41">
        <f>IFERROR(VLOOKUP($A262,FoodRev[],5,0),0)</f>
        <v>226778.62</v>
      </c>
      <c r="BH262" s="41">
        <f>IFERROR(VLOOKUP($A262,FoodRev[],6,0),0)</f>
        <v>0</v>
      </c>
      <c r="BI262" s="41">
        <f>IFERROR(VLOOKUP($A262,FoodRev[],7,0),0)</f>
        <v>23298.35</v>
      </c>
      <c r="BJ262" s="41">
        <f>IFERROR(VLOOKUP($A262,FoodRev[],8,0),0)</f>
        <v>11128.07</v>
      </c>
      <c r="BK262" s="41">
        <f>IFERROR(VLOOKUP($A262,FoodRev[],9,0),0)</f>
        <v>0</v>
      </c>
      <c r="BL262" s="41">
        <f>IFERROR(VLOOKUP($A262,FoodRev[],10,0),0)</f>
        <v>0</v>
      </c>
      <c r="BM262" s="41">
        <f t="shared" si="60"/>
        <v>285040.31</v>
      </c>
      <c r="BN262" s="42">
        <f t="shared" si="66"/>
        <v>211286.44999999998</v>
      </c>
      <c r="BO262" s="78">
        <f t="shared" si="67"/>
        <v>211286.44999999998</v>
      </c>
      <c r="BP262" s="78">
        <f t="shared" si="68"/>
        <v>0</v>
      </c>
    </row>
    <row r="263" spans="1:68" x14ac:dyDescent="0.25">
      <c r="A263" s="40" t="s">
        <v>230</v>
      </c>
      <c r="B263" s="40" t="s">
        <v>935</v>
      </c>
      <c r="D263" s="203">
        <f t="shared" ref="D263:D326" si="69">SUM(E263-F263)</f>
        <v>-3.7252902984619141E-9</v>
      </c>
      <c r="E263" s="41">
        <f>IFERROR(VLOOKUP(A263,Items[],5,0),0)</f>
        <v>28293698.43</v>
      </c>
      <c r="F263" s="42">
        <f t="shared" si="58"/>
        <v>28293698.430000003</v>
      </c>
      <c r="G263" s="41">
        <v>0</v>
      </c>
      <c r="H263" s="41">
        <f>IFERROR(VLOOKUP(A263,Items[],4,0),0)</f>
        <v>30896999.690000001</v>
      </c>
      <c r="I263" s="41">
        <f>IFERROR(VLOOKUP(A263,Community[],4,0),0)</f>
        <v>0</v>
      </c>
      <c r="J263" s="41">
        <f>IFERROR(VLOOKUP(A263,Community[],5,0),0)</f>
        <v>0</v>
      </c>
      <c r="K263" s="41">
        <f>IFERROR(VLOOKUP(A263,Community[],6,0),0)</f>
        <v>0</v>
      </c>
      <c r="L263" s="41">
        <f>IFERROR(VLOOKUP(A263,Community[],7,0),0)</f>
        <v>0</v>
      </c>
      <c r="M263" s="41">
        <f>IFERROR(VLOOKUP(A263,Debt[],3,0),0)</f>
        <v>2191.58</v>
      </c>
      <c r="N263" s="41">
        <f>IFERROR(VLOOKUP(A263,Debt[],4,0),0)</f>
        <v>44252.39</v>
      </c>
      <c r="O263" s="41">
        <f>IFERROR(VLOOKUP(A263,Debt[],5,0),0)</f>
        <v>0</v>
      </c>
      <c r="P263" s="41">
        <f>IFERROR(VLOOKUP(A263,Items[],3,0),0)</f>
        <v>34073.49</v>
      </c>
      <c r="Q263" s="41">
        <f>IFERROR(VLOOKUP($A263,Federal[],2,0),0)</f>
        <v>14466.86</v>
      </c>
      <c r="R263" s="41">
        <f>IFERROR(VLOOKUP($A263,Federal[],4,0),0)</f>
        <v>2239547.2200000002</v>
      </c>
      <c r="S263" s="41"/>
      <c r="T263" s="47">
        <f>IFERROR(VLOOKUP($A263,Program[],3,0),0)</f>
        <v>0</v>
      </c>
      <c r="U263" s="47"/>
      <c r="V263" s="41">
        <f>IFERROR(VLOOKUP($A263,Program[],4,0),0)</f>
        <v>0</v>
      </c>
      <c r="W263" s="41">
        <f>IFERROR(VLOOKUP($A263,Program[],5,0),0)</f>
        <v>0</v>
      </c>
      <c r="X263" s="41"/>
      <c r="Y263" s="41"/>
      <c r="Z263" s="41"/>
      <c r="AA263" s="41">
        <f>IFERROR(VLOOKUP($A263,Program[],6,0),0)</f>
        <v>0</v>
      </c>
      <c r="AB263" s="41"/>
      <c r="AC263" s="41"/>
      <c r="AD263" s="41">
        <f>IFERROR(VLOOKUP($A263,Program[],7,0),0)</f>
        <v>0</v>
      </c>
      <c r="AE263" s="41">
        <f>IFERROR(VLOOKUP($A263,Program[],8,0),0)</f>
        <v>0</v>
      </c>
      <c r="AF263" s="41">
        <f>IFERROR(VLOOKUP($A263,Program[],9,0),0)</f>
        <v>0</v>
      </c>
      <c r="AG263" s="41">
        <f>IFERROR(VLOOKUP($A263,Program[],10,0),0)</f>
        <v>0</v>
      </c>
      <c r="AH263" s="41">
        <f>IFERROR(VLOOKUP($A263,Program[],11,0),0)</f>
        <v>0</v>
      </c>
      <c r="AI263" s="41">
        <f>IFERROR(VLOOKUP($A263,Program[],12,0),0)</f>
        <v>0</v>
      </c>
      <c r="AJ263" s="41"/>
      <c r="AK263" s="41">
        <f>IFERROR(VLOOKUP($A263,Program[],13,0),0)</f>
        <v>0</v>
      </c>
      <c r="AL263" s="41"/>
      <c r="AM263" s="41"/>
      <c r="AN263" s="41"/>
      <c r="AO263" s="41"/>
      <c r="AP263" s="41"/>
      <c r="AQ263" s="41"/>
      <c r="AR263" s="41"/>
      <c r="AS263" s="41">
        <f>IFERROR(VLOOKUP($A263,Program[],14,0),0)</f>
        <v>0</v>
      </c>
      <c r="AT263" s="41"/>
      <c r="AU263" s="41"/>
      <c r="AV263" s="41">
        <f>IFERROR(VLOOKUP($A263,Program[],15,0),0)</f>
        <v>0</v>
      </c>
      <c r="AW263" s="41"/>
      <c r="AX263" s="41">
        <f>IFERROR(VLOOKUP($A263,Program[],16,0),0)</f>
        <v>0</v>
      </c>
      <c r="AY263" s="41">
        <f>IFERROR(VLOOKUP($A263,Program[],17,0),0)</f>
        <v>0</v>
      </c>
      <c r="AZ263" s="41">
        <f>IFERROR(VLOOKUP($A263,Program[],18,0),0)</f>
        <v>0</v>
      </c>
      <c r="BA263" s="41">
        <f>IFERROR(VLOOKUP($A263,Program[],19,0),0)</f>
        <v>0</v>
      </c>
      <c r="BB263" s="77">
        <f t="shared" si="59"/>
        <v>236518.02999999997</v>
      </c>
      <c r="BC263" s="41">
        <f>IFERROR(VLOOKUP(A263,Food[],3,0),0)</f>
        <v>1319793.96</v>
      </c>
      <c r="BD263" s="41">
        <f>IFERROR(VLOOKUP($A263,FoodRev[],2,0),0)</f>
        <v>200.5</v>
      </c>
      <c r="BE263" s="41">
        <f>IFERROR(VLOOKUP($A263,FoodRev[],3,0),0)</f>
        <v>268569.21999999997</v>
      </c>
      <c r="BF263" s="41">
        <f>IFERROR(VLOOKUP($A263,FoodRev[],4,0),0)</f>
        <v>0</v>
      </c>
      <c r="BG263" s="41">
        <f>IFERROR(VLOOKUP($A263,FoodRev[],5,0),0)</f>
        <v>726430.13</v>
      </c>
      <c r="BH263" s="41">
        <f>IFERROR(VLOOKUP($A263,FoodRev[],6,0),0)</f>
        <v>0</v>
      </c>
      <c r="BI263" s="41">
        <f>IFERROR(VLOOKUP($A263,FoodRev[],7,0),0)</f>
        <v>4120</v>
      </c>
      <c r="BJ263" s="41">
        <f>IFERROR(VLOOKUP($A263,FoodRev[],8,0),0)</f>
        <v>83956.08</v>
      </c>
      <c r="BK263" s="41">
        <f>IFERROR(VLOOKUP($A263,FoodRev[],9,0),0)</f>
        <v>0</v>
      </c>
      <c r="BL263" s="41">
        <f>IFERROR(VLOOKUP($A263,FoodRev[],10,0),0)</f>
        <v>0</v>
      </c>
      <c r="BM263" s="41">
        <f t="shared" si="60"/>
        <v>1083275.93</v>
      </c>
      <c r="BN263" s="42">
        <f t="shared" si="66"/>
        <v>236518.02999999997</v>
      </c>
      <c r="BO263" s="78">
        <f t="shared" si="67"/>
        <v>236518.02999999997</v>
      </c>
      <c r="BP263" s="78">
        <f t="shared" si="68"/>
        <v>0</v>
      </c>
    </row>
    <row r="264" spans="1:68" x14ac:dyDescent="0.25">
      <c r="A264" s="40" t="s">
        <v>474</v>
      </c>
      <c r="B264" s="40" t="s">
        <v>936</v>
      </c>
      <c r="D264" s="203">
        <f t="shared" si="69"/>
        <v>0</v>
      </c>
      <c r="E264" s="41">
        <f>IFERROR(VLOOKUP(A264,Items[],5,0),0)</f>
        <v>3205460.97</v>
      </c>
      <c r="F264" s="42">
        <f t="shared" si="58"/>
        <v>3205460.97</v>
      </c>
      <c r="G264" s="41">
        <v>0</v>
      </c>
      <c r="H264" s="41">
        <f>IFERROR(VLOOKUP(A264,Items[],4,0),0)</f>
        <v>3564788.1</v>
      </c>
      <c r="I264" s="41">
        <f>IFERROR(VLOOKUP(A264,Community[],4,0),0)</f>
        <v>0</v>
      </c>
      <c r="J264" s="41">
        <f>IFERROR(VLOOKUP(A264,Community[],5,0),0)</f>
        <v>0</v>
      </c>
      <c r="K264" s="41">
        <f>IFERROR(VLOOKUP(A264,Community[],6,0),0)</f>
        <v>0</v>
      </c>
      <c r="L264" s="41">
        <f>IFERROR(VLOOKUP(A264,Community[],7,0),0)</f>
        <v>0</v>
      </c>
      <c r="M264" s="41">
        <f>IFERROR(VLOOKUP(A264,Debt[],3,0),0)</f>
        <v>0</v>
      </c>
      <c r="N264" s="41">
        <f>IFERROR(VLOOKUP(A264,Debt[],4,0),0)</f>
        <v>0</v>
      </c>
      <c r="O264" s="41">
        <f>IFERROR(VLOOKUP(A264,Debt[],5,0),0)</f>
        <v>0</v>
      </c>
      <c r="P264" s="41">
        <f>IFERROR(VLOOKUP(A264,Items[],3,0),0)</f>
        <v>-6727.51</v>
      </c>
      <c r="Q264" s="41">
        <f>IFERROR(VLOOKUP($A264,Federal[],2,0),0)</f>
        <v>1153.3399999999999</v>
      </c>
      <c r="R264" s="41">
        <f>IFERROR(VLOOKUP($A264,Federal[],4,0),0)</f>
        <v>356505.67</v>
      </c>
      <c r="S264" s="41"/>
      <c r="T264" s="47">
        <f>IFERROR(VLOOKUP($A264,Program[],3,0),0)</f>
        <v>0</v>
      </c>
      <c r="U264" s="47"/>
      <c r="V264" s="41">
        <f>IFERROR(VLOOKUP($A264,Program[],4,0),0)</f>
        <v>0</v>
      </c>
      <c r="W264" s="41">
        <f>IFERROR(VLOOKUP($A264,Program[],5,0),0)</f>
        <v>0</v>
      </c>
      <c r="X264" s="41"/>
      <c r="Y264" s="41"/>
      <c r="Z264" s="41"/>
      <c r="AA264" s="41">
        <f>IFERROR(VLOOKUP($A264,Program[],6,0),0)</f>
        <v>0</v>
      </c>
      <c r="AB264" s="41"/>
      <c r="AC264" s="41"/>
      <c r="AD264" s="41">
        <f>IFERROR(VLOOKUP($A264,Program[],7,0),0)</f>
        <v>0</v>
      </c>
      <c r="AE264" s="41">
        <f>IFERROR(VLOOKUP($A264,Program[],8,0),0)</f>
        <v>0</v>
      </c>
      <c r="AF264" s="41">
        <f>IFERROR(VLOOKUP($A264,Program[],9,0),0)</f>
        <v>0</v>
      </c>
      <c r="AG264" s="41">
        <f>IFERROR(VLOOKUP($A264,Program[],10,0),0)</f>
        <v>0</v>
      </c>
      <c r="AH264" s="41">
        <f>IFERROR(VLOOKUP($A264,Program[],11,0),0)</f>
        <v>0</v>
      </c>
      <c r="AI264" s="41">
        <f>IFERROR(VLOOKUP($A264,Program[],12,0),0)</f>
        <v>0</v>
      </c>
      <c r="AJ264" s="41"/>
      <c r="AK264" s="41">
        <f>IFERROR(VLOOKUP($A264,Program[],13,0),0)</f>
        <v>0</v>
      </c>
      <c r="AL264" s="41"/>
      <c r="AM264" s="41"/>
      <c r="AN264" s="41"/>
      <c r="AO264" s="41"/>
      <c r="AP264" s="41"/>
      <c r="AQ264" s="41"/>
      <c r="AR264" s="41"/>
      <c r="AS264" s="41">
        <f>IFERROR(VLOOKUP($A264,Program[],14,0),0)</f>
        <v>0</v>
      </c>
      <c r="AT264" s="41"/>
      <c r="AU264" s="41"/>
      <c r="AV264" s="41">
        <f>IFERROR(VLOOKUP($A264,Program[],15,0),0)</f>
        <v>0</v>
      </c>
      <c r="AW264" s="41"/>
      <c r="AX264" s="41">
        <f>IFERROR(VLOOKUP($A264,Program[],16,0),0)</f>
        <v>0</v>
      </c>
      <c r="AY264" s="41">
        <f>IFERROR(VLOOKUP($A264,Program[],17,0),0)</f>
        <v>0</v>
      </c>
      <c r="AZ264" s="41">
        <f>IFERROR(VLOOKUP($A264,Program[],18,0),0)</f>
        <v>0</v>
      </c>
      <c r="BA264" s="41">
        <f>IFERROR(VLOOKUP($A264,Program[],19,0),0)</f>
        <v>7766.91</v>
      </c>
      <c r="BB264" s="77">
        <f t="shared" si="59"/>
        <v>124532.05000000005</v>
      </c>
      <c r="BC264" s="41">
        <f>IFERROR(VLOOKUP(A264,Food[],3,0),0)</f>
        <v>263436.71000000002</v>
      </c>
      <c r="BD264" s="41">
        <f>IFERROR(VLOOKUP($A264,FoodRev[],2,0),0)</f>
        <v>855.42</v>
      </c>
      <c r="BE264" s="41">
        <f>IFERROR(VLOOKUP($A264,FoodRev[],3,0),0)</f>
        <v>15307.12</v>
      </c>
      <c r="BF264" s="41">
        <f>IFERROR(VLOOKUP($A264,FoodRev[],4,0),0)</f>
        <v>0</v>
      </c>
      <c r="BG264" s="41">
        <f>IFERROR(VLOOKUP($A264,FoodRev[],5,0),0)</f>
        <v>114307.05</v>
      </c>
      <c r="BH264" s="41">
        <f>IFERROR(VLOOKUP($A264,FoodRev[],6,0),0)</f>
        <v>0</v>
      </c>
      <c r="BI264" s="41">
        <f>IFERROR(VLOOKUP($A264,FoodRev[],7,0),0)</f>
        <v>0</v>
      </c>
      <c r="BJ264" s="41">
        <f>IFERROR(VLOOKUP($A264,FoodRev[],8,0),0)</f>
        <v>8435.07</v>
      </c>
      <c r="BK264" s="41">
        <f>IFERROR(VLOOKUP($A264,FoodRev[],9,0),0)</f>
        <v>0</v>
      </c>
      <c r="BL264" s="41">
        <f>IFERROR(VLOOKUP($A264,FoodRev[],10,0),0)</f>
        <v>0</v>
      </c>
      <c r="BM264" s="41">
        <f t="shared" si="60"/>
        <v>138904.66</v>
      </c>
      <c r="BN264" s="42">
        <f t="shared" si="66"/>
        <v>124532.05000000005</v>
      </c>
      <c r="BO264" s="78">
        <f t="shared" si="67"/>
        <v>124532.05000000005</v>
      </c>
      <c r="BP264" s="78">
        <f t="shared" si="68"/>
        <v>0</v>
      </c>
    </row>
    <row r="265" spans="1:68" x14ac:dyDescent="0.25">
      <c r="A265" s="40" t="s">
        <v>554</v>
      </c>
      <c r="B265" s="40" t="s">
        <v>937</v>
      </c>
      <c r="D265" s="203">
        <f t="shared" si="69"/>
        <v>0</v>
      </c>
      <c r="E265" s="41">
        <f>IFERROR(VLOOKUP(A265,Items[],5,0),0)</f>
        <v>1322337.71</v>
      </c>
      <c r="F265" s="42">
        <f t="shared" si="58"/>
        <v>1322337.71</v>
      </c>
      <c r="G265" s="41">
        <v>0</v>
      </c>
      <c r="H265" s="41">
        <f>IFERROR(VLOOKUP(A265,Items[],4,0),0)</f>
        <v>1525777.48</v>
      </c>
      <c r="I265" s="41">
        <f>IFERROR(VLOOKUP(A265,Community[],4,0),0)</f>
        <v>0</v>
      </c>
      <c r="J265" s="41">
        <f>IFERROR(VLOOKUP(A265,Community[],5,0),0)</f>
        <v>0</v>
      </c>
      <c r="K265" s="41">
        <f>IFERROR(VLOOKUP(A265,Community[],6,0),0)</f>
        <v>0</v>
      </c>
      <c r="L265" s="41">
        <f>IFERROR(VLOOKUP(A265,Community[],7,0),0)</f>
        <v>0</v>
      </c>
      <c r="M265" s="41">
        <f>IFERROR(VLOOKUP(A265,Debt[],3,0),0)</f>
        <v>0</v>
      </c>
      <c r="N265" s="41">
        <f>IFERROR(VLOOKUP(A265,Debt[],4,0),0)</f>
        <v>0</v>
      </c>
      <c r="O265" s="41">
        <f>IFERROR(VLOOKUP(A265,Debt[],5,0),0)</f>
        <v>0</v>
      </c>
      <c r="P265" s="41">
        <f>IFERROR(VLOOKUP(A265,Items[],3,0),0)</f>
        <v>-24810.38</v>
      </c>
      <c r="Q265" s="41">
        <f>IFERROR(VLOOKUP($A265,Federal[],2,0),0)</f>
        <v>855.16</v>
      </c>
      <c r="R265" s="41">
        <f>IFERROR(VLOOKUP($A265,Federal[],4,0),0)</f>
        <v>223226.63</v>
      </c>
      <c r="S265" s="41"/>
      <c r="T265" s="47">
        <f>IFERROR(VLOOKUP($A265,Program[],3,0),0)</f>
        <v>0</v>
      </c>
      <c r="U265" s="47"/>
      <c r="V265" s="41">
        <f>IFERROR(VLOOKUP($A265,Program[],4,0),0)</f>
        <v>0</v>
      </c>
      <c r="W265" s="41">
        <f>IFERROR(VLOOKUP($A265,Program[],5,0),0)</f>
        <v>0</v>
      </c>
      <c r="X265" s="41"/>
      <c r="Y265" s="41"/>
      <c r="Z265" s="41"/>
      <c r="AA265" s="41">
        <f>IFERROR(VLOOKUP($A265,Program[],6,0),0)</f>
        <v>0</v>
      </c>
      <c r="AB265" s="41"/>
      <c r="AC265" s="41"/>
      <c r="AD265" s="41">
        <f>IFERROR(VLOOKUP($A265,Program[],7,0),0)</f>
        <v>0</v>
      </c>
      <c r="AE265" s="41">
        <f>IFERROR(VLOOKUP($A265,Program[],8,0),0)</f>
        <v>0</v>
      </c>
      <c r="AF265" s="41">
        <f>IFERROR(VLOOKUP($A265,Program[],9,0),0)</f>
        <v>0</v>
      </c>
      <c r="AG265" s="41">
        <f>IFERROR(VLOOKUP($A265,Program[],10,0),0)</f>
        <v>0</v>
      </c>
      <c r="AH265" s="41">
        <f>IFERROR(VLOOKUP($A265,Program[],11,0),0)</f>
        <v>0</v>
      </c>
      <c r="AI265" s="41">
        <f>IFERROR(VLOOKUP($A265,Program[],12,0),0)</f>
        <v>0</v>
      </c>
      <c r="AJ265" s="41"/>
      <c r="AK265" s="41">
        <f>IFERROR(VLOOKUP($A265,Program[],13,0),0)</f>
        <v>0</v>
      </c>
      <c r="AL265" s="41"/>
      <c r="AM265" s="41"/>
      <c r="AN265" s="41"/>
      <c r="AO265" s="41"/>
      <c r="AP265" s="41"/>
      <c r="AQ265" s="41"/>
      <c r="AR265" s="41"/>
      <c r="AS265" s="41">
        <f>IFERROR(VLOOKUP($A265,Program[],14,0),0)</f>
        <v>0</v>
      </c>
      <c r="AT265" s="41"/>
      <c r="AU265" s="41"/>
      <c r="AV265" s="41">
        <f>IFERROR(VLOOKUP($A265,Program[],15,0),0)</f>
        <v>0</v>
      </c>
      <c r="AW265" s="41"/>
      <c r="AX265" s="41">
        <f>IFERROR(VLOOKUP($A265,Program[],16,0),0)</f>
        <v>0</v>
      </c>
      <c r="AY265" s="41">
        <f>IFERROR(VLOOKUP($A265,Program[],17,0),0)</f>
        <v>0</v>
      </c>
      <c r="AZ265" s="41">
        <f>IFERROR(VLOOKUP($A265,Program[],18,0),0)</f>
        <v>0</v>
      </c>
      <c r="BA265" s="41">
        <f>IFERROR(VLOOKUP($A265,Program[],19,0),0)</f>
        <v>0</v>
      </c>
      <c r="BB265" s="77">
        <f t="shared" si="59"/>
        <v>0</v>
      </c>
      <c r="BC265" s="41">
        <f>IFERROR(VLOOKUP(A265,Food[],3,0),0)</f>
        <v>128092.72</v>
      </c>
      <c r="BD265" s="41">
        <f>IFERROR(VLOOKUP($A265,FoodRev[],2,0),0)</f>
        <v>0</v>
      </c>
      <c r="BE265" s="41">
        <f>IFERROR(VLOOKUP($A265,FoodRev[],3,0),0)</f>
        <v>6409.5</v>
      </c>
      <c r="BF265" s="41">
        <f>IFERROR(VLOOKUP($A265,FoodRev[],4,0),0)</f>
        <v>0</v>
      </c>
      <c r="BG265" s="41">
        <f>IFERROR(VLOOKUP($A265,FoodRev[],5,0),0)</f>
        <v>117542.11</v>
      </c>
      <c r="BH265" s="41">
        <f>IFERROR(VLOOKUP($A265,FoodRev[],6,0),0)</f>
        <v>0</v>
      </c>
      <c r="BI265" s="41">
        <f>IFERROR(VLOOKUP($A265,FoodRev[],7,0),0)</f>
        <v>0</v>
      </c>
      <c r="BJ265" s="41">
        <f>IFERROR(VLOOKUP($A265,FoodRev[],8,0),0)</f>
        <v>6382.25</v>
      </c>
      <c r="BK265" s="41">
        <f>IFERROR(VLOOKUP($A265,FoodRev[],9,0),0)</f>
        <v>0</v>
      </c>
      <c r="BL265" s="41">
        <f>IFERROR(VLOOKUP($A265,FoodRev[],10,0),0)</f>
        <v>0</v>
      </c>
      <c r="BM265" s="41">
        <f t="shared" si="60"/>
        <v>130333.86</v>
      </c>
      <c r="BN265" s="42">
        <f t="shared" si="66"/>
        <v>-2241.1399999999994</v>
      </c>
      <c r="BO265" s="78">
        <f t="shared" si="67"/>
        <v>0</v>
      </c>
      <c r="BP265" s="78">
        <f t="shared" si="68"/>
        <v>-2241.1399999999994</v>
      </c>
    </row>
    <row r="266" spans="1:68" x14ac:dyDescent="0.25">
      <c r="A266" s="40" t="s">
        <v>590</v>
      </c>
      <c r="B266" s="40" t="s">
        <v>1006</v>
      </c>
      <c r="D266" s="203">
        <f t="shared" si="69"/>
        <v>0</v>
      </c>
      <c r="E266" s="41">
        <f>IFERROR(VLOOKUP(A266,Items[],5,0),0)</f>
        <v>641031.59</v>
      </c>
      <c r="F266" s="42">
        <f t="shared" ref="F266:F326" si="70">H266-I266-J266-K266-L266-M266-N266-O266-P266-Q266-R266-S266+T266+U266+V266+W266+X266+Y266+Z266+AA266+AB266+AC266+AD266+AE266+AF266+AG266+AH266+AI266+AJ266+AK266+AL266+AM266+AN266+AO266+AP266+AQ266+AR266+AS266+AT266+AU266+AV266+AW266+AX266+AY266+AZ266+BA266+BB266-BC266+BG266+BH266+BI266+BJ266+G266</f>
        <v>641031.59</v>
      </c>
      <c r="G266" s="41">
        <v>0</v>
      </c>
      <c r="H266" s="41">
        <f>IFERROR(VLOOKUP(A266,Items[],4,0),0)</f>
        <v>758686.89</v>
      </c>
      <c r="I266" s="41">
        <f>IFERROR(VLOOKUP(A266,Community[],4,0),0)</f>
        <v>0</v>
      </c>
      <c r="J266" s="41">
        <f>IFERROR(VLOOKUP(A266,Community[],5,0),0)</f>
        <v>0</v>
      </c>
      <c r="K266" s="41">
        <f>IFERROR(VLOOKUP(A266,Community[],6,0),0)</f>
        <v>0</v>
      </c>
      <c r="L266" s="41">
        <f>IFERROR(VLOOKUP(A266,Community[],7,0),0)</f>
        <v>0</v>
      </c>
      <c r="M266" s="41">
        <f>IFERROR(VLOOKUP(A266,Debt[],3,0),0)</f>
        <v>0</v>
      </c>
      <c r="N266" s="41">
        <f>IFERROR(VLOOKUP(A266,Debt[],4,0),0)</f>
        <v>0</v>
      </c>
      <c r="O266" s="41">
        <f>IFERROR(VLOOKUP(A266,Debt[],5,0),0)</f>
        <v>0</v>
      </c>
      <c r="P266" s="41">
        <f>IFERROR(VLOOKUP(A266,Items[],3,0),0)</f>
        <v>0</v>
      </c>
      <c r="Q266" s="41">
        <f>IFERROR(VLOOKUP($A266,Federal[],2,0),0)</f>
        <v>358.18</v>
      </c>
      <c r="R266" s="41">
        <f>IFERROR(VLOOKUP($A266,Federal[],4,0),0)</f>
        <v>106612.38</v>
      </c>
      <c r="S266" s="41"/>
      <c r="T266" s="47">
        <f>IFERROR(VLOOKUP($A266,Program[],3,0),0)</f>
        <v>0</v>
      </c>
      <c r="U266" s="47"/>
      <c r="V266" s="41">
        <f>IFERROR(VLOOKUP($A266,Program[],4,0),0)</f>
        <v>0</v>
      </c>
      <c r="W266" s="41">
        <f>IFERROR(VLOOKUP($A266,Program[],5,0),0)</f>
        <v>0</v>
      </c>
      <c r="X266" s="41"/>
      <c r="Y266" s="41"/>
      <c r="Z266" s="41"/>
      <c r="AA266" s="41">
        <f>IFERROR(VLOOKUP($A266,Program[],6,0),0)</f>
        <v>0</v>
      </c>
      <c r="AB266" s="41"/>
      <c r="AC266" s="41"/>
      <c r="AD266" s="41">
        <f>IFERROR(VLOOKUP($A266,Program[],7,0),0)</f>
        <v>0</v>
      </c>
      <c r="AE266" s="41">
        <f>IFERROR(VLOOKUP($A266,Program[],8,0),0)</f>
        <v>0</v>
      </c>
      <c r="AF266" s="41">
        <f>IFERROR(VLOOKUP($A266,Program[],9,0),0)</f>
        <v>0</v>
      </c>
      <c r="AG266" s="41">
        <f>IFERROR(VLOOKUP($A266,Program[],10,0),0)</f>
        <v>0</v>
      </c>
      <c r="AH266" s="41">
        <f>IFERROR(VLOOKUP($A266,Program[],11,0),0)</f>
        <v>0</v>
      </c>
      <c r="AI266" s="41">
        <f>IFERROR(VLOOKUP($A266,Program[],12,0),0)</f>
        <v>0</v>
      </c>
      <c r="AJ266" s="41"/>
      <c r="AK266" s="41">
        <f>IFERROR(VLOOKUP($A266,Program[],13,0),0)</f>
        <v>0</v>
      </c>
      <c r="AL266" s="41"/>
      <c r="AM266" s="41"/>
      <c r="AN266" s="41"/>
      <c r="AO266" s="41"/>
      <c r="AP266" s="41"/>
      <c r="AQ266" s="41"/>
      <c r="AR266" s="41"/>
      <c r="AS266" s="41">
        <f>IFERROR(VLOOKUP($A266,Program[],14,0),0)</f>
        <v>0</v>
      </c>
      <c r="AT266" s="41"/>
      <c r="AU266" s="41"/>
      <c r="AV266" s="41">
        <f>IFERROR(VLOOKUP($A266,Program[],15,0),0)</f>
        <v>0</v>
      </c>
      <c r="AW266" s="41"/>
      <c r="AX266" s="41">
        <f>IFERROR(VLOOKUP($A266,Program[],16,0),0)</f>
        <v>0</v>
      </c>
      <c r="AY266" s="41">
        <f>IFERROR(VLOOKUP($A266,Program[],17,0),0)</f>
        <v>0</v>
      </c>
      <c r="AZ266" s="41">
        <f>IFERROR(VLOOKUP($A266,Program[],18,0),0)</f>
        <v>0</v>
      </c>
      <c r="BA266" s="41">
        <f>IFERROR(VLOOKUP($A266,Program[],19,0),0)</f>
        <v>0</v>
      </c>
      <c r="BB266" s="77">
        <f t="shared" si="59"/>
        <v>51326.16</v>
      </c>
      <c r="BC266" s="41">
        <f>IFERROR(VLOOKUP(A266,Food[],3,0),0)</f>
        <v>93105.96</v>
      </c>
      <c r="BD266" s="41">
        <f>IFERROR(VLOOKUP($A266,FoodRev[],2,0),0)</f>
        <v>455.5</v>
      </c>
      <c r="BE266" s="41">
        <f>IFERROR(VLOOKUP($A266,FoodRev[],3,0),0)</f>
        <v>10229.24</v>
      </c>
      <c r="BF266" s="41">
        <f>IFERROR(VLOOKUP($A266,FoodRev[],4,0),0)</f>
        <v>0</v>
      </c>
      <c r="BG266" s="41">
        <f>IFERROR(VLOOKUP($A266,FoodRev[],5,0),0)</f>
        <v>28935.86</v>
      </c>
      <c r="BH266" s="41">
        <f>IFERROR(VLOOKUP($A266,FoodRev[],6,0),0)</f>
        <v>0</v>
      </c>
      <c r="BI266" s="41">
        <f>IFERROR(VLOOKUP($A266,FoodRev[],7,0),0)</f>
        <v>0</v>
      </c>
      <c r="BJ266" s="41">
        <f>IFERROR(VLOOKUP($A266,FoodRev[],8,0),0)</f>
        <v>2159.1999999999998</v>
      </c>
      <c r="BK266" s="41">
        <f>IFERROR(VLOOKUP($A266,FoodRev[],9,0),0)</f>
        <v>0</v>
      </c>
      <c r="BL266" s="41">
        <f>IFERROR(VLOOKUP($A266,FoodRev[],10,0),0)</f>
        <v>0</v>
      </c>
      <c r="BM266" s="41">
        <f t="shared" si="60"/>
        <v>41779.799999999996</v>
      </c>
      <c r="BN266" s="42">
        <f t="shared" si="66"/>
        <v>51326.16</v>
      </c>
      <c r="BO266" s="78">
        <f t="shared" si="67"/>
        <v>51326.16</v>
      </c>
      <c r="BP266" s="78">
        <f t="shared" si="68"/>
        <v>0</v>
      </c>
    </row>
    <row r="267" spans="1:68" x14ac:dyDescent="0.25">
      <c r="A267" s="40" t="s">
        <v>500</v>
      </c>
      <c r="B267" s="40" t="s">
        <v>1024</v>
      </c>
      <c r="D267" s="203">
        <f t="shared" si="69"/>
        <v>0</v>
      </c>
      <c r="E267" s="41">
        <f>IFERROR(VLOOKUP(A267,Items[],5,0),0)</f>
        <v>3056187.85</v>
      </c>
      <c r="F267" s="42">
        <f t="shared" si="70"/>
        <v>3056187.85</v>
      </c>
      <c r="G267" s="41">
        <v>0</v>
      </c>
      <c r="H267" s="41">
        <f>IFERROR(VLOOKUP(A267,Items[],4,0),0)</f>
        <v>3736840.19</v>
      </c>
      <c r="I267" s="41">
        <f>IFERROR(VLOOKUP(A267,Community[],4,0),0)</f>
        <v>0</v>
      </c>
      <c r="J267" s="41">
        <f>IFERROR(VLOOKUP(A267,Community[],5,0),0)</f>
        <v>0</v>
      </c>
      <c r="K267" s="41">
        <f>IFERROR(VLOOKUP(A267,Community[],6,0),0)</f>
        <v>0</v>
      </c>
      <c r="L267" s="41">
        <f>IFERROR(VLOOKUP(A267,Community[],7,0),0)</f>
        <v>0</v>
      </c>
      <c r="M267" s="41">
        <f>IFERROR(VLOOKUP(A267,Debt[],3,0),0)</f>
        <v>0</v>
      </c>
      <c r="N267" s="41">
        <f>IFERROR(VLOOKUP(A267,Debt[],4,0),0)</f>
        <v>2825.9</v>
      </c>
      <c r="O267" s="41">
        <f>IFERROR(VLOOKUP(A267,Debt[],5,0),0)</f>
        <v>0</v>
      </c>
      <c r="P267" s="41">
        <f>IFERROR(VLOOKUP(A267,Items[],3,0),0)</f>
        <v>125223.92</v>
      </c>
      <c r="Q267" s="41">
        <f>IFERROR(VLOOKUP($A267,Federal[],2,0),0)</f>
        <v>288680.8</v>
      </c>
      <c r="R267" s="41">
        <f>IFERROR(VLOOKUP($A267,Federal[],4,0),0)</f>
        <v>251327.69</v>
      </c>
      <c r="S267" s="41"/>
      <c r="T267" s="47">
        <f>IFERROR(VLOOKUP($A267,Program[],3,0),0)</f>
        <v>0</v>
      </c>
      <c r="U267" s="47"/>
      <c r="V267" s="41">
        <f>IFERROR(VLOOKUP($A267,Program[],4,0),0)</f>
        <v>0</v>
      </c>
      <c r="W267" s="41">
        <f>IFERROR(VLOOKUP($A267,Program[],5,0),0)</f>
        <v>0</v>
      </c>
      <c r="X267" s="41"/>
      <c r="Y267" s="41"/>
      <c r="Z267" s="41"/>
      <c r="AA267" s="41">
        <f>IFERROR(VLOOKUP($A267,Program[],6,0),0)</f>
        <v>0</v>
      </c>
      <c r="AB267" s="41"/>
      <c r="AC267" s="41"/>
      <c r="AD267" s="41">
        <f>IFERROR(VLOOKUP($A267,Program[],7,0),0)</f>
        <v>0</v>
      </c>
      <c r="AE267" s="41">
        <f>IFERROR(VLOOKUP($A267,Program[],8,0),0)</f>
        <v>0</v>
      </c>
      <c r="AF267" s="41">
        <f>IFERROR(VLOOKUP($A267,Program[],9,0),0)</f>
        <v>0</v>
      </c>
      <c r="AG267" s="41">
        <f>IFERROR(VLOOKUP($A267,Program[],10,0),0)</f>
        <v>0</v>
      </c>
      <c r="AH267" s="41">
        <f>IFERROR(VLOOKUP($A267,Program[],11,0),0)</f>
        <v>0</v>
      </c>
      <c r="AI267" s="41">
        <f>IFERROR(VLOOKUP($A267,Program[],12,0),0)</f>
        <v>0</v>
      </c>
      <c r="AJ267" s="41"/>
      <c r="AK267" s="41">
        <f>IFERROR(VLOOKUP($A267,Program[],13,0),0)</f>
        <v>0</v>
      </c>
      <c r="AL267" s="41"/>
      <c r="AM267" s="41"/>
      <c r="AN267" s="41"/>
      <c r="AO267" s="41"/>
      <c r="AP267" s="41"/>
      <c r="AQ267" s="41"/>
      <c r="AR267" s="41"/>
      <c r="AS267" s="41">
        <f>IFERROR(VLOOKUP($A267,Program[],14,0),0)</f>
        <v>0</v>
      </c>
      <c r="AT267" s="41"/>
      <c r="AU267" s="41"/>
      <c r="AV267" s="41">
        <f>IFERROR(VLOOKUP($A267,Program[],15,0),0)</f>
        <v>0</v>
      </c>
      <c r="AW267" s="41"/>
      <c r="AX267" s="41">
        <f>IFERROR(VLOOKUP($A267,Program[],16,0),0)</f>
        <v>0</v>
      </c>
      <c r="AY267" s="41">
        <f>IFERROR(VLOOKUP($A267,Program[],17,0),0)</f>
        <v>0</v>
      </c>
      <c r="AZ267" s="41">
        <f>IFERROR(VLOOKUP($A267,Program[],18,0),0)</f>
        <v>0</v>
      </c>
      <c r="BA267" s="41">
        <f>IFERROR(VLOOKUP($A267,Program[],19,0),0)</f>
        <v>0</v>
      </c>
      <c r="BB267" s="77">
        <f t="shared" ref="BB267:BB326" si="71">IF(BN267&gt;0,BN267,0)</f>
        <v>92982.529999999984</v>
      </c>
      <c r="BC267" s="41">
        <f>IFERROR(VLOOKUP(A267,Food[],3,0),0)</f>
        <v>182143.31</v>
      </c>
      <c r="BD267" s="41">
        <f>IFERROR(VLOOKUP($A267,FoodRev[],2,0),0)</f>
        <v>1133.5</v>
      </c>
      <c r="BE267" s="41">
        <f>IFERROR(VLOOKUP($A267,FoodRev[],3,0),0)</f>
        <v>7355.5</v>
      </c>
      <c r="BF267" s="41">
        <f>IFERROR(VLOOKUP($A267,FoodRev[],4,0),0)</f>
        <v>4105.03</v>
      </c>
      <c r="BG267" s="41">
        <f>IFERROR(VLOOKUP($A267,FoodRev[],5,0),0)</f>
        <v>60141.23</v>
      </c>
      <c r="BH267" s="41">
        <f>IFERROR(VLOOKUP($A267,FoodRev[],6,0),0)</f>
        <v>0</v>
      </c>
      <c r="BI267" s="41">
        <f>IFERROR(VLOOKUP($A267,FoodRev[],7,0),0)</f>
        <v>9706.41</v>
      </c>
      <c r="BJ267" s="41">
        <f>IFERROR(VLOOKUP($A267,FoodRev[],8,0),0)</f>
        <v>6719.11</v>
      </c>
      <c r="BK267" s="41">
        <f>IFERROR(VLOOKUP($A267,FoodRev[],9,0),0)</f>
        <v>0</v>
      </c>
      <c r="BL267" s="41">
        <f>IFERROR(VLOOKUP($A267,FoodRev[],10,0),0)</f>
        <v>0</v>
      </c>
      <c r="BM267" s="41">
        <f t="shared" si="60"/>
        <v>89160.780000000013</v>
      </c>
      <c r="BN267" s="42">
        <f t="shared" si="66"/>
        <v>92982.529999999984</v>
      </c>
      <c r="BO267" s="78">
        <f t="shared" si="67"/>
        <v>92982.529999999984</v>
      </c>
      <c r="BP267" s="78">
        <f t="shared" si="68"/>
        <v>0</v>
      </c>
    </row>
    <row r="268" spans="1:68" x14ac:dyDescent="0.25">
      <c r="A268" s="40" t="s">
        <v>382</v>
      </c>
      <c r="B268" s="40" t="s">
        <v>938</v>
      </c>
      <c r="D268" s="203">
        <f t="shared" si="69"/>
        <v>0</v>
      </c>
      <c r="E268" s="41">
        <f>IFERROR(VLOOKUP(A268,Items[],5,0),0)</f>
        <v>7944756.5499999998</v>
      </c>
      <c r="F268" s="42">
        <f t="shared" si="70"/>
        <v>7944756.5499999998</v>
      </c>
      <c r="G268" s="41">
        <v>0</v>
      </c>
      <c r="H268" s="41">
        <f>IFERROR(VLOOKUP(A268,Items[],4,0),0)</f>
        <v>9580387.0800000001</v>
      </c>
      <c r="I268" s="41">
        <f>IFERROR(VLOOKUP(A268,Community[],4,0),0)</f>
        <v>0</v>
      </c>
      <c r="J268" s="41">
        <f>IFERROR(VLOOKUP(A268,Community[],5,0),0)</f>
        <v>0</v>
      </c>
      <c r="K268" s="41">
        <f>IFERROR(VLOOKUP(A268,Community[],6,0),0)</f>
        <v>43186.59</v>
      </c>
      <c r="L268" s="41">
        <f>IFERROR(VLOOKUP(A268,Community[],7,0),0)</f>
        <v>66415.149999999994</v>
      </c>
      <c r="M268" s="41">
        <f>IFERROR(VLOOKUP(A268,Debt[],3,0),0)</f>
        <v>2378.9499999999998</v>
      </c>
      <c r="N268" s="41">
        <f>IFERROR(VLOOKUP(A268,Debt[],4,0),0)</f>
        <v>30143.52</v>
      </c>
      <c r="O268" s="41">
        <f>IFERROR(VLOOKUP(A268,Debt[],5,0),0)</f>
        <v>0</v>
      </c>
      <c r="P268" s="41">
        <f>IFERROR(VLOOKUP(A268,Items[],3,0),0)</f>
        <v>201796.33</v>
      </c>
      <c r="Q268" s="41">
        <f>IFERROR(VLOOKUP($A268,Federal[],2,0),0)</f>
        <v>4716.8900000000003</v>
      </c>
      <c r="R268" s="41">
        <f>IFERROR(VLOOKUP($A268,Federal[],4,0),0)</f>
        <v>1208230.5</v>
      </c>
      <c r="S268" s="41"/>
      <c r="T268" s="47">
        <f>IFERROR(VLOOKUP($A268,Program[],3,0),0)</f>
        <v>0</v>
      </c>
      <c r="U268" s="47"/>
      <c r="V268" s="41">
        <f>IFERROR(VLOOKUP($A268,Program[],4,0),0)</f>
        <v>0</v>
      </c>
      <c r="W268" s="41">
        <f>IFERROR(VLOOKUP($A268,Program[],5,0),0)</f>
        <v>0</v>
      </c>
      <c r="X268" s="41"/>
      <c r="Y268" s="41"/>
      <c r="Z268" s="41"/>
      <c r="AA268" s="41">
        <f>IFERROR(VLOOKUP($A268,Program[],6,0),0)</f>
        <v>0</v>
      </c>
      <c r="AB268" s="41"/>
      <c r="AC268" s="41"/>
      <c r="AD268" s="41">
        <f>IFERROR(VLOOKUP($A268,Program[],7,0),0)</f>
        <v>0</v>
      </c>
      <c r="AE268" s="41">
        <f>IFERROR(VLOOKUP($A268,Program[],8,0),0)</f>
        <v>0</v>
      </c>
      <c r="AF268" s="41">
        <f>IFERROR(VLOOKUP($A268,Program[],9,0),0)</f>
        <v>0</v>
      </c>
      <c r="AG268" s="41">
        <f>IFERROR(VLOOKUP($A268,Program[],10,0),0)</f>
        <v>0</v>
      </c>
      <c r="AH268" s="41">
        <f>IFERROR(VLOOKUP($A268,Program[],11,0),0)</f>
        <v>0</v>
      </c>
      <c r="AI268" s="41">
        <f>IFERROR(VLOOKUP($A268,Program[],12,0),0)</f>
        <v>0</v>
      </c>
      <c r="AJ268" s="41"/>
      <c r="AK268" s="41">
        <f>IFERROR(VLOOKUP($A268,Program[],13,0),0)</f>
        <v>0</v>
      </c>
      <c r="AL268" s="41"/>
      <c r="AM268" s="41"/>
      <c r="AN268" s="41"/>
      <c r="AO268" s="41"/>
      <c r="AP268" s="41"/>
      <c r="AQ268" s="41"/>
      <c r="AR268" s="41"/>
      <c r="AS268" s="41">
        <f>IFERROR(VLOOKUP($A268,Program[],14,0),0)</f>
        <v>0</v>
      </c>
      <c r="AT268" s="41"/>
      <c r="AU268" s="41"/>
      <c r="AV268" s="41">
        <f>IFERROR(VLOOKUP($A268,Program[],15,0),0)</f>
        <v>0</v>
      </c>
      <c r="AW268" s="41"/>
      <c r="AX268" s="41">
        <f>IFERROR(VLOOKUP($A268,Program[],16,0),0)</f>
        <v>0</v>
      </c>
      <c r="AY268" s="41">
        <f>IFERROR(VLOOKUP($A268,Program[],17,0),0)</f>
        <v>0</v>
      </c>
      <c r="AZ268" s="41">
        <f>IFERROR(VLOOKUP($A268,Program[],18,0),0)</f>
        <v>0</v>
      </c>
      <c r="BA268" s="41">
        <f>IFERROR(VLOOKUP($A268,Program[],19,0),0)</f>
        <v>0</v>
      </c>
      <c r="BB268" s="77">
        <f t="shared" si="71"/>
        <v>40754.050000000061</v>
      </c>
      <c r="BC268" s="41">
        <f>IFERROR(VLOOKUP(A268,Food[],3,0),0)</f>
        <v>445070.78</v>
      </c>
      <c r="BD268" s="41">
        <f>IFERROR(VLOOKUP($A268,FoodRev[],2,0),0)</f>
        <v>1330.73</v>
      </c>
      <c r="BE268" s="41">
        <f>IFERROR(VLOOKUP($A268,FoodRev[],3,0),0)</f>
        <v>77431.87</v>
      </c>
      <c r="BF268" s="41">
        <f>IFERROR(VLOOKUP($A268,FoodRev[],4,0),0)</f>
        <v>0</v>
      </c>
      <c r="BG268" s="41">
        <f>IFERROR(VLOOKUP($A268,FoodRev[],5,0),0)</f>
        <v>302614.93</v>
      </c>
      <c r="BH268" s="41">
        <f>IFERROR(VLOOKUP($A268,FoodRev[],6,0),0)</f>
        <v>0</v>
      </c>
      <c r="BI268" s="41">
        <f>IFERROR(VLOOKUP($A268,FoodRev[],7,0),0)</f>
        <v>0</v>
      </c>
      <c r="BJ268" s="41">
        <f>IFERROR(VLOOKUP($A268,FoodRev[],8,0),0)</f>
        <v>22939.200000000001</v>
      </c>
      <c r="BK268" s="41">
        <f>IFERROR(VLOOKUP($A268,FoodRev[],9,0),0)</f>
        <v>0</v>
      </c>
      <c r="BL268" s="41">
        <f>IFERROR(VLOOKUP($A268,FoodRev[],10,0),0)</f>
        <v>0</v>
      </c>
      <c r="BM268" s="41">
        <f t="shared" si="60"/>
        <v>404316.73</v>
      </c>
      <c r="BN268" s="42">
        <f t="shared" si="66"/>
        <v>40754.050000000061</v>
      </c>
      <c r="BO268" s="78">
        <f t="shared" si="67"/>
        <v>40754.050000000061</v>
      </c>
      <c r="BP268" s="78">
        <f t="shared" si="68"/>
        <v>0</v>
      </c>
    </row>
    <row r="269" spans="1:68" x14ac:dyDescent="0.25">
      <c r="A269" s="40" t="s">
        <v>454</v>
      </c>
      <c r="B269" s="40" t="s">
        <v>939</v>
      </c>
      <c r="D269" s="203">
        <f t="shared" si="69"/>
        <v>0</v>
      </c>
      <c r="E269" s="41">
        <f>IFERROR(VLOOKUP(A269,Items[],5,0),0)</f>
        <v>5845520.2199999997</v>
      </c>
      <c r="F269" s="42">
        <f t="shared" si="70"/>
        <v>5845520.2199999997</v>
      </c>
      <c r="G269" s="41">
        <v>0</v>
      </c>
      <c r="H269" s="41">
        <f>IFERROR(VLOOKUP(A269,Items[],4,0),0)</f>
        <v>6417247.96</v>
      </c>
      <c r="I269" s="41">
        <f>IFERROR(VLOOKUP(A269,Community[],4,0),0)</f>
        <v>0</v>
      </c>
      <c r="J269" s="41">
        <f>IFERROR(VLOOKUP(A269,Community[],5,0),0)</f>
        <v>0</v>
      </c>
      <c r="K269" s="41">
        <f>IFERROR(VLOOKUP(A269,Community[],6,0),0)</f>
        <v>0</v>
      </c>
      <c r="L269" s="41">
        <f>IFERROR(VLOOKUP(A269,Community[],7,0),0)</f>
        <v>0</v>
      </c>
      <c r="M269" s="41">
        <f>IFERROR(VLOOKUP(A269,Debt[],3,0),0)</f>
        <v>0</v>
      </c>
      <c r="N269" s="41">
        <f>IFERROR(VLOOKUP(A269,Debt[],4,0),0)</f>
        <v>0</v>
      </c>
      <c r="O269" s="41">
        <f>IFERROR(VLOOKUP(A269,Debt[],5,0),0)</f>
        <v>0</v>
      </c>
      <c r="P269" s="41">
        <f>IFERROR(VLOOKUP(A269,Items[],3,0),0)</f>
        <v>139207.28</v>
      </c>
      <c r="Q269" s="41">
        <f>IFERROR(VLOOKUP($A269,Federal[],2,0),0)</f>
        <v>1730.46</v>
      </c>
      <c r="R269" s="41">
        <f>IFERROR(VLOOKUP($A269,Federal[],4,0),0)</f>
        <v>356997.12</v>
      </c>
      <c r="S269" s="41"/>
      <c r="T269" s="47">
        <f>IFERROR(VLOOKUP($A269,Program[],3,0),0)</f>
        <v>0</v>
      </c>
      <c r="U269" s="47"/>
      <c r="V269" s="41">
        <f>IFERROR(VLOOKUP($A269,Program[],4,0),0)</f>
        <v>0</v>
      </c>
      <c r="W269" s="41">
        <f>IFERROR(VLOOKUP($A269,Program[],5,0),0)</f>
        <v>0</v>
      </c>
      <c r="X269" s="41"/>
      <c r="Y269" s="41"/>
      <c r="Z269" s="41"/>
      <c r="AA269" s="41">
        <f>IFERROR(VLOOKUP($A269,Program[],6,0),0)</f>
        <v>0</v>
      </c>
      <c r="AB269" s="41"/>
      <c r="AC269" s="41"/>
      <c r="AD269" s="41">
        <f>IFERROR(VLOOKUP($A269,Program[],7,0),0)</f>
        <v>0</v>
      </c>
      <c r="AE269" s="41">
        <f>IFERROR(VLOOKUP($A269,Program[],8,0),0)</f>
        <v>0</v>
      </c>
      <c r="AF269" s="41">
        <f>IFERROR(VLOOKUP($A269,Program[],9,0),0)</f>
        <v>0</v>
      </c>
      <c r="AG269" s="41">
        <f>IFERROR(VLOOKUP($A269,Program[],10,0),0)</f>
        <v>0</v>
      </c>
      <c r="AH269" s="41">
        <f>IFERROR(VLOOKUP($A269,Program[],11,0),0)</f>
        <v>0</v>
      </c>
      <c r="AI269" s="41">
        <f>IFERROR(VLOOKUP($A269,Program[],12,0),0)</f>
        <v>0</v>
      </c>
      <c r="AJ269" s="41"/>
      <c r="AK269" s="41">
        <f>IFERROR(VLOOKUP($A269,Program[],13,0),0)</f>
        <v>0</v>
      </c>
      <c r="AL269" s="41"/>
      <c r="AM269" s="41"/>
      <c r="AN269" s="41"/>
      <c r="AO269" s="41"/>
      <c r="AP269" s="41"/>
      <c r="AQ269" s="41"/>
      <c r="AR269" s="41"/>
      <c r="AS269" s="41">
        <f>IFERROR(VLOOKUP($A269,Program[],14,0),0)</f>
        <v>0</v>
      </c>
      <c r="AT269" s="41"/>
      <c r="AU269" s="41"/>
      <c r="AV269" s="41">
        <f>IFERROR(VLOOKUP($A269,Program[],15,0),0)</f>
        <v>0</v>
      </c>
      <c r="AW269" s="41"/>
      <c r="AX269" s="41">
        <f>IFERROR(VLOOKUP($A269,Program[],16,0),0)</f>
        <v>0</v>
      </c>
      <c r="AY269" s="41">
        <f>IFERROR(VLOOKUP($A269,Program[],17,0),0)</f>
        <v>0</v>
      </c>
      <c r="AZ269" s="41">
        <f>IFERROR(VLOOKUP($A269,Program[],18,0),0)</f>
        <v>0</v>
      </c>
      <c r="BA269" s="41">
        <f>IFERROR(VLOOKUP($A269,Program[],19,0),0)</f>
        <v>0</v>
      </c>
      <c r="BB269" s="77">
        <f t="shared" si="71"/>
        <v>0</v>
      </c>
      <c r="BC269" s="41">
        <f>IFERROR(VLOOKUP(A269,Food[],3,0),0)</f>
        <v>245080.91</v>
      </c>
      <c r="BD269" s="41">
        <f>IFERROR(VLOOKUP($A269,FoodRev[],2,0),0)</f>
        <v>3314.3</v>
      </c>
      <c r="BE269" s="41">
        <f>IFERROR(VLOOKUP($A269,FoodRev[],3,0),0)</f>
        <v>83309.240000000005</v>
      </c>
      <c r="BF269" s="41">
        <f>IFERROR(VLOOKUP($A269,FoodRev[],4,0),0)</f>
        <v>0</v>
      </c>
      <c r="BG269" s="41">
        <f>IFERROR(VLOOKUP($A269,FoodRev[],5,0),0)</f>
        <v>155236.23000000001</v>
      </c>
      <c r="BH269" s="41">
        <f>IFERROR(VLOOKUP($A269,FoodRev[],6,0),0)</f>
        <v>0</v>
      </c>
      <c r="BI269" s="41">
        <f>IFERROR(VLOOKUP($A269,FoodRev[],7,0),0)</f>
        <v>0</v>
      </c>
      <c r="BJ269" s="41">
        <f>IFERROR(VLOOKUP($A269,FoodRev[],8,0),0)</f>
        <v>16051.8</v>
      </c>
      <c r="BK269" s="41">
        <f>IFERROR(VLOOKUP($A269,FoodRev[],9,0),0)</f>
        <v>0</v>
      </c>
      <c r="BL269" s="41">
        <f>IFERROR(VLOOKUP($A269,FoodRev[],10,0),0)</f>
        <v>0</v>
      </c>
      <c r="BM269" s="41">
        <f t="shared" ref="BM269:BM326" si="72">SUM(BD269:BL269)</f>
        <v>257911.57</v>
      </c>
      <c r="BN269" s="42">
        <f t="shared" si="66"/>
        <v>-12830.660000000014</v>
      </c>
      <c r="BO269" s="78">
        <f t="shared" si="67"/>
        <v>0</v>
      </c>
      <c r="BP269" s="78">
        <f t="shared" si="68"/>
        <v>-12830.660000000014</v>
      </c>
    </row>
    <row r="270" spans="1:68" x14ac:dyDescent="0.25">
      <c r="A270" s="40" t="s">
        <v>298</v>
      </c>
      <c r="B270" s="40" t="s">
        <v>940</v>
      </c>
      <c r="D270" s="203">
        <f t="shared" si="69"/>
        <v>0</v>
      </c>
      <c r="E270" s="41">
        <f>IFERROR(VLOOKUP(A270,Items[],5,0),0)</f>
        <v>17173804.690000001</v>
      </c>
      <c r="F270" s="42">
        <f t="shared" si="70"/>
        <v>17173804.690000001</v>
      </c>
      <c r="G270" s="41">
        <v>0</v>
      </c>
      <c r="H270" s="41">
        <f>IFERROR(VLOOKUP(A270,Items[],4,0),0)</f>
        <v>19024724.289999999</v>
      </c>
      <c r="I270" s="41">
        <f>IFERROR(VLOOKUP(A270,Community[],4,0),0)</f>
        <v>0</v>
      </c>
      <c r="J270" s="41">
        <f>IFERROR(VLOOKUP(A270,Community[],5,0),0)</f>
        <v>0</v>
      </c>
      <c r="K270" s="41">
        <f>IFERROR(VLOOKUP(A270,Community[],6,0),0)</f>
        <v>542749.98</v>
      </c>
      <c r="L270" s="41">
        <f>IFERROR(VLOOKUP(A270,Community[],7,0),0)</f>
        <v>0</v>
      </c>
      <c r="M270" s="41">
        <f>IFERROR(VLOOKUP(A270,Debt[],3,0),0)</f>
        <v>270.64</v>
      </c>
      <c r="N270" s="41">
        <f>IFERROR(VLOOKUP(A270,Debt[],4,0),0)</f>
        <v>3196.75</v>
      </c>
      <c r="O270" s="41">
        <f>IFERROR(VLOOKUP(A270,Debt[],5,0),0)</f>
        <v>0</v>
      </c>
      <c r="P270" s="41">
        <f>IFERROR(VLOOKUP(A270,Items[],3,0),0)</f>
        <v>122407.23</v>
      </c>
      <c r="Q270" s="41">
        <f>IFERROR(VLOOKUP($A270,Federal[],2,0),0)</f>
        <v>6184.11</v>
      </c>
      <c r="R270" s="41">
        <f>IFERROR(VLOOKUP($A270,Federal[],4,0),0)</f>
        <v>1024466.06</v>
      </c>
      <c r="S270" s="41"/>
      <c r="T270" s="47">
        <f>IFERROR(VLOOKUP($A270,Program[],3,0),0)</f>
        <v>0</v>
      </c>
      <c r="U270" s="47"/>
      <c r="V270" s="41">
        <f>IFERROR(VLOOKUP($A270,Program[],4,0),0)</f>
        <v>0</v>
      </c>
      <c r="W270" s="41">
        <f>IFERROR(VLOOKUP($A270,Program[],5,0),0)</f>
        <v>0</v>
      </c>
      <c r="X270" s="41"/>
      <c r="Y270" s="41"/>
      <c r="Z270" s="41"/>
      <c r="AA270" s="41">
        <f>IFERROR(VLOOKUP($A270,Program[],6,0),0)</f>
        <v>0</v>
      </c>
      <c r="AB270" s="41"/>
      <c r="AC270" s="41"/>
      <c r="AD270" s="41">
        <f>IFERROR(VLOOKUP($A270,Program[],7,0),0)</f>
        <v>0</v>
      </c>
      <c r="AE270" s="41">
        <f>IFERROR(VLOOKUP($A270,Program[],8,0),0)</f>
        <v>0</v>
      </c>
      <c r="AF270" s="41">
        <f>IFERROR(VLOOKUP($A270,Program[],9,0),0)</f>
        <v>0</v>
      </c>
      <c r="AG270" s="41">
        <f>IFERROR(VLOOKUP($A270,Program[],10,0),0)</f>
        <v>0</v>
      </c>
      <c r="AH270" s="41">
        <f>IFERROR(VLOOKUP($A270,Program[],11,0),0)</f>
        <v>0</v>
      </c>
      <c r="AI270" s="41">
        <f>IFERROR(VLOOKUP($A270,Program[],12,0),0)</f>
        <v>0</v>
      </c>
      <c r="AJ270" s="41"/>
      <c r="AK270" s="41">
        <f>IFERROR(VLOOKUP($A270,Program[],13,0),0)</f>
        <v>0</v>
      </c>
      <c r="AL270" s="41"/>
      <c r="AM270" s="41"/>
      <c r="AN270" s="41"/>
      <c r="AO270" s="41"/>
      <c r="AP270" s="41"/>
      <c r="AQ270" s="41"/>
      <c r="AR270" s="41"/>
      <c r="AS270" s="41">
        <f>IFERROR(VLOOKUP($A270,Program[],14,0),0)</f>
        <v>0</v>
      </c>
      <c r="AT270" s="41"/>
      <c r="AU270" s="41"/>
      <c r="AV270" s="41">
        <f>IFERROR(VLOOKUP($A270,Program[],15,0),0)</f>
        <v>0</v>
      </c>
      <c r="AW270" s="41"/>
      <c r="AX270" s="41">
        <f>IFERROR(VLOOKUP($A270,Program[],16,0),0)</f>
        <v>0</v>
      </c>
      <c r="AY270" s="41">
        <f>IFERROR(VLOOKUP($A270,Program[],17,0),0)</f>
        <v>0</v>
      </c>
      <c r="AZ270" s="41">
        <f>IFERROR(VLOOKUP($A270,Program[],18,0),0)</f>
        <v>0</v>
      </c>
      <c r="BA270" s="41">
        <f>IFERROR(VLOOKUP($A270,Program[],19,0),0)</f>
        <v>0</v>
      </c>
      <c r="BB270" s="77">
        <f t="shared" si="71"/>
        <v>107833.30000000002</v>
      </c>
      <c r="BC270" s="41">
        <f>IFERROR(VLOOKUP(A270,Food[],3,0),0)</f>
        <v>714291.98</v>
      </c>
      <c r="BD270" s="41">
        <f>IFERROR(VLOOKUP($A270,FoodRev[],2,0),0)</f>
        <v>1824.35</v>
      </c>
      <c r="BE270" s="41">
        <f>IFERROR(VLOOKUP($A270,FoodRev[],3,0),0)</f>
        <v>149820.48000000001</v>
      </c>
      <c r="BF270" s="41">
        <f>IFERROR(VLOOKUP($A270,FoodRev[],4,0),0)</f>
        <v>0</v>
      </c>
      <c r="BG270" s="41">
        <f>IFERROR(VLOOKUP($A270,FoodRev[],5,0),0)</f>
        <v>410059.37</v>
      </c>
      <c r="BH270" s="41">
        <f>IFERROR(VLOOKUP($A270,FoodRev[],6,0),0)</f>
        <v>0</v>
      </c>
      <c r="BI270" s="41">
        <f>IFERROR(VLOOKUP($A270,FoodRev[],7,0),0)</f>
        <v>0</v>
      </c>
      <c r="BJ270" s="41">
        <f>IFERROR(VLOOKUP($A270,FoodRev[],8,0),0)</f>
        <v>44754.48</v>
      </c>
      <c r="BK270" s="41">
        <f>IFERROR(VLOOKUP($A270,FoodRev[],9,0),0)</f>
        <v>0</v>
      </c>
      <c r="BL270" s="41">
        <f>IFERROR(VLOOKUP($A270,FoodRev[],10,0),0)</f>
        <v>0</v>
      </c>
      <c r="BM270" s="41">
        <f t="shared" si="72"/>
        <v>606458.67999999993</v>
      </c>
      <c r="BN270" s="42">
        <f t="shared" si="66"/>
        <v>107833.30000000002</v>
      </c>
      <c r="BO270" s="78">
        <f t="shared" si="67"/>
        <v>107833.30000000002</v>
      </c>
      <c r="BP270" s="78">
        <f t="shared" si="68"/>
        <v>0</v>
      </c>
    </row>
    <row r="271" spans="1:68" x14ac:dyDescent="0.25">
      <c r="A271" s="40" t="s">
        <v>110</v>
      </c>
      <c r="B271" s="40" t="s">
        <v>1025</v>
      </c>
      <c r="D271" s="203">
        <f t="shared" si="69"/>
        <v>1.4901161193847656E-8</v>
      </c>
      <c r="E271" s="41">
        <f>IFERROR(VLOOKUP(A271,Items[],5,0),0)</f>
        <v>84603420.689999998</v>
      </c>
      <c r="F271" s="42">
        <f t="shared" si="70"/>
        <v>84603420.689999983</v>
      </c>
      <c r="G271" s="41">
        <v>0</v>
      </c>
      <c r="H271" s="41">
        <f>IFERROR(VLOOKUP(A271,Items[],4,0),0)</f>
        <v>91415824.379999995</v>
      </c>
      <c r="I271" s="41">
        <f>IFERROR(VLOOKUP(A271,Community[],4,0),0)</f>
        <v>0</v>
      </c>
      <c r="J271" s="41">
        <f>IFERROR(VLOOKUP(A271,Community[],5,0),0)</f>
        <v>0</v>
      </c>
      <c r="K271" s="41">
        <f>IFERROR(VLOOKUP(A271,Community[],6,0),0)</f>
        <v>0</v>
      </c>
      <c r="L271" s="41">
        <f>IFERROR(VLOOKUP(A271,Community[],7,0),0)</f>
        <v>0</v>
      </c>
      <c r="M271" s="41">
        <f>IFERROR(VLOOKUP(A271,Debt[],3,0),0)</f>
        <v>0</v>
      </c>
      <c r="N271" s="41">
        <f>IFERROR(VLOOKUP(A271,Debt[],4,0),0)</f>
        <v>0</v>
      </c>
      <c r="O271" s="41">
        <f>IFERROR(VLOOKUP(A271,Debt[],5,0),0)</f>
        <v>3350</v>
      </c>
      <c r="P271" s="41">
        <f>IFERROR(VLOOKUP(A271,Items[],3,0),0)</f>
        <v>133665.23000000001</v>
      </c>
      <c r="Q271" s="41">
        <f>IFERROR(VLOOKUP($A271,Federal[],2,0),0)</f>
        <v>146667.23000000001</v>
      </c>
      <c r="R271" s="41">
        <f>IFERROR(VLOOKUP($A271,Federal[],4,0),0)</f>
        <v>5429707.7800000003</v>
      </c>
      <c r="S271" s="41"/>
      <c r="T271" s="47">
        <f>IFERROR(VLOOKUP($A271,Program[],3,0),0)</f>
        <v>0</v>
      </c>
      <c r="U271" s="47"/>
      <c r="V271" s="41">
        <f>IFERROR(VLOOKUP($A271,Program[],4,0),0)</f>
        <v>0</v>
      </c>
      <c r="W271" s="41">
        <f>IFERROR(VLOOKUP($A271,Program[],5,0),0)</f>
        <v>0</v>
      </c>
      <c r="X271" s="41"/>
      <c r="Y271" s="41"/>
      <c r="Z271" s="41"/>
      <c r="AA271" s="41">
        <f>IFERROR(VLOOKUP($A271,Program[],6,0),0)</f>
        <v>0</v>
      </c>
      <c r="AB271" s="41"/>
      <c r="AC271" s="41"/>
      <c r="AD271" s="41">
        <f>IFERROR(VLOOKUP($A271,Program[],7,0),0)</f>
        <v>0</v>
      </c>
      <c r="AE271" s="41">
        <f>IFERROR(VLOOKUP($A271,Program[],8,0),0)</f>
        <v>0</v>
      </c>
      <c r="AF271" s="41">
        <f>IFERROR(VLOOKUP($A271,Program[],9,0),0)</f>
        <v>0</v>
      </c>
      <c r="AG271" s="41">
        <f>IFERROR(VLOOKUP($A271,Program[],10,0),0)</f>
        <v>0</v>
      </c>
      <c r="AH271" s="41">
        <f>IFERROR(VLOOKUP($A271,Program[],11,0),0)</f>
        <v>0</v>
      </c>
      <c r="AI271" s="41">
        <f>IFERROR(VLOOKUP($A271,Program[],12,0),0)</f>
        <v>0</v>
      </c>
      <c r="AJ271" s="41"/>
      <c r="AK271" s="41">
        <f>IFERROR(VLOOKUP($A271,Program[],13,0),0)</f>
        <v>0</v>
      </c>
      <c r="AL271" s="41"/>
      <c r="AM271" s="41"/>
      <c r="AN271" s="41"/>
      <c r="AO271" s="41"/>
      <c r="AP271" s="41"/>
      <c r="AQ271" s="41"/>
      <c r="AR271" s="41"/>
      <c r="AS271" s="41">
        <f>IFERROR(VLOOKUP($A271,Program[],14,0),0)</f>
        <v>0</v>
      </c>
      <c r="AT271" s="41"/>
      <c r="AU271" s="41"/>
      <c r="AV271" s="41">
        <f>IFERROR(VLOOKUP($A271,Program[],15,0),0)</f>
        <v>0</v>
      </c>
      <c r="AW271" s="41"/>
      <c r="AX271" s="41">
        <f>IFERROR(VLOOKUP($A271,Program[],16,0),0)</f>
        <v>0</v>
      </c>
      <c r="AY271" s="41">
        <f>IFERROR(VLOOKUP($A271,Program[],17,0),0)</f>
        <v>0</v>
      </c>
      <c r="AZ271" s="41">
        <f>IFERROR(VLOOKUP($A271,Program[],18,0),0)</f>
        <v>0</v>
      </c>
      <c r="BA271" s="41">
        <f>IFERROR(VLOOKUP($A271,Program[],19,0),0)</f>
        <v>17298.3</v>
      </c>
      <c r="BB271" s="77">
        <f t="shared" si="71"/>
        <v>186669.78999999995</v>
      </c>
      <c r="BC271" s="41">
        <f>IFERROR(VLOOKUP(A271,Food[],3,0),0)</f>
        <v>3381900.31</v>
      </c>
      <c r="BD271" s="41">
        <f>IFERROR(VLOOKUP($A271,FoodRev[],2,0),0)</f>
        <v>317935.69</v>
      </c>
      <c r="BE271" s="41">
        <f>IFERROR(VLOOKUP($A271,FoodRev[],3,0),0)</f>
        <v>798376.06</v>
      </c>
      <c r="BF271" s="41">
        <f>IFERROR(VLOOKUP($A271,FoodRev[],4,0),0)</f>
        <v>0</v>
      </c>
      <c r="BG271" s="41">
        <f>IFERROR(VLOOKUP($A271,FoodRev[],5,0),0)</f>
        <v>1875104.36</v>
      </c>
      <c r="BH271" s="41">
        <f>IFERROR(VLOOKUP($A271,FoodRev[],6,0),0)</f>
        <v>0</v>
      </c>
      <c r="BI271" s="41">
        <f>IFERROR(VLOOKUP($A271,FoodRev[],7,0),0)</f>
        <v>0</v>
      </c>
      <c r="BJ271" s="41">
        <f>IFERROR(VLOOKUP($A271,FoodRev[],8,0),0)</f>
        <v>203814.41</v>
      </c>
      <c r="BK271" s="41">
        <f>IFERROR(VLOOKUP($A271,FoodRev[],9,0),0)</f>
        <v>0</v>
      </c>
      <c r="BL271" s="41">
        <f>IFERROR(VLOOKUP($A271,FoodRev[],10,0),0)</f>
        <v>0</v>
      </c>
      <c r="BM271" s="41">
        <f t="shared" si="72"/>
        <v>3195230.5200000005</v>
      </c>
      <c r="BN271" s="42">
        <f t="shared" si="66"/>
        <v>186669.78999999995</v>
      </c>
      <c r="BO271" s="78">
        <f t="shared" si="67"/>
        <v>186669.78999999995</v>
      </c>
      <c r="BP271" s="78">
        <f t="shared" si="68"/>
        <v>0</v>
      </c>
    </row>
    <row r="272" spans="1:68" x14ac:dyDescent="0.25">
      <c r="A272" s="40" t="s">
        <v>48</v>
      </c>
      <c r="B272" s="40" t="s">
        <v>941</v>
      </c>
      <c r="D272" s="203">
        <f t="shared" si="69"/>
        <v>2.9802322387695313E-8</v>
      </c>
      <c r="E272" s="41">
        <f>IFERROR(VLOOKUP(A272,Items[],5,0),0)</f>
        <v>262658441.66999999</v>
      </c>
      <c r="F272" s="42">
        <f t="shared" si="70"/>
        <v>262658441.66999996</v>
      </c>
      <c r="G272" s="41">
        <v>0</v>
      </c>
      <c r="H272" s="41">
        <f>IFERROR(VLOOKUP(A272,Items[],4,0),0)</f>
        <v>281832031.35000002</v>
      </c>
      <c r="I272" s="41">
        <f>IFERROR(VLOOKUP(A272,Community[],4,0),0)</f>
        <v>0</v>
      </c>
      <c r="J272" s="41">
        <f>IFERROR(VLOOKUP(A272,Community[],5,0),0)</f>
        <v>0</v>
      </c>
      <c r="K272" s="41">
        <f>IFERROR(VLOOKUP(A272,Community[],6,0),0)</f>
        <v>95138.35</v>
      </c>
      <c r="L272" s="41">
        <f>IFERROR(VLOOKUP(A272,Community[],7,0),0)</f>
        <v>130744.91</v>
      </c>
      <c r="M272" s="41">
        <f>IFERROR(VLOOKUP(A272,Debt[],3,0),0)</f>
        <v>16599.63</v>
      </c>
      <c r="N272" s="41">
        <f>IFERROR(VLOOKUP(A272,Debt[],4,0),0)</f>
        <v>77727.45</v>
      </c>
      <c r="O272" s="41">
        <f>IFERROR(VLOOKUP(A272,Debt[],5,0),0)</f>
        <v>0</v>
      </c>
      <c r="P272" s="41">
        <f>IFERROR(VLOOKUP(A272,Items[],3,0),0)</f>
        <v>420194.72</v>
      </c>
      <c r="Q272" s="41">
        <f>IFERROR(VLOOKUP($A272,Federal[],2,0),0)</f>
        <v>699222.25</v>
      </c>
      <c r="R272" s="41">
        <f>IFERROR(VLOOKUP($A272,Federal[],4,0),0)</f>
        <v>14630101.6</v>
      </c>
      <c r="S272" s="41"/>
      <c r="T272" s="47">
        <f>IFERROR(VLOOKUP($A272,Program[],3,0),0)</f>
        <v>0</v>
      </c>
      <c r="U272" s="47"/>
      <c r="V272" s="41">
        <f>IFERROR(VLOOKUP($A272,Program[],4,0),0)</f>
        <v>0</v>
      </c>
      <c r="W272" s="41">
        <f>IFERROR(VLOOKUP($A272,Program[],5,0),0)</f>
        <v>0</v>
      </c>
      <c r="X272" s="41"/>
      <c r="Y272" s="41"/>
      <c r="Z272" s="41"/>
      <c r="AA272" s="41">
        <f>IFERROR(VLOOKUP($A272,Program[],6,0),0)</f>
        <v>0</v>
      </c>
      <c r="AB272" s="41"/>
      <c r="AC272" s="41"/>
      <c r="AD272" s="41">
        <f>IFERROR(VLOOKUP($A272,Program[],7,0),0)</f>
        <v>0</v>
      </c>
      <c r="AE272" s="41">
        <f>IFERROR(VLOOKUP($A272,Program[],8,0),0)</f>
        <v>0</v>
      </c>
      <c r="AF272" s="41">
        <f>IFERROR(VLOOKUP($A272,Program[],9,0),0)</f>
        <v>0</v>
      </c>
      <c r="AG272" s="41">
        <f>IFERROR(VLOOKUP($A272,Program[],10,0),0)</f>
        <v>0</v>
      </c>
      <c r="AH272" s="41">
        <f>IFERROR(VLOOKUP($A272,Program[],11,0),0)</f>
        <v>0</v>
      </c>
      <c r="AI272" s="41">
        <f>IFERROR(VLOOKUP($A272,Program[],12,0),0)</f>
        <v>0</v>
      </c>
      <c r="AJ272" s="41"/>
      <c r="AK272" s="41">
        <f>IFERROR(VLOOKUP($A272,Program[],13,0),0)</f>
        <v>0</v>
      </c>
      <c r="AL272" s="41"/>
      <c r="AM272" s="41"/>
      <c r="AN272" s="41"/>
      <c r="AO272" s="41"/>
      <c r="AP272" s="41"/>
      <c r="AQ272" s="41"/>
      <c r="AR272" s="41"/>
      <c r="AS272" s="41">
        <f>IFERROR(VLOOKUP($A272,Program[],14,0),0)</f>
        <v>0</v>
      </c>
      <c r="AT272" s="41"/>
      <c r="AU272" s="41"/>
      <c r="AV272" s="41">
        <f>IFERROR(VLOOKUP($A272,Program[],15,0),0)</f>
        <v>0</v>
      </c>
      <c r="AW272" s="41"/>
      <c r="AX272" s="41">
        <f>IFERROR(VLOOKUP($A272,Program[],16,0),0)</f>
        <v>0</v>
      </c>
      <c r="AY272" s="41">
        <f>IFERROR(VLOOKUP($A272,Program[],17,0),0)</f>
        <v>0</v>
      </c>
      <c r="AZ272" s="41">
        <f>IFERROR(VLOOKUP($A272,Program[],18,0),0)</f>
        <v>0</v>
      </c>
      <c r="BA272" s="41">
        <f>IFERROR(VLOOKUP($A272,Program[],19,0),0)</f>
        <v>0</v>
      </c>
      <c r="BB272" s="77">
        <f t="shared" si="71"/>
        <v>0</v>
      </c>
      <c r="BC272" s="41">
        <f>IFERROR(VLOOKUP(A272,Food[],3,0),0)</f>
        <v>8489462.8000000007</v>
      </c>
      <c r="BD272" s="41">
        <f>IFERROR(VLOOKUP($A272,FoodRev[],2,0),0)</f>
        <v>758330.03</v>
      </c>
      <c r="BE272" s="41">
        <f>IFERROR(VLOOKUP($A272,FoodRev[],3,0),0)</f>
        <v>2545366.36</v>
      </c>
      <c r="BF272" s="41">
        <f>IFERROR(VLOOKUP($A272,FoodRev[],4,0),0)</f>
        <v>0</v>
      </c>
      <c r="BG272" s="41">
        <f>IFERROR(VLOOKUP($A272,FoodRev[],5,0),0)</f>
        <v>4704138.5599999996</v>
      </c>
      <c r="BH272" s="41">
        <f>IFERROR(VLOOKUP($A272,FoodRev[],6,0),0)</f>
        <v>0</v>
      </c>
      <c r="BI272" s="41">
        <f>IFERROR(VLOOKUP($A272,FoodRev[],7,0),0)</f>
        <v>0</v>
      </c>
      <c r="BJ272" s="41">
        <f>IFERROR(VLOOKUP($A272,FoodRev[],8,0),0)</f>
        <v>681463.47</v>
      </c>
      <c r="BK272" s="41">
        <f>IFERROR(VLOOKUP($A272,FoodRev[],9,0),0)</f>
        <v>0</v>
      </c>
      <c r="BL272" s="41">
        <f>IFERROR(VLOOKUP($A272,FoodRev[],10,0),0)</f>
        <v>0</v>
      </c>
      <c r="BM272" s="41">
        <f t="shared" si="72"/>
        <v>8689298.4199999999</v>
      </c>
      <c r="BN272" s="42">
        <f t="shared" si="66"/>
        <v>-199835.61999999941</v>
      </c>
      <c r="BO272" s="78">
        <f t="shared" si="67"/>
        <v>0</v>
      </c>
      <c r="BP272" s="78">
        <f t="shared" si="68"/>
        <v>-199835.61999999941</v>
      </c>
    </row>
    <row r="273" spans="1:68" x14ac:dyDescent="0.25">
      <c r="A273" s="40" t="s">
        <v>92</v>
      </c>
      <c r="B273" s="40" t="s">
        <v>942</v>
      </c>
      <c r="D273" s="203">
        <f t="shared" si="69"/>
        <v>0</v>
      </c>
      <c r="E273" s="41">
        <f>IFERROR(VLOOKUP(A273,Items[],5,0),0)</f>
        <v>114067245.48</v>
      </c>
      <c r="F273" s="42">
        <f t="shared" si="70"/>
        <v>114067245.48</v>
      </c>
      <c r="G273" s="41">
        <v>0</v>
      </c>
      <c r="H273" s="41">
        <f>IFERROR(VLOOKUP(A273,Items[],4,0),0)</f>
        <v>121326527</v>
      </c>
      <c r="I273" s="41">
        <f>IFERROR(VLOOKUP(A273,Community[],4,0),0)</f>
        <v>0</v>
      </c>
      <c r="J273" s="41">
        <f>IFERROR(VLOOKUP(A273,Community[],5,0),0)</f>
        <v>608108.58000000007</v>
      </c>
      <c r="K273" s="41">
        <f>IFERROR(VLOOKUP(A273,Community[],6,0),0)</f>
        <v>0</v>
      </c>
      <c r="L273" s="41">
        <f>IFERROR(VLOOKUP(A273,Community[],7,0),0)</f>
        <v>583.44000000000005</v>
      </c>
      <c r="M273" s="41">
        <f>IFERROR(VLOOKUP(A273,Debt[],3,0),0)</f>
        <v>60660</v>
      </c>
      <c r="N273" s="41">
        <f>IFERROR(VLOOKUP(A273,Debt[],4,0),0)</f>
        <v>0</v>
      </c>
      <c r="O273" s="41">
        <f>IFERROR(VLOOKUP(A273,Debt[],5,0),0)</f>
        <v>0</v>
      </c>
      <c r="P273" s="41">
        <f>IFERROR(VLOOKUP(A273,Items[],3,0),0)</f>
        <v>146288.64000000001</v>
      </c>
      <c r="Q273" s="41">
        <f>IFERROR(VLOOKUP($A273,Federal[],2,0),0)</f>
        <v>50</v>
      </c>
      <c r="R273" s="41">
        <f>IFERROR(VLOOKUP($A273,Federal[],4,0),0)</f>
        <v>5004967.97</v>
      </c>
      <c r="S273" s="41"/>
      <c r="T273" s="47">
        <f>IFERROR(VLOOKUP($A273,Program[],3,0),0)</f>
        <v>0</v>
      </c>
      <c r="U273" s="47"/>
      <c r="V273" s="41">
        <f>IFERROR(VLOOKUP($A273,Program[],4,0),0)</f>
        <v>0</v>
      </c>
      <c r="W273" s="41">
        <f>IFERROR(VLOOKUP($A273,Program[],5,0),0)</f>
        <v>0</v>
      </c>
      <c r="X273" s="41"/>
      <c r="Y273" s="41"/>
      <c r="Z273" s="41"/>
      <c r="AA273" s="41">
        <f>IFERROR(VLOOKUP($A273,Program[],6,0),0)</f>
        <v>0</v>
      </c>
      <c r="AB273" s="41"/>
      <c r="AC273" s="41"/>
      <c r="AD273" s="41">
        <f>IFERROR(VLOOKUP($A273,Program[],7,0),0)</f>
        <v>0</v>
      </c>
      <c r="AE273" s="41">
        <f>IFERROR(VLOOKUP($A273,Program[],8,0),0)</f>
        <v>0</v>
      </c>
      <c r="AF273" s="41">
        <f>IFERROR(VLOOKUP($A273,Program[],9,0),0)</f>
        <v>0</v>
      </c>
      <c r="AG273" s="41">
        <f>IFERROR(VLOOKUP($A273,Program[],10,0),0)</f>
        <v>0</v>
      </c>
      <c r="AH273" s="41">
        <f>IFERROR(VLOOKUP($A273,Program[],11,0),0)</f>
        <v>0</v>
      </c>
      <c r="AI273" s="41">
        <f>IFERROR(VLOOKUP($A273,Program[],12,0),0)</f>
        <v>0</v>
      </c>
      <c r="AJ273" s="41"/>
      <c r="AK273" s="41">
        <f>IFERROR(VLOOKUP($A273,Program[],13,0),0)</f>
        <v>0</v>
      </c>
      <c r="AL273" s="41"/>
      <c r="AM273" s="41"/>
      <c r="AN273" s="41"/>
      <c r="AO273" s="41"/>
      <c r="AP273" s="41"/>
      <c r="AQ273" s="41"/>
      <c r="AR273" s="41"/>
      <c r="AS273" s="41">
        <f>IFERROR(VLOOKUP($A273,Program[],14,0),0)</f>
        <v>0</v>
      </c>
      <c r="AT273" s="41"/>
      <c r="AU273" s="41"/>
      <c r="AV273" s="41">
        <f>IFERROR(VLOOKUP($A273,Program[],15,0),0)</f>
        <v>0</v>
      </c>
      <c r="AW273" s="41"/>
      <c r="AX273" s="41">
        <f>IFERROR(VLOOKUP($A273,Program[],16,0),0)</f>
        <v>0</v>
      </c>
      <c r="AY273" s="41">
        <f>IFERROR(VLOOKUP($A273,Program[],17,0),0)</f>
        <v>0</v>
      </c>
      <c r="AZ273" s="41">
        <f>IFERROR(VLOOKUP($A273,Program[],18,0),0)</f>
        <v>0</v>
      </c>
      <c r="BA273" s="41">
        <f>IFERROR(VLOOKUP($A273,Program[],19,0),0)</f>
        <v>0</v>
      </c>
      <c r="BB273" s="77">
        <f t="shared" si="71"/>
        <v>207956.96999999997</v>
      </c>
      <c r="BC273" s="41">
        <f>IFERROR(VLOOKUP(A273,Food[],3,0),0)</f>
        <v>3108351.75</v>
      </c>
      <c r="BD273" s="41">
        <f>IFERROR(VLOOKUP($A273,FoodRev[],2,0),0)</f>
        <v>679003.71</v>
      </c>
      <c r="BE273" s="41">
        <f>IFERROR(VLOOKUP($A273,FoodRev[],3,0),0)</f>
        <v>759619.18</v>
      </c>
      <c r="BF273" s="41">
        <f>IFERROR(VLOOKUP($A273,FoodRev[],4,0),0)</f>
        <v>0</v>
      </c>
      <c r="BG273" s="41">
        <f>IFERROR(VLOOKUP($A273,FoodRev[],5,0),0)</f>
        <v>1292704.8899999999</v>
      </c>
      <c r="BH273" s="41">
        <f>IFERROR(VLOOKUP($A273,FoodRev[],6,0),0)</f>
        <v>0</v>
      </c>
      <c r="BI273" s="41">
        <f>IFERROR(VLOOKUP($A273,FoodRev[],7,0),0)</f>
        <v>0</v>
      </c>
      <c r="BJ273" s="41">
        <f>IFERROR(VLOOKUP($A273,FoodRev[],8,0),0)</f>
        <v>169067</v>
      </c>
      <c r="BK273" s="41">
        <f>IFERROR(VLOOKUP($A273,FoodRev[],9,0),0)</f>
        <v>0</v>
      </c>
      <c r="BL273" s="41">
        <f>IFERROR(VLOOKUP($A273,FoodRev[],10,0),0)</f>
        <v>0</v>
      </c>
      <c r="BM273" s="41">
        <f t="shared" si="72"/>
        <v>2900394.7800000003</v>
      </c>
      <c r="BN273" s="42">
        <f t="shared" si="66"/>
        <v>207956.96999999997</v>
      </c>
      <c r="BO273" s="78">
        <f t="shared" si="67"/>
        <v>207956.96999999997</v>
      </c>
      <c r="BP273" s="78">
        <f t="shared" si="68"/>
        <v>0</v>
      </c>
    </row>
    <row r="274" spans="1:68" x14ac:dyDescent="0.25">
      <c r="A274" s="40" t="s">
        <v>66</v>
      </c>
      <c r="B274" s="40" t="s">
        <v>943</v>
      </c>
      <c r="D274" s="203">
        <f t="shared" si="69"/>
        <v>-2.9802322387695313E-8</v>
      </c>
      <c r="E274" s="41">
        <f>IFERROR(VLOOKUP(A274,Items[],5,0),0)</f>
        <v>164960685.44999999</v>
      </c>
      <c r="F274" s="42">
        <f t="shared" si="70"/>
        <v>164960685.45000002</v>
      </c>
      <c r="G274" s="41">
        <v>0</v>
      </c>
      <c r="H274" s="41">
        <f>IFERROR(VLOOKUP(A274,Items[],4,0),0)</f>
        <v>175317896.09</v>
      </c>
      <c r="I274" s="41">
        <f>IFERROR(VLOOKUP(A274,Community[],4,0),0)</f>
        <v>0</v>
      </c>
      <c r="J274" s="41">
        <f>IFERROR(VLOOKUP(A274,Community[],5,0),0)</f>
        <v>0</v>
      </c>
      <c r="K274" s="41">
        <f>IFERROR(VLOOKUP(A274,Community[],6,0),0)</f>
        <v>536386.6</v>
      </c>
      <c r="L274" s="41">
        <f>IFERROR(VLOOKUP(A274,Community[],7,0),0)</f>
        <v>194837.88</v>
      </c>
      <c r="M274" s="41">
        <f>IFERROR(VLOOKUP(A274,Debt[],3,0),0)</f>
        <v>6881.45</v>
      </c>
      <c r="N274" s="41">
        <f>IFERROR(VLOOKUP(A274,Debt[],4,0),0)</f>
        <v>41166.550000000003</v>
      </c>
      <c r="O274" s="41">
        <f>IFERROR(VLOOKUP(A274,Debt[],5,0),0)</f>
        <v>0</v>
      </c>
      <c r="P274" s="41">
        <f>IFERROR(VLOOKUP(A274,Items[],3,0),0)</f>
        <v>272840.58</v>
      </c>
      <c r="Q274" s="41">
        <f>IFERROR(VLOOKUP($A274,Federal[],2,0),0)</f>
        <v>69.900000000000006</v>
      </c>
      <c r="R274" s="41">
        <f>IFERROR(VLOOKUP($A274,Federal[],4,0),0)</f>
        <v>7548674.3499999996</v>
      </c>
      <c r="S274" s="41"/>
      <c r="T274" s="47">
        <f>IFERROR(VLOOKUP($A274,Program[],3,0),0)</f>
        <v>0</v>
      </c>
      <c r="U274" s="47"/>
      <c r="V274" s="41">
        <f>IFERROR(VLOOKUP($A274,Program[],4,0),0)</f>
        <v>0</v>
      </c>
      <c r="W274" s="41">
        <f>IFERROR(VLOOKUP($A274,Program[],5,0),0)</f>
        <v>0</v>
      </c>
      <c r="X274" s="41"/>
      <c r="Y274" s="41"/>
      <c r="Z274" s="41"/>
      <c r="AA274" s="41">
        <f>IFERROR(VLOOKUP($A274,Program[],6,0),0)</f>
        <v>21464</v>
      </c>
      <c r="AB274" s="41"/>
      <c r="AC274" s="41"/>
      <c r="AD274" s="41">
        <f>IFERROR(VLOOKUP($A274,Program[],7,0),0)</f>
        <v>0</v>
      </c>
      <c r="AE274" s="41">
        <f>IFERROR(VLOOKUP($A274,Program[],8,0),0)</f>
        <v>0</v>
      </c>
      <c r="AF274" s="41">
        <f>IFERROR(VLOOKUP($A274,Program[],9,0),0)</f>
        <v>0</v>
      </c>
      <c r="AG274" s="41">
        <f>IFERROR(VLOOKUP($A274,Program[],10,0),0)</f>
        <v>0</v>
      </c>
      <c r="AH274" s="41">
        <f>IFERROR(VLOOKUP($A274,Program[],11,0),0)</f>
        <v>0</v>
      </c>
      <c r="AI274" s="41">
        <f>IFERROR(VLOOKUP($A274,Program[],12,0),0)</f>
        <v>0</v>
      </c>
      <c r="AJ274" s="41"/>
      <c r="AK274" s="41">
        <f>IFERROR(VLOOKUP($A274,Program[],13,0),0)</f>
        <v>0</v>
      </c>
      <c r="AL274" s="41"/>
      <c r="AM274" s="41"/>
      <c r="AN274" s="41"/>
      <c r="AO274" s="41"/>
      <c r="AP274" s="41"/>
      <c r="AQ274" s="41"/>
      <c r="AR274" s="41"/>
      <c r="AS274" s="41">
        <f>IFERROR(VLOOKUP($A274,Program[],14,0),0)</f>
        <v>0</v>
      </c>
      <c r="AT274" s="41"/>
      <c r="AU274" s="41"/>
      <c r="AV274" s="41">
        <f>IFERROR(VLOOKUP($A274,Program[],15,0),0)</f>
        <v>0</v>
      </c>
      <c r="AW274" s="41"/>
      <c r="AX274" s="41">
        <f>IFERROR(VLOOKUP($A274,Program[],16,0),0)</f>
        <v>0</v>
      </c>
      <c r="AY274" s="41">
        <f>IFERROR(VLOOKUP($A274,Program[],17,0),0)</f>
        <v>0</v>
      </c>
      <c r="AZ274" s="41">
        <f>IFERROR(VLOOKUP($A274,Program[],18,0),0)</f>
        <v>0</v>
      </c>
      <c r="BA274" s="41">
        <f>IFERROR(VLOOKUP($A274,Program[],19,0),0)</f>
        <v>28672.47</v>
      </c>
      <c r="BB274" s="77">
        <f t="shared" si="71"/>
        <v>831281.93999999948</v>
      </c>
      <c r="BC274" s="41">
        <f>IFERROR(VLOOKUP(A274,Food[],3,0),0)</f>
        <v>4649429.8199999994</v>
      </c>
      <c r="BD274" s="41">
        <f>IFERROR(VLOOKUP($A274,FoodRev[],2,0),0)</f>
        <v>1155151.8400000001</v>
      </c>
      <c r="BE274" s="41">
        <f>IFERROR(VLOOKUP($A274,FoodRev[],3,0),0)</f>
        <v>651337.96</v>
      </c>
      <c r="BF274" s="41">
        <f>IFERROR(VLOOKUP($A274,FoodRev[],4,0),0)</f>
        <v>0</v>
      </c>
      <c r="BG274" s="41">
        <f>IFERROR(VLOOKUP($A274,FoodRev[],5,0),0)</f>
        <v>1792336.33</v>
      </c>
      <c r="BH274" s="41">
        <f>IFERROR(VLOOKUP($A274,FoodRev[],6,0),0)</f>
        <v>0</v>
      </c>
      <c r="BI274" s="41">
        <f>IFERROR(VLOOKUP($A274,FoodRev[],7,0),0)</f>
        <v>0</v>
      </c>
      <c r="BJ274" s="41">
        <f>IFERROR(VLOOKUP($A274,FoodRev[],8,0),0)</f>
        <v>219321.75</v>
      </c>
      <c r="BK274" s="41">
        <f>IFERROR(VLOOKUP($A274,FoodRev[],9,0),0)</f>
        <v>0</v>
      </c>
      <c r="BL274" s="41">
        <f>IFERROR(VLOOKUP($A274,FoodRev[],10,0),0)</f>
        <v>0</v>
      </c>
      <c r="BM274" s="41">
        <f t="shared" si="72"/>
        <v>3818147.88</v>
      </c>
      <c r="BN274" s="42">
        <f t="shared" si="66"/>
        <v>831281.93999999948</v>
      </c>
      <c r="BO274" s="78">
        <f t="shared" si="67"/>
        <v>831281.93999999948</v>
      </c>
      <c r="BP274" s="78">
        <f t="shared" si="68"/>
        <v>0</v>
      </c>
    </row>
    <row r="275" spans="1:68" x14ac:dyDescent="0.25">
      <c r="A275" s="40" t="s">
        <v>318</v>
      </c>
      <c r="B275" s="40" t="s">
        <v>944</v>
      </c>
      <c r="D275" s="203">
        <f t="shared" si="69"/>
        <v>1.862645149230957E-9</v>
      </c>
      <c r="E275" s="41">
        <f>IFERROR(VLOOKUP(A275,Items[],5,0),0)</f>
        <v>15051231.49</v>
      </c>
      <c r="F275" s="42">
        <f t="shared" si="70"/>
        <v>15051231.489999998</v>
      </c>
      <c r="G275" s="41">
        <v>0</v>
      </c>
      <c r="H275" s="41">
        <f>IFERROR(VLOOKUP(A275,Items[],4,0),0)</f>
        <v>16489021.84</v>
      </c>
      <c r="I275" s="41">
        <f>IFERROR(VLOOKUP(A275,Community[],4,0),0)</f>
        <v>0</v>
      </c>
      <c r="J275" s="41">
        <f>IFERROR(VLOOKUP(A275,Community[],5,0),0)</f>
        <v>0</v>
      </c>
      <c r="K275" s="41">
        <f>IFERROR(VLOOKUP(A275,Community[],6,0),0)</f>
        <v>55245.53</v>
      </c>
      <c r="L275" s="41">
        <f>IFERROR(VLOOKUP(A275,Community[],7,0),0)</f>
        <v>0</v>
      </c>
      <c r="M275" s="41">
        <f>IFERROR(VLOOKUP(A275,Debt[],3,0),0)</f>
        <v>1944</v>
      </c>
      <c r="N275" s="41">
        <f>IFERROR(VLOOKUP(A275,Debt[],4,0),0)</f>
        <v>7776</v>
      </c>
      <c r="O275" s="41">
        <f>IFERROR(VLOOKUP(A275,Debt[],5,0),0)</f>
        <v>0</v>
      </c>
      <c r="P275" s="41">
        <f>IFERROR(VLOOKUP(A275,Items[],3,0),0)</f>
        <v>229352.31</v>
      </c>
      <c r="Q275" s="41">
        <f>IFERROR(VLOOKUP($A275,Federal[],2,0),0)</f>
        <v>7.4</v>
      </c>
      <c r="R275" s="41">
        <f>IFERROR(VLOOKUP($A275,Federal[],4,0),0)</f>
        <v>883037.29</v>
      </c>
      <c r="S275" s="41"/>
      <c r="T275" s="47">
        <f>IFERROR(VLOOKUP($A275,Program[],3,0),0)</f>
        <v>0</v>
      </c>
      <c r="U275" s="47"/>
      <c r="V275" s="41">
        <f>IFERROR(VLOOKUP($A275,Program[],4,0),0)</f>
        <v>0</v>
      </c>
      <c r="W275" s="41">
        <f>IFERROR(VLOOKUP($A275,Program[],5,0),0)</f>
        <v>0</v>
      </c>
      <c r="X275" s="41"/>
      <c r="Y275" s="41"/>
      <c r="Z275" s="41"/>
      <c r="AA275" s="41">
        <f>IFERROR(VLOOKUP($A275,Program[],6,0),0)</f>
        <v>0</v>
      </c>
      <c r="AB275" s="41"/>
      <c r="AC275" s="41"/>
      <c r="AD275" s="41">
        <f>IFERROR(VLOOKUP($A275,Program[],7,0),0)</f>
        <v>0</v>
      </c>
      <c r="AE275" s="41">
        <f>IFERROR(VLOOKUP($A275,Program[],8,0),0)</f>
        <v>0</v>
      </c>
      <c r="AF275" s="41">
        <f>IFERROR(VLOOKUP($A275,Program[],9,0),0)</f>
        <v>0</v>
      </c>
      <c r="AG275" s="41">
        <f>IFERROR(VLOOKUP($A275,Program[],10,0),0)</f>
        <v>0</v>
      </c>
      <c r="AH275" s="41">
        <f>IFERROR(VLOOKUP($A275,Program[],11,0),0)</f>
        <v>10611.09</v>
      </c>
      <c r="AI275" s="41">
        <f>IFERROR(VLOOKUP($A275,Program[],12,0),0)</f>
        <v>0</v>
      </c>
      <c r="AJ275" s="41"/>
      <c r="AK275" s="41">
        <f>IFERROR(VLOOKUP($A275,Program[],13,0),0)</f>
        <v>0</v>
      </c>
      <c r="AL275" s="41"/>
      <c r="AM275" s="41"/>
      <c r="AN275" s="41"/>
      <c r="AO275" s="41"/>
      <c r="AP275" s="41"/>
      <c r="AQ275" s="41"/>
      <c r="AR275" s="41"/>
      <c r="AS275" s="41">
        <f>IFERROR(VLOOKUP($A275,Program[],14,0),0)</f>
        <v>0</v>
      </c>
      <c r="AT275" s="41"/>
      <c r="AU275" s="41"/>
      <c r="AV275" s="41">
        <f>IFERROR(VLOOKUP($A275,Program[],15,0),0)</f>
        <v>0</v>
      </c>
      <c r="AW275" s="41"/>
      <c r="AX275" s="41">
        <f>IFERROR(VLOOKUP($A275,Program[],16,0),0)</f>
        <v>0</v>
      </c>
      <c r="AY275" s="41">
        <f>IFERROR(VLOOKUP($A275,Program[],17,0),0)</f>
        <v>0</v>
      </c>
      <c r="AZ275" s="41">
        <f>IFERROR(VLOOKUP($A275,Program[],18,0),0)</f>
        <v>0</v>
      </c>
      <c r="BA275" s="41">
        <f>IFERROR(VLOOKUP($A275,Program[],19,0),0)</f>
        <v>0</v>
      </c>
      <c r="BB275" s="77">
        <f t="shared" si="71"/>
        <v>95295.259999999907</v>
      </c>
      <c r="BC275" s="41">
        <f>IFERROR(VLOOKUP(A275,Food[],3,0),0)</f>
        <v>707989.65999999992</v>
      </c>
      <c r="BD275" s="41">
        <f>IFERROR(VLOOKUP($A275,FoodRev[],2,0),0)</f>
        <v>109908.42</v>
      </c>
      <c r="BE275" s="41">
        <f>IFERROR(VLOOKUP($A275,FoodRev[],3,0),0)</f>
        <v>147432.73000000001</v>
      </c>
      <c r="BF275" s="41">
        <f>IFERROR(VLOOKUP($A275,FoodRev[],4,0),0)</f>
        <v>13697.76</v>
      </c>
      <c r="BG275" s="41">
        <f>IFERROR(VLOOKUP($A275,FoodRev[],5,0),0)</f>
        <v>316134.71999999997</v>
      </c>
      <c r="BH275" s="41">
        <f>IFERROR(VLOOKUP($A275,FoodRev[],6,0),0)</f>
        <v>0</v>
      </c>
      <c r="BI275" s="41">
        <f>IFERROR(VLOOKUP($A275,FoodRev[],7,0),0)</f>
        <v>0</v>
      </c>
      <c r="BJ275" s="41">
        <f>IFERROR(VLOOKUP($A275,FoodRev[],8,0),0)</f>
        <v>25520.77</v>
      </c>
      <c r="BK275" s="41">
        <f>IFERROR(VLOOKUP($A275,FoodRev[],9,0),0)</f>
        <v>0</v>
      </c>
      <c r="BL275" s="41">
        <f>IFERROR(VLOOKUP($A275,FoodRev[],10,0),0)</f>
        <v>0</v>
      </c>
      <c r="BM275" s="41">
        <f t="shared" si="72"/>
        <v>612694.4</v>
      </c>
      <c r="BN275" s="42">
        <f t="shared" si="66"/>
        <v>95295.259999999907</v>
      </c>
      <c r="BO275" s="78">
        <f t="shared" si="67"/>
        <v>95295.259999999907</v>
      </c>
      <c r="BP275" s="78">
        <f t="shared" si="68"/>
        <v>0</v>
      </c>
    </row>
    <row r="276" spans="1:68" x14ac:dyDescent="0.25">
      <c r="A276" s="40" t="s">
        <v>352</v>
      </c>
      <c r="B276" s="40" t="s">
        <v>945</v>
      </c>
      <c r="D276" s="203">
        <f t="shared" si="69"/>
        <v>1.862645149230957E-9</v>
      </c>
      <c r="E276" s="41">
        <f>IFERROR(VLOOKUP(A276,Items[],5,0),0)</f>
        <v>11303109.470000001</v>
      </c>
      <c r="F276" s="42">
        <f t="shared" si="70"/>
        <v>11303109.469999999</v>
      </c>
      <c r="G276" s="41">
        <v>0</v>
      </c>
      <c r="H276" s="41">
        <f>IFERROR(VLOOKUP(A276,Items[],4,0),0)</f>
        <v>11976145.09</v>
      </c>
      <c r="I276" s="41">
        <f>IFERROR(VLOOKUP(A276,Community[],4,0),0)</f>
        <v>0</v>
      </c>
      <c r="J276" s="41">
        <f>IFERROR(VLOOKUP(A276,Community[],5,0),0)</f>
        <v>0</v>
      </c>
      <c r="K276" s="41">
        <f>IFERROR(VLOOKUP(A276,Community[],6,0),0)</f>
        <v>0</v>
      </c>
      <c r="L276" s="41">
        <f>IFERROR(VLOOKUP(A276,Community[],7,0),0)</f>
        <v>579.24</v>
      </c>
      <c r="M276" s="41">
        <f>IFERROR(VLOOKUP(A276,Debt[],3,0),0)</f>
        <v>0</v>
      </c>
      <c r="N276" s="41">
        <f>IFERROR(VLOOKUP(A276,Debt[],4,0),0)</f>
        <v>17337.509999999998</v>
      </c>
      <c r="O276" s="41">
        <f>IFERROR(VLOOKUP(A276,Debt[],5,0),0)</f>
        <v>0</v>
      </c>
      <c r="P276" s="41">
        <f>IFERROR(VLOOKUP(A276,Items[],3,0),0)</f>
        <v>77754.22</v>
      </c>
      <c r="Q276" s="41">
        <f>IFERROR(VLOOKUP($A276,Federal[],2,0),0)</f>
        <v>4.26</v>
      </c>
      <c r="R276" s="41">
        <f>IFERROR(VLOOKUP($A276,Federal[],4,0),0)</f>
        <v>454117.17</v>
      </c>
      <c r="S276" s="41"/>
      <c r="T276" s="47">
        <f>IFERROR(VLOOKUP($A276,Program[],3,0),0)</f>
        <v>0</v>
      </c>
      <c r="U276" s="47"/>
      <c r="V276" s="41">
        <f>IFERROR(VLOOKUP($A276,Program[],4,0),0)</f>
        <v>0</v>
      </c>
      <c r="W276" s="41">
        <f>IFERROR(VLOOKUP($A276,Program[],5,0),0)</f>
        <v>0</v>
      </c>
      <c r="X276" s="41"/>
      <c r="Y276" s="41"/>
      <c r="Z276" s="41"/>
      <c r="AA276" s="41">
        <f>IFERROR(VLOOKUP($A276,Program[],6,0),0)</f>
        <v>0</v>
      </c>
      <c r="AB276" s="41"/>
      <c r="AC276" s="41"/>
      <c r="AD276" s="41">
        <f>IFERROR(VLOOKUP($A276,Program[],7,0),0)</f>
        <v>0</v>
      </c>
      <c r="AE276" s="41">
        <f>IFERROR(VLOOKUP($A276,Program[],8,0),0)</f>
        <v>0</v>
      </c>
      <c r="AF276" s="41">
        <f>IFERROR(VLOOKUP($A276,Program[],9,0),0)</f>
        <v>0</v>
      </c>
      <c r="AG276" s="41">
        <f>IFERROR(VLOOKUP($A276,Program[],10,0),0)</f>
        <v>0</v>
      </c>
      <c r="AH276" s="41">
        <f>IFERROR(VLOOKUP($A276,Program[],11,0),0)</f>
        <v>0</v>
      </c>
      <c r="AI276" s="41">
        <f>IFERROR(VLOOKUP($A276,Program[],12,0),0)</f>
        <v>0</v>
      </c>
      <c r="AJ276" s="41"/>
      <c r="AK276" s="41">
        <f>IFERROR(VLOOKUP($A276,Program[],13,0),0)</f>
        <v>0</v>
      </c>
      <c r="AL276" s="41"/>
      <c r="AM276" s="41"/>
      <c r="AN276" s="41"/>
      <c r="AO276" s="41"/>
      <c r="AP276" s="41"/>
      <c r="AQ276" s="41"/>
      <c r="AR276" s="41"/>
      <c r="AS276" s="41">
        <f>IFERROR(VLOOKUP($A276,Program[],14,0),0)</f>
        <v>0</v>
      </c>
      <c r="AT276" s="41"/>
      <c r="AU276" s="41"/>
      <c r="AV276" s="41">
        <f>IFERROR(VLOOKUP($A276,Program[],15,0),0)</f>
        <v>0</v>
      </c>
      <c r="AW276" s="41"/>
      <c r="AX276" s="41">
        <f>IFERROR(VLOOKUP($A276,Program[],16,0),0)</f>
        <v>0</v>
      </c>
      <c r="AY276" s="41">
        <f>IFERROR(VLOOKUP($A276,Program[],17,0),0)</f>
        <v>0</v>
      </c>
      <c r="AZ276" s="41">
        <f>IFERROR(VLOOKUP($A276,Program[],18,0),0)</f>
        <v>0</v>
      </c>
      <c r="BA276" s="41">
        <f>IFERROR(VLOOKUP($A276,Program[],19,0),0)</f>
        <v>0</v>
      </c>
      <c r="BB276" s="77">
        <f t="shared" si="71"/>
        <v>57979.389999999992</v>
      </c>
      <c r="BC276" s="41">
        <f>IFERROR(VLOOKUP(A276,Food[],3,0),0)</f>
        <v>313923.99</v>
      </c>
      <c r="BD276" s="41">
        <f>IFERROR(VLOOKUP($A276,FoodRev[],2,0),0)</f>
        <v>118554.28</v>
      </c>
      <c r="BE276" s="41">
        <f>IFERROR(VLOOKUP($A276,FoodRev[],3,0),0)</f>
        <v>4688.9399999999996</v>
      </c>
      <c r="BF276" s="41">
        <f>IFERROR(VLOOKUP($A276,FoodRev[],4,0),0)</f>
        <v>0</v>
      </c>
      <c r="BG276" s="41">
        <f>IFERROR(VLOOKUP($A276,FoodRev[],5,0),0)</f>
        <v>96166.76</v>
      </c>
      <c r="BH276" s="41">
        <f>IFERROR(VLOOKUP($A276,FoodRev[],6,0),0)</f>
        <v>0</v>
      </c>
      <c r="BI276" s="41">
        <f>IFERROR(VLOOKUP($A276,FoodRev[],7,0),0)</f>
        <v>0</v>
      </c>
      <c r="BJ276" s="41">
        <f>IFERROR(VLOOKUP($A276,FoodRev[],8,0),0)</f>
        <v>36534.620000000003</v>
      </c>
      <c r="BK276" s="41">
        <f>IFERROR(VLOOKUP($A276,FoodRev[],9,0),0)</f>
        <v>0</v>
      </c>
      <c r="BL276" s="41">
        <f>IFERROR(VLOOKUP($A276,FoodRev[],10,0),0)</f>
        <v>0</v>
      </c>
      <c r="BM276" s="41">
        <f t="shared" si="72"/>
        <v>255944.59999999998</v>
      </c>
      <c r="BN276" s="42">
        <f t="shared" si="66"/>
        <v>57979.389999999992</v>
      </c>
      <c r="BO276" s="78">
        <f t="shared" si="67"/>
        <v>57979.389999999992</v>
      </c>
      <c r="BP276" s="78">
        <f t="shared" si="68"/>
        <v>0</v>
      </c>
    </row>
    <row r="277" spans="1:68" x14ac:dyDescent="0.25">
      <c r="A277" s="40" t="s">
        <v>210</v>
      </c>
      <c r="B277" s="40" t="s">
        <v>946</v>
      </c>
      <c r="D277" s="203">
        <f t="shared" si="69"/>
        <v>0</v>
      </c>
      <c r="E277" s="41">
        <f>IFERROR(VLOOKUP(A277,Items[],5,0),0)</f>
        <v>36712160.609999999</v>
      </c>
      <c r="F277" s="42">
        <f t="shared" si="70"/>
        <v>36712160.609999999</v>
      </c>
      <c r="G277" s="41">
        <v>0</v>
      </c>
      <c r="H277" s="41">
        <f>IFERROR(VLOOKUP(A277,Items[],4,0),0)</f>
        <v>39969944.93</v>
      </c>
      <c r="I277" s="41">
        <f>IFERROR(VLOOKUP(A277,Community[],4,0),0)</f>
        <v>0</v>
      </c>
      <c r="J277" s="41">
        <f>IFERROR(VLOOKUP(A277,Community[],5,0),0)</f>
        <v>0</v>
      </c>
      <c r="K277" s="41">
        <f>IFERROR(VLOOKUP(A277,Community[],6,0),0)</f>
        <v>635.68000000000006</v>
      </c>
      <c r="L277" s="41">
        <f>IFERROR(VLOOKUP(A277,Community[],7,0),0)</f>
        <v>0</v>
      </c>
      <c r="M277" s="41">
        <f>IFERROR(VLOOKUP(A277,Debt[],3,0),0)</f>
        <v>739.97</v>
      </c>
      <c r="N277" s="41">
        <f>IFERROR(VLOOKUP(A277,Debt[],4,0),0)</f>
        <v>3460.03</v>
      </c>
      <c r="O277" s="41">
        <f>IFERROR(VLOOKUP(A277,Debt[],5,0),0)</f>
        <v>0</v>
      </c>
      <c r="P277" s="41">
        <f>IFERROR(VLOOKUP(A277,Items[],3,0),0)</f>
        <v>75466.05</v>
      </c>
      <c r="Q277" s="41">
        <f>IFERROR(VLOOKUP($A277,Federal[],2,0),0)</f>
        <v>15.77</v>
      </c>
      <c r="R277" s="41">
        <f>IFERROR(VLOOKUP($A277,Federal[],4,0),0)</f>
        <v>2895304.96</v>
      </c>
      <c r="S277" s="41"/>
      <c r="T277" s="47">
        <f>IFERROR(VLOOKUP($A277,Program[],3,0),0)</f>
        <v>0</v>
      </c>
      <c r="U277" s="47"/>
      <c r="V277" s="41">
        <f>IFERROR(VLOOKUP($A277,Program[],4,0),0)</f>
        <v>0</v>
      </c>
      <c r="W277" s="41">
        <f>IFERROR(VLOOKUP($A277,Program[],5,0),0)</f>
        <v>0</v>
      </c>
      <c r="X277" s="41"/>
      <c r="Y277" s="41"/>
      <c r="Z277" s="41"/>
      <c r="AA277" s="41">
        <f>IFERROR(VLOOKUP($A277,Program[],6,0),0)</f>
        <v>0</v>
      </c>
      <c r="AB277" s="41"/>
      <c r="AC277" s="41"/>
      <c r="AD277" s="41">
        <f>IFERROR(VLOOKUP($A277,Program[],7,0),0)</f>
        <v>0</v>
      </c>
      <c r="AE277" s="41">
        <f>IFERROR(VLOOKUP($A277,Program[],8,0),0)</f>
        <v>0</v>
      </c>
      <c r="AF277" s="41">
        <f>IFERROR(VLOOKUP($A277,Program[],9,0),0)</f>
        <v>0</v>
      </c>
      <c r="AG277" s="41">
        <f>IFERROR(VLOOKUP($A277,Program[],10,0),0)</f>
        <v>0</v>
      </c>
      <c r="AH277" s="41">
        <f>IFERROR(VLOOKUP($A277,Program[],11,0),0)</f>
        <v>0</v>
      </c>
      <c r="AI277" s="41">
        <f>IFERROR(VLOOKUP($A277,Program[],12,0),0)</f>
        <v>0</v>
      </c>
      <c r="AJ277" s="41"/>
      <c r="AK277" s="41">
        <f>IFERROR(VLOOKUP($A277,Program[],13,0),0)</f>
        <v>0</v>
      </c>
      <c r="AL277" s="41"/>
      <c r="AM277" s="41"/>
      <c r="AN277" s="41"/>
      <c r="AO277" s="41"/>
      <c r="AP277" s="41"/>
      <c r="AQ277" s="41"/>
      <c r="AR277" s="41"/>
      <c r="AS277" s="41">
        <f>IFERROR(VLOOKUP($A277,Program[],14,0),0)</f>
        <v>0</v>
      </c>
      <c r="AT277" s="41"/>
      <c r="AU277" s="41"/>
      <c r="AV277" s="41">
        <f>IFERROR(VLOOKUP($A277,Program[],15,0),0)</f>
        <v>0</v>
      </c>
      <c r="AW277" s="41"/>
      <c r="AX277" s="41">
        <f>IFERROR(VLOOKUP($A277,Program[],16,0),0)</f>
        <v>0</v>
      </c>
      <c r="AY277" s="41">
        <f>IFERROR(VLOOKUP($A277,Program[],17,0),0)</f>
        <v>0</v>
      </c>
      <c r="AZ277" s="41">
        <f>IFERROR(VLOOKUP($A277,Program[],18,0),0)</f>
        <v>0</v>
      </c>
      <c r="BA277" s="41">
        <f>IFERROR(VLOOKUP($A277,Program[],19,0),0)</f>
        <v>0</v>
      </c>
      <c r="BB277" s="77">
        <f t="shared" si="71"/>
        <v>0</v>
      </c>
      <c r="BC277" s="41">
        <f>IFERROR(VLOOKUP(A277,Food[],3,0),0)</f>
        <v>1195882.47</v>
      </c>
      <c r="BD277" s="41">
        <f>IFERROR(VLOOKUP($A277,FoodRev[],2,0),0)</f>
        <v>140052.21</v>
      </c>
      <c r="BE277" s="41">
        <f>IFERROR(VLOOKUP($A277,FoodRev[],3,0),0)</f>
        <v>237916.66</v>
      </c>
      <c r="BF277" s="41">
        <f>IFERROR(VLOOKUP($A277,FoodRev[],4,0),0)</f>
        <v>0</v>
      </c>
      <c r="BG277" s="41">
        <f>IFERROR(VLOOKUP($A277,FoodRev[],5,0),0)</f>
        <v>833937.89</v>
      </c>
      <c r="BH277" s="41">
        <f>IFERROR(VLOOKUP($A277,FoodRev[],6,0),0)</f>
        <v>0</v>
      </c>
      <c r="BI277" s="41">
        <f>IFERROR(VLOOKUP($A277,FoodRev[],7,0),0)</f>
        <v>0</v>
      </c>
      <c r="BJ277" s="41">
        <f>IFERROR(VLOOKUP($A277,FoodRev[],8,0),0)</f>
        <v>79782.720000000001</v>
      </c>
      <c r="BK277" s="41">
        <f>IFERROR(VLOOKUP($A277,FoodRev[],9,0),0)</f>
        <v>0</v>
      </c>
      <c r="BL277" s="41">
        <f>IFERROR(VLOOKUP($A277,FoodRev[],10,0),0)</f>
        <v>0</v>
      </c>
      <c r="BM277" s="41">
        <f t="shared" si="72"/>
        <v>1291689.48</v>
      </c>
      <c r="BN277" s="42">
        <f t="shared" si="66"/>
        <v>-95807.010000000038</v>
      </c>
      <c r="BO277" s="78">
        <f t="shared" si="67"/>
        <v>0</v>
      </c>
      <c r="BP277" s="78">
        <f t="shared" si="68"/>
        <v>-95807.010000000038</v>
      </c>
    </row>
    <row r="278" spans="1:68" x14ac:dyDescent="0.25">
      <c r="A278" s="40" t="s">
        <v>276</v>
      </c>
      <c r="B278" s="40" t="s">
        <v>947</v>
      </c>
      <c r="D278" s="203">
        <f t="shared" si="69"/>
        <v>0</v>
      </c>
      <c r="E278" s="41">
        <f>IFERROR(VLOOKUP(A278,Items[],5,0),0)</f>
        <v>21169483.399999999</v>
      </c>
      <c r="F278" s="42">
        <f t="shared" si="70"/>
        <v>21169483.399999999</v>
      </c>
      <c r="G278" s="41">
        <v>0</v>
      </c>
      <c r="H278" s="41">
        <f>IFERROR(VLOOKUP(A278,Items[],4,0),0)</f>
        <v>22804986.440000001</v>
      </c>
      <c r="I278" s="41">
        <f>IFERROR(VLOOKUP(A278,Community[],4,0),0)</f>
        <v>0</v>
      </c>
      <c r="J278" s="41">
        <f>IFERROR(VLOOKUP(A278,Community[],5,0),0)</f>
        <v>0</v>
      </c>
      <c r="K278" s="41">
        <f>IFERROR(VLOOKUP(A278,Community[],6,0),0)</f>
        <v>0</v>
      </c>
      <c r="L278" s="41">
        <f>IFERROR(VLOOKUP(A278,Community[],7,0),0)</f>
        <v>0</v>
      </c>
      <c r="M278" s="41">
        <f>IFERROR(VLOOKUP(A278,Debt[],3,0),0)</f>
        <v>3780.88</v>
      </c>
      <c r="N278" s="41">
        <f>IFERROR(VLOOKUP(A278,Debt[],4,0),0)</f>
        <v>36226.120000000003</v>
      </c>
      <c r="O278" s="41">
        <f>IFERROR(VLOOKUP(A278,Debt[],5,0),0)</f>
        <v>0</v>
      </c>
      <c r="P278" s="41">
        <f>IFERROR(VLOOKUP(A278,Items[],3,0),0)</f>
        <v>51397.36</v>
      </c>
      <c r="Q278" s="41">
        <f>IFERROR(VLOOKUP($A278,Federal[],2,0),0)</f>
        <v>9.4600000000000009</v>
      </c>
      <c r="R278" s="41">
        <f>IFERROR(VLOOKUP($A278,Federal[],4,0),0)</f>
        <v>1307111.6399999999</v>
      </c>
      <c r="S278" s="41"/>
      <c r="T278" s="47">
        <f>IFERROR(VLOOKUP($A278,Program[],3,0),0)</f>
        <v>0</v>
      </c>
      <c r="U278" s="47"/>
      <c r="V278" s="41">
        <f>IFERROR(VLOOKUP($A278,Program[],4,0),0)</f>
        <v>0</v>
      </c>
      <c r="W278" s="41">
        <f>IFERROR(VLOOKUP($A278,Program[],5,0),0)</f>
        <v>0</v>
      </c>
      <c r="X278" s="41"/>
      <c r="Y278" s="41"/>
      <c r="Z278" s="41"/>
      <c r="AA278" s="41">
        <f>IFERROR(VLOOKUP($A278,Program[],6,0),0)</f>
        <v>0</v>
      </c>
      <c r="AB278" s="41"/>
      <c r="AC278" s="41"/>
      <c r="AD278" s="41">
        <f>IFERROR(VLOOKUP($A278,Program[],7,0),0)</f>
        <v>0</v>
      </c>
      <c r="AE278" s="41">
        <f>IFERROR(VLOOKUP($A278,Program[],8,0),0)</f>
        <v>0</v>
      </c>
      <c r="AF278" s="41">
        <f>IFERROR(VLOOKUP($A278,Program[],9,0),0)</f>
        <v>0</v>
      </c>
      <c r="AG278" s="41">
        <f>IFERROR(VLOOKUP($A278,Program[],10,0),0)</f>
        <v>0</v>
      </c>
      <c r="AH278" s="41">
        <f>IFERROR(VLOOKUP($A278,Program[],11,0),0)</f>
        <v>0</v>
      </c>
      <c r="AI278" s="41">
        <f>IFERROR(VLOOKUP($A278,Program[],12,0),0)</f>
        <v>0</v>
      </c>
      <c r="AJ278" s="41"/>
      <c r="AK278" s="41">
        <f>IFERROR(VLOOKUP($A278,Program[],13,0),0)</f>
        <v>0</v>
      </c>
      <c r="AL278" s="41"/>
      <c r="AM278" s="41"/>
      <c r="AN278" s="41"/>
      <c r="AO278" s="41"/>
      <c r="AP278" s="41"/>
      <c r="AQ278" s="41"/>
      <c r="AR278" s="41"/>
      <c r="AS278" s="41">
        <f>IFERROR(VLOOKUP($A278,Program[],14,0),0)</f>
        <v>0</v>
      </c>
      <c r="AT278" s="41"/>
      <c r="AU278" s="41"/>
      <c r="AV278" s="41">
        <f>IFERROR(VLOOKUP($A278,Program[],15,0),0)</f>
        <v>0</v>
      </c>
      <c r="AW278" s="41"/>
      <c r="AX278" s="41">
        <f>IFERROR(VLOOKUP($A278,Program[],16,0),0)</f>
        <v>0</v>
      </c>
      <c r="AY278" s="41">
        <f>IFERROR(VLOOKUP($A278,Program[],17,0),0)</f>
        <v>0</v>
      </c>
      <c r="AZ278" s="41">
        <f>IFERROR(VLOOKUP($A278,Program[],18,0),0)</f>
        <v>0</v>
      </c>
      <c r="BA278" s="41">
        <f>IFERROR(VLOOKUP($A278,Program[],19,0),0)</f>
        <v>0</v>
      </c>
      <c r="BB278" s="77">
        <f t="shared" si="71"/>
        <v>132964.78000000009</v>
      </c>
      <c r="BC278" s="41">
        <f>IFERROR(VLOOKUP(A278,Food[],3,0),0)</f>
        <v>890899.51</v>
      </c>
      <c r="BD278" s="41">
        <f>IFERROR(VLOOKUP($A278,FoodRev[],2,0),0)</f>
        <v>37351.480000000003</v>
      </c>
      <c r="BE278" s="41">
        <f>IFERROR(VLOOKUP($A278,FoodRev[],3,0),0)</f>
        <v>199626.1</v>
      </c>
      <c r="BF278" s="41">
        <f>IFERROR(VLOOKUP($A278,FoodRev[],4,0),0)</f>
        <v>0</v>
      </c>
      <c r="BG278" s="41">
        <f>IFERROR(VLOOKUP($A278,FoodRev[],5,0),0)</f>
        <v>481772.72</v>
      </c>
      <c r="BH278" s="41">
        <f>IFERROR(VLOOKUP($A278,FoodRev[],6,0),0)</f>
        <v>0</v>
      </c>
      <c r="BI278" s="41">
        <f>IFERROR(VLOOKUP($A278,FoodRev[],7,0),0)</f>
        <v>0</v>
      </c>
      <c r="BJ278" s="41">
        <f>IFERROR(VLOOKUP($A278,FoodRev[],8,0),0)</f>
        <v>39184.43</v>
      </c>
      <c r="BK278" s="41">
        <f>IFERROR(VLOOKUP($A278,FoodRev[],9,0),0)</f>
        <v>0</v>
      </c>
      <c r="BL278" s="41">
        <f>IFERROR(VLOOKUP($A278,FoodRev[],10,0),0)</f>
        <v>0</v>
      </c>
      <c r="BM278" s="41">
        <f t="shared" si="72"/>
        <v>757934.7300000001</v>
      </c>
      <c r="BN278" s="42">
        <f t="shared" si="66"/>
        <v>132964.78000000009</v>
      </c>
      <c r="BO278" s="78">
        <f t="shared" si="67"/>
        <v>132964.78000000009</v>
      </c>
      <c r="BP278" s="78">
        <f t="shared" si="68"/>
        <v>0</v>
      </c>
    </row>
    <row r="279" spans="1:68" x14ac:dyDescent="0.25">
      <c r="A279" s="43" t="s">
        <v>1000</v>
      </c>
      <c r="B279" s="43" t="s">
        <v>1164</v>
      </c>
      <c r="D279" s="203">
        <f t="shared" si="69"/>
        <v>-2.3283064365386963E-10</v>
      </c>
      <c r="E279" s="41">
        <f>IFERROR(VLOOKUP(A279,Items[],5,0),0)</f>
        <v>1904588.93</v>
      </c>
      <c r="F279" s="42">
        <f t="shared" si="70"/>
        <v>1904588.9300000002</v>
      </c>
      <c r="G279" s="41">
        <v>0</v>
      </c>
      <c r="H279" s="41">
        <f>IFERROR(VLOOKUP(A279,Items[],4,0),0)</f>
        <v>1915585.02</v>
      </c>
      <c r="I279" s="41">
        <f>IFERROR(VLOOKUP(A279,Community[],4,0),0)</f>
        <v>0</v>
      </c>
      <c r="J279" s="41">
        <f>IFERROR(VLOOKUP(A279,Community[],5,0),0)</f>
        <v>200</v>
      </c>
      <c r="K279" s="41">
        <f>IFERROR(VLOOKUP(A279,Community[],6,0),0)</f>
        <v>0</v>
      </c>
      <c r="L279" s="41">
        <f>IFERROR(VLOOKUP(A279,Community[],7,0),0)</f>
        <v>2397.9499999999998</v>
      </c>
      <c r="M279" s="41">
        <f>IFERROR(VLOOKUP(A279,Debt[],3,0),0)</f>
        <v>0</v>
      </c>
      <c r="N279" s="41">
        <f>IFERROR(VLOOKUP(A279,Debt[],4,0),0)</f>
        <v>0</v>
      </c>
      <c r="O279" s="41">
        <f>IFERROR(VLOOKUP(A279,Debt[],5,0),0)</f>
        <v>0</v>
      </c>
      <c r="P279" s="41">
        <f>IFERROR(VLOOKUP(A279,Items[],3,0),0)</f>
        <v>8398.14</v>
      </c>
      <c r="Q279" s="41">
        <f>IFERROR(VLOOKUP($A279,Federal[],2,0),0)</f>
        <v>0</v>
      </c>
      <c r="R279" s="41">
        <f>IFERROR(VLOOKUP($A279,Federal[],4,0),0)</f>
        <v>0</v>
      </c>
      <c r="S279" s="41"/>
      <c r="T279" s="47">
        <f>IFERROR(VLOOKUP($A279,Program[],3,0),0)</f>
        <v>0</v>
      </c>
      <c r="U279" s="47"/>
      <c r="V279" s="41">
        <f>IFERROR(VLOOKUP($A279,Program[],4,0),0)</f>
        <v>0</v>
      </c>
      <c r="W279" s="41">
        <f>IFERROR(VLOOKUP($A279,Program[],5,0),0)</f>
        <v>0</v>
      </c>
      <c r="X279" s="41"/>
      <c r="Y279" s="41"/>
      <c r="Z279" s="41"/>
      <c r="AA279" s="41">
        <f>IFERROR(VLOOKUP($A279,Program[],6,0),0)</f>
        <v>0</v>
      </c>
      <c r="AB279" s="41"/>
      <c r="AC279" s="41"/>
      <c r="AD279" s="41">
        <f>IFERROR(VLOOKUP($A279,Program[],7,0),0)</f>
        <v>0</v>
      </c>
      <c r="AE279" s="41">
        <f>IFERROR(VLOOKUP($A279,Program[],8,0),0)</f>
        <v>0</v>
      </c>
      <c r="AF279" s="41">
        <f>IFERROR(VLOOKUP($A279,Program[],9,0),0)</f>
        <v>0</v>
      </c>
      <c r="AG279" s="41">
        <f>IFERROR(VLOOKUP($A279,Program[],10,0),0)</f>
        <v>0</v>
      </c>
      <c r="AH279" s="41">
        <f>IFERROR(VLOOKUP($A279,Program[],11,0),0)</f>
        <v>0</v>
      </c>
      <c r="AI279" s="41">
        <f>IFERROR(VLOOKUP($A279,Program[],12,0),0)</f>
        <v>0</v>
      </c>
      <c r="AJ279" s="41"/>
      <c r="AK279" s="41">
        <f>IFERROR(VLOOKUP($A279,Program[],13,0),0)</f>
        <v>0</v>
      </c>
      <c r="AL279" s="41"/>
      <c r="AM279" s="41"/>
      <c r="AN279" s="41"/>
      <c r="AO279" s="41"/>
      <c r="AP279" s="41"/>
      <c r="AQ279" s="41"/>
      <c r="AR279" s="41"/>
      <c r="AS279" s="41">
        <f>IFERROR(VLOOKUP($A279,Program[],14,0),0)</f>
        <v>0</v>
      </c>
      <c r="AT279" s="41"/>
      <c r="AU279" s="41"/>
      <c r="AV279" s="41">
        <f>IFERROR(VLOOKUP($A279,Program[],15,0),0)</f>
        <v>0</v>
      </c>
      <c r="AW279" s="41"/>
      <c r="AX279" s="41">
        <f>IFERROR(VLOOKUP($A279,Program[],16,0),0)</f>
        <v>0</v>
      </c>
      <c r="AY279" s="41">
        <f>IFERROR(VLOOKUP($A279,Program[],17,0),0)</f>
        <v>0</v>
      </c>
      <c r="AZ279" s="41">
        <f>IFERROR(VLOOKUP($A279,Program[],18,0),0)</f>
        <v>0</v>
      </c>
      <c r="BA279" s="41">
        <f>IFERROR(VLOOKUP($A279,Program[],19,0),0)</f>
        <v>0</v>
      </c>
      <c r="BB279" s="77">
        <f t="shared" si="71"/>
        <v>0</v>
      </c>
      <c r="BC279" s="41">
        <f>IFERROR(VLOOKUP(A279,Food[],3,0),0)</f>
        <v>0</v>
      </c>
      <c r="BD279" s="41">
        <f>IFERROR(VLOOKUP($A279,FoodRev[],2,0),0)</f>
        <v>0</v>
      </c>
      <c r="BE279" s="41">
        <f>IFERROR(VLOOKUP($A279,FoodRev[],3,0),0)</f>
        <v>0</v>
      </c>
      <c r="BF279" s="41">
        <f>IFERROR(VLOOKUP($A279,FoodRev[],4,0),0)</f>
        <v>0</v>
      </c>
      <c r="BG279" s="41">
        <f>IFERROR(VLOOKUP($A279,FoodRev[],5,0),0)</f>
        <v>0</v>
      </c>
      <c r="BH279" s="41">
        <f>IFERROR(VLOOKUP($A279,FoodRev[],6,0),0)</f>
        <v>0</v>
      </c>
      <c r="BI279" s="41">
        <f>IFERROR(VLOOKUP($A279,FoodRev[],7,0),0)</f>
        <v>0</v>
      </c>
      <c r="BJ279" s="41">
        <f>IFERROR(VLOOKUP($A279,FoodRev[],8,0),0)</f>
        <v>0</v>
      </c>
      <c r="BK279" s="41">
        <f>IFERROR(VLOOKUP($A279,FoodRev[],9,0),0)</f>
        <v>0</v>
      </c>
      <c r="BL279" s="41">
        <f>IFERROR(VLOOKUP($A279,FoodRev[],10,0),0)</f>
        <v>0</v>
      </c>
      <c r="BM279" s="41">
        <f t="shared" si="72"/>
        <v>0</v>
      </c>
      <c r="BN279" s="42">
        <f t="shared" si="66"/>
        <v>0</v>
      </c>
      <c r="BO279" s="78">
        <f t="shared" si="67"/>
        <v>0</v>
      </c>
      <c r="BP279" s="78">
        <f t="shared" si="68"/>
        <v>0</v>
      </c>
    </row>
    <row r="280" spans="1:68" x14ac:dyDescent="0.25">
      <c r="A280" s="40" t="s">
        <v>398</v>
      </c>
      <c r="B280" s="40" t="s">
        <v>948</v>
      </c>
      <c r="D280" s="203">
        <f t="shared" si="69"/>
        <v>0</v>
      </c>
      <c r="E280" s="41">
        <f>IFERROR(VLOOKUP(A280,Items[],5,0),0)</f>
        <v>6783705.7599999998</v>
      </c>
      <c r="F280" s="42">
        <f t="shared" si="70"/>
        <v>6783705.7599999998</v>
      </c>
      <c r="G280" s="41">
        <v>0</v>
      </c>
      <c r="H280" s="41">
        <f>IFERROR(VLOOKUP(A280,Items[],4,0),0)</f>
        <v>7766409.9199999999</v>
      </c>
      <c r="I280" s="41">
        <f>IFERROR(VLOOKUP(A280,Community[],4,0),0)</f>
        <v>0</v>
      </c>
      <c r="J280" s="41">
        <f>IFERROR(VLOOKUP(A280,Community[],5,0),0)</f>
        <v>0</v>
      </c>
      <c r="K280" s="41">
        <f>IFERROR(VLOOKUP(A280,Community[],6,0),0)</f>
        <v>0</v>
      </c>
      <c r="L280" s="41">
        <f>IFERROR(VLOOKUP(A280,Community[],7,0),0)</f>
        <v>0</v>
      </c>
      <c r="M280" s="41">
        <f>IFERROR(VLOOKUP(A280,Debt[],3,0),0)</f>
        <v>0</v>
      </c>
      <c r="N280" s="41">
        <f>IFERROR(VLOOKUP(A280,Debt[],4,0),0)</f>
        <v>0</v>
      </c>
      <c r="O280" s="41">
        <f>IFERROR(VLOOKUP(A280,Debt[],5,0),0)</f>
        <v>0</v>
      </c>
      <c r="P280" s="41">
        <f>IFERROR(VLOOKUP(A280,Items[],3,0),0)</f>
        <v>32814.32</v>
      </c>
      <c r="Q280" s="41">
        <f>IFERROR(VLOOKUP($A280,Federal[],2,0),0)</f>
        <v>5075.76</v>
      </c>
      <c r="R280" s="41">
        <f>IFERROR(VLOOKUP($A280,Federal[],4,0),0)</f>
        <v>920162.96</v>
      </c>
      <c r="S280" s="41"/>
      <c r="T280" s="47">
        <f>IFERROR(VLOOKUP($A280,Program[],3,0),0)</f>
        <v>0</v>
      </c>
      <c r="U280" s="47"/>
      <c r="V280" s="41">
        <f>IFERROR(VLOOKUP($A280,Program[],4,0),0)</f>
        <v>0</v>
      </c>
      <c r="W280" s="41">
        <f>IFERROR(VLOOKUP($A280,Program[],5,0),0)</f>
        <v>0</v>
      </c>
      <c r="X280" s="41"/>
      <c r="Y280" s="41"/>
      <c r="Z280" s="41"/>
      <c r="AA280" s="41">
        <f>IFERROR(VLOOKUP($A280,Program[],6,0),0)</f>
        <v>0</v>
      </c>
      <c r="AB280" s="41"/>
      <c r="AC280" s="41"/>
      <c r="AD280" s="41">
        <f>IFERROR(VLOOKUP($A280,Program[],7,0),0)</f>
        <v>0</v>
      </c>
      <c r="AE280" s="41">
        <f>IFERROR(VLOOKUP($A280,Program[],8,0),0)</f>
        <v>0</v>
      </c>
      <c r="AF280" s="41">
        <f>IFERROR(VLOOKUP($A280,Program[],9,0),0)</f>
        <v>0</v>
      </c>
      <c r="AG280" s="41">
        <f>IFERROR(VLOOKUP($A280,Program[],10,0),0)</f>
        <v>0</v>
      </c>
      <c r="AH280" s="41">
        <f>IFERROR(VLOOKUP($A280,Program[],11,0),0)</f>
        <v>0</v>
      </c>
      <c r="AI280" s="41">
        <f>IFERROR(VLOOKUP($A280,Program[],12,0),0)</f>
        <v>0</v>
      </c>
      <c r="AJ280" s="41"/>
      <c r="AK280" s="41">
        <f>IFERROR(VLOOKUP($A280,Program[],13,0),0)</f>
        <v>0</v>
      </c>
      <c r="AL280" s="41"/>
      <c r="AM280" s="41"/>
      <c r="AN280" s="41"/>
      <c r="AO280" s="41"/>
      <c r="AP280" s="41"/>
      <c r="AQ280" s="41"/>
      <c r="AR280" s="41"/>
      <c r="AS280" s="41">
        <f>IFERROR(VLOOKUP($A280,Program[],14,0),0)</f>
        <v>0</v>
      </c>
      <c r="AT280" s="41"/>
      <c r="AU280" s="41"/>
      <c r="AV280" s="41">
        <f>IFERROR(VLOOKUP($A280,Program[],15,0),0)</f>
        <v>0</v>
      </c>
      <c r="AW280" s="41"/>
      <c r="AX280" s="41">
        <f>IFERROR(VLOOKUP($A280,Program[],16,0),0)</f>
        <v>0</v>
      </c>
      <c r="AY280" s="41">
        <f>IFERROR(VLOOKUP($A280,Program[],17,0),0)</f>
        <v>0</v>
      </c>
      <c r="AZ280" s="41">
        <f>IFERROR(VLOOKUP($A280,Program[],18,0),0)</f>
        <v>0</v>
      </c>
      <c r="BA280" s="41">
        <f>IFERROR(VLOOKUP($A280,Program[],19,0),0)</f>
        <v>0</v>
      </c>
      <c r="BB280" s="77">
        <f t="shared" si="71"/>
        <v>109798.47999999998</v>
      </c>
      <c r="BC280" s="41">
        <f>IFERROR(VLOOKUP(A280,Food[],3,0),0)</f>
        <v>316223.71999999997</v>
      </c>
      <c r="BD280" s="41">
        <f>IFERROR(VLOOKUP($A280,FoodRev[],2,0),0)</f>
        <v>1445.32</v>
      </c>
      <c r="BE280" s="41">
        <f>IFERROR(VLOOKUP($A280,FoodRev[],3,0),0)</f>
        <v>23205.8</v>
      </c>
      <c r="BF280" s="41">
        <f>IFERROR(VLOOKUP($A280,FoodRev[],4,0),0)</f>
        <v>0</v>
      </c>
      <c r="BG280" s="41">
        <f>IFERROR(VLOOKUP($A280,FoodRev[],5,0),0)</f>
        <v>161067.07999999999</v>
      </c>
      <c r="BH280" s="41">
        <f>IFERROR(VLOOKUP($A280,FoodRev[],6,0),0)</f>
        <v>0</v>
      </c>
      <c r="BI280" s="41">
        <f>IFERROR(VLOOKUP($A280,FoodRev[],7,0),0)</f>
        <v>0</v>
      </c>
      <c r="BJ280" s="41">
        <f>IFERROR(VLOOKUP($A280,FoodRev[],8,0),0)</f>
        <v>20707.04</v>
      </c>
      <c r="BK280" s="41">
        <f>IFERROR(VLOOKUP($A280,FoodRev[],9,0),0)</f>
        <v>0</v>
      </c>
      <c r="BL280" s="41">
        <f>IFERROR(VLOOKUP($A280,FoodRev[],10,0),0)</f>
        <v>0</v>
      </c>
      <c r="BM280" s="41">
        <f t="shared" si="72"/>
        <v>206425.24</v>
      </c>
      <c r="BN280" s="42">
        <f t="shared" si="66"/>
        <v>109798.47999999998</v>
      </c>
      <c r="BO280" s="78">
        <f t="shared" si="67"/>
        <v>109798.47999999998</v>
      </c>
      <c r="BP280" s="78">
        <f t="shared" si="68"/>
        <v>0</v>
      </c>
    </row>
    <row r="281" spans="1:68" x14ac:dyDescent="0.25">
      <c r="A281" s="40" t="s">
        <v>602</v>
      </c>
      <c r="B281" s="40" t="s">
        <v>949</v>
      </c>
      <c r="D281" s="203">
        <f t="shared" si="69"/>
        <v>0</v>
      </c>
      <c r="E281" s="41">
        <f>IFERROR(VLOOKUP(A281,Items[],5,0),0)</f>
        <v>680661.64</v>
      </c>
      <c r="F281" s="42">
        <f t="shared" si="70"/>
        <v>680661.64</v>
      </c>
      <c r="G281" s="41">
        <v>0</v>
      </c>
      <c r="H281" s="41">
        <f>IFERROR(VLOOKUP(A281,Items[],4,0),0)</f>
        <v>831346.33</v>
      </c>
      <c r="I281" s="41">
        <f>IFERROR(VLOOKUP(A281,Community[],4,0),0)</f>
        <v>0</v>
      </c>
      <c r="J281" s="41">
        <f>IFERROR(VLOOKUP(A281,Community[],5,0),0)</f>
        <v>0</v>
      </c>
      <c r="K281" s="41">
        <f>IFERROR(VLOOKUP(A281,Community[],6,0),0)</f>
        <v>0</v>
      </c>
      <c r="L281" s="41">
        <f>IFERROR(VLOOKUP(A281,Community[],7,0),0)</f>
        <v>0</v>
      </c>
      <c r="M281" s="41">
        <f>IFERROR(VLOOKUP(A281,Debt[],3,0),0)</f>
        <v>0</v>
      </c>
      <c r="N281" s="41">
        <f>IFERROR(VLOOKUP(A281,Debt[],4,0),0)</f>
        <v>0</v>
      </c>
      <c r="O281" s="41">
        <f>IFERROR(VLOOKUP(A281,Debt[],5,0),0)</f>
        <v>0</v>
      </c>
      <c r="P281" s="41">
        <f>IFERROR(VLOOKUP(A281,Items[],3,0),0)</f>
        <v>4069.01</v>
      </c>
      <c r="Q281" s="41">
        <f>IFERROR(VLOOKUP($A281,Federal[],2,0),0)</f>
        <v>0.44</v>
      </c>
      <c r="R281" s="41">
        <f>IFERROR(VLOOKUP($A281,Federal[],4,0),0)</f>
        <v>144019.46</v>
      </c>
      <c r="S281" s="41"/>
      <c r="T281" s="47">
        <f>IFERROR(VLOOKUP($A281,Program[],3,0),0)</f>
        <v>0</v>
      </c>
      <c r="U281" s="47"/>
      <c r="V281" s="41">
        <f>IFERROR(VLOOKUP($A281,Program[],4,0),0)</f>
        <v>0</v>
      </c>
      <c r="W281" s="41">
        <f>IFERROR(VLOOKUP($A281,Program[],5,0),0)</f>
        <v>0</v>
      </c>
      <c r="X281" s="41"/>
      <c r="Y281" s="41"/>
      <c r="Z281" s="41"/>
      <c r="AA281" s="41">
        <f>IFERROR(VLOOKUP($A281,Program[],6,0),0)</f>
        <v>0</v>
      </c>
      <c r="AB281" s="41"/>
      <c r="AC281" s="41"/>
      <c r="AD281" s="41">
        <f>IFERROR(VLOOKUP($A281,Program[],7,0),0)</f>
        <v>0</v>
      </c>
      <c r="AE281" s="41">
        <f>IFERROR(VLOOKUP($A281,Program[],8,0),0)</f>
        <v>0</v>
      </c>
      <c r="AF281" s="41">
        <f>IFERROR(VLOOKUP($A281,Program[],9,0),0)</f>
        <v>0</v>
      </c>
      <c r="AG281" s="41">
        <f>IFERROR(VLOOKUP($A281,Program[],10,0),0)</f>
        <v>0</v>
      </c>
      <c r="AH281" s="41">
        <f>IFERROR(VLOOKUP($A281,Program[],11,0),0)</f>
        <v>0</v>
      </c>
      <c r="AI281" s="41">
        <f>IFERROR(VLOOKUP($A281,Program[],12,0),0)</f>
        <v>0</v>
      </c>
      <c r="AJ281" s="41"/>
      <c r="AK281" s="41">
        <f>IFERROR(VLOOKUP($A281,Program[],13,0),0)</f>
        <v>0</v>
      </c>
      <c r="AL281" s="41"/>
      <c r="AM281" s="41"/>
      <c r="AN281" s="41"/>
      <c r="AO281" s="41"/>
      <c r="AP281" s="41"/>
      <c r="AQ281" s="41"/>
      <c r="AR281" s="41"/>
      <c r="AS281" s="41">
        <f>IFERROR(VLOOKUP($A281,Program[],14,0),0)</f>
        <v>0</v>
      </c>
      <c r="AT281" s="41"/>
      <c r="AU281" s="41"/>
      <c r="AV281" s="41">
        <f>IFERROR(VLOOKUP($A281,Program[],15,0),0)</f>
        <v>0</v>
      </c>
      <c r="AW281" s="41"/>
      <c r="AX281" s="41">
        <f>IFERROR(VLOOKUP($A281,Program[],16,0),0)</f>
        <v>0</v>
      </c>
      <c r="AY281" s="41">
        <f>IFERROR(VLOOKUP($A281,Program[],17,0),0)</f>
        <v>0</v>
      </c>
      <c r="AZ281" s="41">
        <f>IFERROR(VLOOKUP($A281,Program[],18,0),0)</f>
        <v>0</v>
      </c>
      <c r="BA281" s="41">
        <f>IFERROR(VLOOKUP($A281,Program[],19,0),0)</f>
        <v>0</v>
      </c>
      <c r="BB281" s="77">
        <f t="shared" si="71"/>
        <v>57657.15</v>
      </c>
      <c r="BC281" s="41">
        <f>IFERROR(VLOOKUP(A281,Food[],3,0),0)</f>
        <v>64960.81</v>
      </c>
      <c r="BD281" s="41">
        <f>IFERROR(VLOOKUP($A281,FoodRev[],2,0),0)</f>
        <v>0</v>
      </c>
      <c r="BE281" s="41">
        <f>IFERROR(VLOOKUP($A281,FoodRev[],3,0),0)</f>
        <v>2595.7800000000002</v>
      </c>
      <c r="BF281" s="41">
        <f>IFERROR(VLOOKUP($A281,FoodRev[],4,0),0)</f>
        <v>0</v>
      </c>
      <c r="BG281" s="41">
        <f>IFERROR(VLOOKUP($A281,FoodRev[],5,0),0)</f>
        <v>4707.88</v>
      </c>
      <c r="BH281" s="41">
        <f>IFERROR(VLOOKUP($A281,FoodRev[],6,0),0)</f>
        <v>0</v>
      </c>
      <c r="BI281" s="41">
        <f>IFERROR(VLOOKUP($A281,FoodRev[],7,0),0)</f>
        <v>0</v>
      </c>
      <c r="BJ281" s="41">
        <f>IFERROR(VLOOKUP($A281,FoodRev[],8,0),0)</f>
        <v>0</v>
      </c>
      <c r="BK281" s="41">
        <f>IFERROR(VLOOKUP($A281,FoodRev[],9,0),0)</f>
        <v>0</v>
      </c>
      <c r="BL281" s="41">
        <f>IFERROR(VLOOKUP($A281,FoodRev[],10,0),0)</f>
        <v>0</v>
      </c>
      <c r="BM281" s="41">
        <f t="shared" si="72"/>
        <v>7303.66</v>
      </c>
      <c r="BN281" s="42">
        <f t="shared" si="66"/>
        <v>57657.15</v>
      </c>
      <c r="BO281" s="78">
        <f t="shared" si="67"/>
        <v>57657.15</v>
      </c>
      <c r="BP281" s="78">
        <f t="shared" si="68"/>
        <v>0</v>
      </c>
    </row>
    <row r="282" spans="1:68" x14ac:dyDescent="0.25">
      <c r="A282" s="40" t="s">
        <v>108</v>
      </c>
      <c r="B282" s="40" t="s">
        <v>950</v>
      </c>
      <c r="D282" s="203">
        <f t="shared" si="69"/>
        <v>1.4901161193847656E-8</v>
      </c>
      <c r="E282" s="41">
        <f>IFERROR(VLOOKUP(A282,Items[],5,0),0)</f>
        <v>89164774.900000006</v>
      </c>
      <c r="F282" s="42">
        <f t="shared" si="70"/>
        <v>89164774.899999991</v>
      </c>
      <c r="G282" s="41">
        <v>0</v>
      </c>
      <c r="H282" s="41">
        <f>IFERROR(VLOOKUP(A282,Items[],4,0),0)</f>
        <v>100313604.56999999</v>
      </c>
      <c r="I282" s="41">
        <f>IFERROR(VLOOKUP(A282,Community[],4,0),0)</f>
        <v>0</v>
      </c>
      <c r="J282" s="41">
        <f>IFERROR(VLOOKUP(A282,Community[],5,0),0)</f>
        <v>0</v>
      </c>
      <c r="K282" s="41">
        <f>IFERROR(VLOOKUP(A282,Community[],6,0),0)</f>
        <v>33954.22</v>
      </c>
      <c r="L282" s="41">
        <f>IFERROR(VLOOKUP(A282,Community[],7,0),0)</f>
        <v>191331.81</v>
      </c>
      <c r="M282" s="41">
        <f>IFERROR(VLOOKUP(A282,Debt[],3,0),0)</f>
        <v>0</v>
      </c>
      <c r="N282" s="41">
        <f>IFERROR(VLOOKUP(A282,Debt[],4,0),0)</f>
        <v>0</v>
      </c>
      <c r="O282" s="41">
        <f>IFERROR(VLOOKUP(A282,Debt[],5,0),0)</f>
        <v>0</v>
      </c>
      <c r="P282" s="41">
        <f>IFERROR(VLOOKUP(A282,Items[],3,0),0)</f>
        <v>612900.89</v>
      </c>
      <c r="Q282" s="41">
        <f>IFERROR(VLOOKUP($A282,Federal[],2,0),0)</f>
        <v>108845.31</v>
      </c>
      <c r="R282" s="41">
        <f>IFERROR(VLOOKUP($A282,Federal[],4,0),0)</f>
        <v>9838850.8399999999</v>
      </c>
      <c r="S282" s="41"/>
      <c r="T282" s="47">
        <f>IFERROR(VLOOKUP($A282,Program[],3,0),0)</f>
        <v>0</v>
      </c>
      <c r="U282" s="47"/>
      <c r="V282" s="41">
        <f>IFERROR(VLOOKUP($A282,Program[],4,0),0)</f>
        <v>0</v>
      </c>
      <c r="W282" s="41">
        <f>IFERROR(VLOOKUP($A282,Program[],5,0),0)</f>
        <v>0</v>
      </c>
      <c r="X282" s="41"/>
      <c r="Y282" s="41"/>
      <c r="Z282" s="41"/>
      <c r="AA282" s="41">
        <f>IFERROR(VLOOKUP($A282,Program[],6,0),0)</f>
        <v>0</v>
      </c>
      <c r="AB282" s="41"/>
      <c r="AC282" s="41"/>
      <c r="AD282" s="41">
        <f>IFERROR(VLOOKUP($A282,Program[],7,0),0)</f>
        <v>0</v>
      </c>
      <c r="AE282" s="41">
        <f>IFERROR(VLOOKUP($A282,Program[],8,0),0)</f>
        <v>0</v>
      </c>
      <c r="AF282" s="41">
        <f>IFERROR(VLOOKUP($A282,Program[],9,0),0)</f>
        <v>0</v>
      </c>
      <c r="AG282" s="41">
        <f>IFERROR(VLOOKUP($A282,Program[],10,0),0)</f>
        <v>0</v>
      </c>
      <c r="AH282" s="41">
        <f>IFERROR(VLOOKUP($A282,Program[],11,0),0)</f>
        <v>0</v>
      </c>
      <c r="AI282" s="41">
        <f>IFERROR(VLOOKUP($A282,Program[],12,0),0)</f>
        <v>0</v>
      </c>
      <c r="AJ282" s="41"/>
      <c r="AK282" s="41">
        <f>IFERROR(VLOOKUP($A282,Program[],13,0),0)</f>
        <v>0</v>
      </c>
      <c r="AL282" s="41"/>
      <c r="AM282" s="41"/>
      <c r="AN282" s="41"/>
      <c r="AO282" s="41"/>
      <c r="AP282" s="41"/>
      <c r="AQ282" s="41"/>
      <c r="AR282" s="41"/>
      <c r="AS282" s="41">
        <f>IFERROR(VLOOKUP($A282,Program[],14,0),0)</f>
        <v>0</v>
      </c>
      <c r="AT282" s="41"/>
      <c r="AU282" s="41"/>
      <c r="AV282" s="41">
        <f>IFERROR(VLOOKUP($A282,Program[],15,0),0)</f>
        <v>0</v>
      </c>
      <c r="AW282" s="41"/>
      <c r="AX282" s="41">
        <f>IFERROR(VLOOKUP($A282,Program[],16,0),0)</f>
        <v>0</v>
      </c>
      <c r="AY282" s="41">
        <f>IFERROR(VLOOKUP($A282,Program[],17,0),0)</f>
        <v>0</v>
      </c>
      <c r="AZ282" s="41">
        <f>IFERROR(VLOOKUP($A282,Program[],18,0),0)</f>
        <v>0</v>
      </c>
      <c r="BA282" s="41">
        <f>IFERROR(VLOOKUP($A282,Program[],19,0),0)</f>
        <v>14238.68</v>
      </c>
      <c r="BB282" s="77">
        <f t="shared" si="71"/>
        <v>0</v>
      </c>
      <c r="BC282" s="41">
        <f>IFERROR(VLOOKUP(A282,Food[],3,0),0)</f>
        <v>3344127.1</v>
      </c>
      <c r="BD282" s="41">
        <f>IFERROR(VLOOKUP($A282,FoodRev[],2,0),0)</f>
        <v>7208.61</v>
      </c>
      <c r="BE282" s="41">
        <f>IFERROR(VLOOKUP($A282,FoodRev[],3,0),0)</f>
        <v>940633.93</v>
      </c>
      <c r="BF282" s="41">
        <f>IFERROR(VLOOKUP($A282,FoodRev[],4,0),0)</f>
        <v>0</v>
      </c>
      <c r="BG282" s="41">
        <f>IFERROR(VLOOKUP($A282,FoodRev[],5,0),0)</f>
        <v>2617307.11</v>
      </c>
      <c r="BH282" s="41">
        <f>IFERROR(VLOOKUP($A282,FoodRev[],6,0),0)</f>
        <v>0</v>
      </c>
      <c r="BI282" s="41">
        <f>IFERROR(VLOOKUP($A282,FoodRev[],7,0),0)</f>
        <v>0</v>
      </c>
      <c r="BJ282" s="41">
        <f>IFERROR(VLOOKUP($A282,FoodRev[],8,0),0)</f>
        <v>349634.71</v>
      </c>
      <c r="BK282" s="41">
        <f>IFERROR(VLOOKUP($A282,FoodRev[],9,0),0)</f>
        <v>0</v>
      </c>
      <c r="BL282" s="41">
        <f>IFERROR(VLOOKUP($A282,FoodRev[],10,0),0)</f>
        <v>0</v>
      </c>
      <c r="BM282" s="41">
        <f t="shared" si="72"/>
        <v>3914784.36</v>
      </c>
      <c r="BN282" s="42">
        <f t="shared" si="66"/>
        <v>-570657.25999999978</v>
      </c>
      <c r="BO282" s="78">
        <f t="shared" si="67"/>
        <v>0</v>
      </c>
      <c r="BP282" s="78">
        <f t="shared" si="68"/>
        <v>-570657.25999999978</v>
      </c>
    </row>
    <row r="283" spans="1:68" x14ac:dyDescent="0.25">
      <c r="A283" s="40" t="s">
        <v>264</v>
      </c>
      <c r="B283" s="40" t="s">
        <v>951</v>
      </c>
      <c r="D283" s="203">
        <f t="shared" si="69"/>
        <v>-3.7252902984619141E-9</v>
      </c>
      <c r="E283" s="41">
        <f>IFERROR(VLOOKUP(A283,Items[],5,0),0)</f>
        <v>26187312.149999999</v>
      </c>
      <c r="F283" s="42">
        <f t="shared" si="70"/>
        <v>26187312.150000002</v>
      </c>
      <c r="G283" s="41">
        <v>0</v>
      </c>
      <c r="H283" s="41">
        <f>IFERROR(VLOOKUP(A283,Items[],4,0),0)</f>
        <v>29289577.850000001</v>
      </c>
      <c r="I283" s="41">
        <f>IFERROR(VLOOKUP(A283,Community[],4,0),0)</f>
        <v>0</v>
      </c>
      <c r="J283" s="41">
        <f>IFERROR(VLOOKUP(A283,Community[],5,0),0)</f>
        <v>0</v>
      </c>
      <c r="K283" s="41">
        <f>IFERROR(VLOOKUP(A283,Community[],6,0),0)</f>
        <v>59.660000000000004</v>
      </c>
      <c r="L283" s="41">
        <f>IFERROR(VLOOKUP(A283,Community[],7,0),0)</f>
        <v>13140.74</v>
      </c>
      <c r="M283" s="41">
        <f>IFERROR(VLOOKUP(A283,Debt[],3,0),0)</f>
        <v>0</v>
      </c>
      <c r="N283" s="41">
        <f>IFERROR(VLOOKUP(A283,Debt[],4,0),0)</f>
        <v>0</v>
      </c>
      <c r="O283" s="41">
        <f>IFERROR(VLOOKUP(A283,Debt[],5,0),0)</f>
        <v>0</v>
      </c>
      <c r="P283" s="41">
        <f>IFERROR(VLOOKUP(A283,Items[],3,0),0)</f>
        <v>402965.62</v>
      </c>
      <c r="Q283" s="41">
        <f>IFERROR(VLOOKUP($A283,Federal[],2,0),0)</f>
        <v>43.29</v>
      </c>
      <c r="R283" s="41">
        <f>IFERROR(VLOOKUP($A283,Federal[],4,0),0)</f>
        <v>2428539.13</v>
      </c>
      <c r="S283" s="41"/>
      <c r="T283" s="47">
        <f>IFERROR(VLOOKUP($A283,Program[],3,0),0)</f>
        <v>0</v>
      </c>
      <c r="U283" s="47"/>
      <c r="V283" s="41">
        <f>IFERROR(VLOOKUP($A283,Program[],4,0),0)</f>
        <v>0</v>
      </c>
      <c r="W283" s="41">
        <f>IFERROR(VLOOKUP($A283,Program[],5,0),0)</f>
        <v>0</v>
      </c>
      <c r="X283" s="41"/>
      <c r="Y283" s="41"/>
      <c r="Z283" s="41"/>
      <c r="AA283" s="41">
        <f>IFERROR(VLOOKUP($A283,Program[],6,0),0)</f>
        <v>0</v>
      </c>
      <c r="AB283" s="41"/>
      <c r="AC283" s="41"/>
      <c r="AD283" s="41">
        <f>IFERROR(VLOOKUP($A283,Program[],7,0),0)</f>
        <v>0</v>
      </c>
      <c r="AE283" s="41">
        <f>IFERROR(VLOOKUP($A283,Program[],8,0),0)</f>
        <v>0</v>
      </c>
      <c r="AF283" s="41">
        <f>IFERROR(VLOOKUP($A283,Program[],9,0),0)</f>
        <v>0</v>
      </c>
      <c r="AG283" s="41">
        <f>IFERROR(VLOOKUP($A283,Program[],10,0),0)</f>
        <v>0</v>
      </c>
      <c r="AH283" s="41">
        <f>IFERROR(VLOOKUP($A283,Program[],11,0),0)</f>
        <v>0</v>
      </c>
      <c r="AI283" s="41">
        <f>IFERROR(VLOOKUP($A283,Program[],12,0),0)</f>
        <v>0</v>
      </c>
      <c r="AJ283" s="41"/>
      <c r="AK283" s="41">
        <f>IFERROR(VLOOKUP($A283,Program[],13,0),0)</f>
        <v>0</v>
      </c>
      <c r="AL283" s="41"/>
      <c r="AM283" s="41"/>
      <c r="AN283" s="41"/>
      <c r="AO283" s="41"/>
      <c r="AP283" s="41"/>
      <c r="AQ283" s="41"/>
      <c r="AR283" s="41"/>
      <c r="AS283" s="41">
        <f>IFERROR(VLOOKUP($A283,Program[],14,0),0)</f>
        <v>0</v>
      </c>
      <c r="AT283" s="41"/>
      <c r="AU283" s="41"/>
      <c r="AV283" s="41">
        <f>IFERROR(VLOOKUP($A283,Program[],15,0),0)</f>
        <v>0</v>
      </c>
      <c r="AW283" s="41"/>
      <c r="AX283" s="41">
        <f>IFERROR(VLOOKUP($A283,Program[],16,0),0)</f>
        <v>0</v>
      </c>
      <c r="AY283" s="41">
        <f>IFERROR(VLOOKUP($A283,Program[],17,0),0)</f>
        <v>0</v>
      </c>
      <c r="AZ283" s="41">
        <f>IFERROR(VLOOKUP($A283,Program[],18,0),0)</f>
        <v>0</v>
      </c>
      <c r="BA283" s="41">
        <f>IFERROR(VLOOKUP($A283,Program[],19,0),0)</f>
        <v>0</v>
      </c>
      <c r="BB283" s="77">
        <f t="shared" si="71"/>
        <v>45393.56999999992</v>
      </c>
      <c r="BC283" s="41">
        <f>IFERROR(VLOOKUP(A283,Food[],3,0),0)</f>
        <v>1053821.1299999999</v>
      </c>
      <c r="BD283" s="41">
        <f>IFERROR(VLOOKUP($A283,FoodRev[],2,0),0)</f>
        <v>9444.3700000000008</v>
      </c>
      <c r="BE283" s="41">
        <f>IFERROR(VLOOKUP($A283,FoodRev[],3,0),0)</f>
        <v>248072.89</v>
      </c>
      <c r="BF283" s="41">
        <f>IFERROR(VLOOKUP($A283,FoodRev[],4,0),0)</f>
        <v>0</v>
      </c>
      <c r="BG283" s="41">
        <f>IFERROR(VLOOKUP($A283,FoodRev[],5,0),0)</f>
        <v>646861.57999999996</v>
      </c>
      <c r="BH283" s="41">
        <f>IFERROR(VLOOKUP($A283,FoodRev[],6,0),0)</f>
        <v>0</v>
      </c>
      <c r="BI283" s="41">
        <f>IFERROR(VLOOKUP($A283,FoodRev[],7,0),0)</f>
        <v>0</v>
      </c>
      <c r="BJ283" s="41">
        <f>IFERROR(VLOOKUP($A283,FoodRev[],8,0),0)</f>
        <v>104048.72</v>
      </c>
      <c r="BK283" s="41">
        <f>IFERROR(VLOOKUP($A283,FoodRev[],9,0),0)</f>
        <v>0</v>
      </c>
      <c r="BL283" s="41">
        <f>IFERROR(VLOOKUP($A283,FoodRev[],10,0),0)</f>
        <v>0</v>
      </c>
      <c r="BM283" s="41">
        <f t="shared" si="72"/>
        <v>1008427.5599999999</v>
      </c>
      <c r="BN283" s="42">
        <f t="shared" si="66"/>
        <v>45393.56999999992</v>
      </c>
      <c r="BO283" s="78">
        <f t="shared" si="67"/>
        <v>45393.56999999992</v>
      </c>
      <c r="BP283" s="78">
        <f t="shared" si="68"/>
        <v>0</v>
      </c>
    </row>
    <row r="284" spans="1:68" x14ac:dyDescent="0.25">
      <c r="A284" s="40" t="s">
        <v>468</v>
      </c>
      <c r="B284" s="40" t="s">
        <v>952</v>
      </c>
      <c r="D284" s="203">
        <f t="shared" si="69"/>
        <v>0</v>
      </c>
      <c r="E284" s="41">
        <f>IFERROR(VLOOKUP(A284,Items[],5,0),0)</f>
        <v>4620724.8</v>
      </c>
      <c r="F284" s="42">
        <f t="shared" si="70"/>
        <v>4620724.8</v>
      </c>
      <c r="G284" s="41">
        <v>0</v>
      </c>
      <c r="H284" s="41">
        <f>IFERROR(VLOOKUP(A284,Items[],4,0),0)</f>
        <v>5061792.6399999997</v>
      </c>
      <c r="I284" s="41">
        <f>IFERROR(VLOOKUP(A284,Community[],4,0),0)</f>
        <v>0</v>
      </c>
      <c r="J284" s="41">
        <f>IFERROR(VLOOKUP(A284,Community[],5,0),0)</f>
        <v>0</v>
      </c>
      <c r="K284" s="41">
        <f>IFERROR(VLOOKUP(A284,Community[],6,0),0)</f>
        <v>0</v>
      </c>
      <c r="L284" s="41">
        <f>IFERROR(VLOOKUP(A284,Community[],7,0),0)</f>
        <v>28474.3</v>
      </c>
      <c r="M284" s="41">
        <f>IFERROR(VLOOKUP(A284,Debt[],3,0),0)</f>
        <v>0</v>
      </c>
      <c r="N284" s="41">
        <f>IFERROR(VLOOKUP(A284,Debt[],4,0),0)</f>
        <v>0</v>
      </c>
      <c r="O284" s="41">
        <f>IFERROR(VLOOKUP(A284,Debt[],5,0),0)</f>
        <v>0</v>
      </c>
      <c r="P284" s="41">
        <f>IFERROR(VLOOKUP(A284,Items[],3,0),0)</f>
        <v>2260.5100000000002</v>
      </c>
      <c r="Q284" s="41">
        <f>IFERROR(VLOOKUP($A284,Federal[],2,0),0)</f>
        <v>30298.28</v>
      </c>
      <c r="R284" s="41">
        <f>IFERROR(VLOOKUP($A284,Federal[],4,0),0)</f>
        <v>316264.89</v>
      </c>
      <c r="S284" s="41"/>
      <c r="T284" s="47">
        <f>IFERROR(VLOOKUP($A284,Program[],3,0),0)</f>
        <v>0</v>
      </c>
      <c r="U284" s="47"/>
      <c r="V284" s="41">
        <f>IFERROR(VLOOKUP($A284,Program[],4,0),0)</f>
        <v>0</v>
      </c>
      <c r="W284" s="41">
        <f>IFERROR(VLOOKUP($A284,Program[],5,0),0)</f>
        <v>0</v>
      </c>
      <c r="X284" s="41"/>
      <c r="Y284" s="41"/>
      <c r="Z284" s="41"/>
      <c r="AA284" s="41">
        <f>IFERROR(VLOOKUP($A284,Program[],6,0),0)</f>
        <v>0</v>
      </c>
      <c r="AB284" s="41"/>
      <c r="AC284" s="41"/>
      <c r="AD284" s="41">
        <f>IFERROR(VLOOKUP($A284,Program[],7,0),0)</f>
        <v>0</v>
      </c>
      <c r="AE284" s="41">
        <f>IFERROR(VLOOKUP($A284,Program[],8,0),0)</f>
        <v>0</v>
      </c>
      <c r="AF284" s="41">
        <f>IFERROR(VLOOKUP($A284,Program[],9,0),0)</f>
        <v>0</v>
      </c>
      <c r="AG284" s="41">
        <f>IFERROR(VLOOKUP($A284,Program[],10,0),0)</f>
        <v>0</v>
      </c>
      <c r="AH284" s="41">
        <f>IFERROR(VLOOKUP($A284,Program[],11,0),0)</f>
        <v>0</v>
      </c>
      <c r="AI284" s="41">
        <f>IFERROR(VLOOKUP($A284,Program[],12,0),0)</f>
        <v>0</v>
      </c>
      <c r="AJ284" s="41"/>
      <c r="AK284" s="41">
        <f>IFERROR(VLOOKUP($A284,Program[],13,0),0)</f>
        <v>0</v>
      </c>
      <c r="AL284" s="41"/>
      <c r="AM284" s="41"/>
      <c r="AN284" s="41"/>
      <c r="AO284" s="41"/>
      <c r="AP284" s="41"/>
      <c r="AQ284" s="41"/>
      <c r="AR284" s="41"/>
      <c r="AS284" s="41">
        <f>IFERROR(VLOOKUP($A284,Program[],14,0),0)</f>
        <v>0</v>
      </c>
      <c r="AT284" s="41"/>
      <c r="AU284" s="41"/>
      <c r="AV284" s="41">
        <f>IFERROR(VLOOKUP($A284,Program[],15,0),0)</f>
        <v>0</v>
      </c>
      <c r="AW284" s="41"/>
      <c r="AX284" s="41">
        <f>IFERROR(VLOOKUP($A284,Program[],16,0),0)</f>
        <v>0</v>
      </c>
      <c r="AY284" s="41">
        <f>IFERROR(VLOOKUP($A284,Program[],17,0),0)</f>
        <v>0</v>
      </c>
      <c r="AZ284" s="41">
        <f>IFERROR(VLOOKUP($A284,Program[],18,0),0)</f>
        <v>0</v>
      </c>
      <c r="BA284" s="41">
        <f>IFERROR(VLOOKUP($A284,Program[],19,0),0)</f>
        <v>0</v>
      </c>
      <c r="BB284" s="77">
        <f t="shared" si="71"/>
        <v>84354.799999999959</v>
      </c>
      <c r="BC284" s="41">
        <f>IFERROR(VLOOKUP(A284,Food[],3,0),0)</f>
        <v>244211.43999999997</v>
      </c>
      <c r="BD284" s="41">
        <f>IFERROR(VLOOKUP($A284,FoodRev[],2,0),0)</f>
        <v>2733.5</v>
      </c>
      <c r="BE284" s="41">
        <f>IFERROR(VLOOKUP($A284,FoodRev[],3,0),0)</f>
        <v>61036.36</v>
      </c>
      <c r="BF284" s="41">
        <f>IFERROR(VLOOKUP($A284,FoodRev[],4,0),0)</f>
        <v>0</v>
      </c>
      <c r="BG284" s="41">
        <f>IFERROR(VLOOKUP($A284,FoodRev[],5,0),0)</f>
        <v>84690</v>
      </c>
      <c r="BH284" s="41">
        <f>IFERROR(VLOOKUP($A284,FoodRev[],6,0),0)</f>
        <v>0</v>
      </c>
      <c r="BI284" s="41">
        <f>IFERROR(VLOOKUP($A284,FoodRev[],7,0),0)</f>
        <v>0</v>
      </c>
      <c r="BJ284" s="41">
        <f>IFERROR(VLOOKUP($A284,FoodRev[],8,0),0)</f>
        <v>11396.78</v>
      </c>
      <c r="BK284" s="41">
        <f>IFERROR(VLOOKUP($A284,FoodRev[],9,0),0)</f>
        <v>0</v>
      </c>
      <c r="BL284" s="41">
        <f>IFERROR(VLOOKUP($A284,FoodRev[],10,0),0)</f>
        <v>0</v>
      </c>
      <c r="BM284" s="41">
        <f t="shared" si="72"/>
        <v>159856.63999999998</v>
      </c>
      <c r="BN284" s="42">
        <f t="shared" si="66"/>
        <v>84354.799999999959</v>
      </c>
      <c r="BO284" s="78">
        <f t="shared" si="67"/>
        <v>84354.799999999959</v>
      </c>
      <c r="BP284" s="78">
        <f t="shared" si="68"/>
        <v>0</v>
      </c>
    </row>
    <row r="285" spans="1:68" x14ac:dyDescent="0.25">
      <c r="A285" s="40" t="s">
        <v>332</v>
      </c>
      <c r="B285" s="40" t="s">
        <v>1027</v>
      </c>
      <c r="D285" s="203">
        <f t="shared" si="69"/>
        <v>1.862645149230957E-9</v>
      </c>
      <c r="E285" s="41">
        <f>IFERROR(VLOOKUP(A285,Items[],5,0),0)</f>
        <v>13869963.91</v>
      </c>
      <c r="F285" s="42">
        <f t="shared" si="70"/>
        <v>13869963.909999998</v>
      </c>
      <c r="G285" s="41">
        <v>0</v>
      </c>
      <c r="H285" s="41">
        <f>IFERROR(VLOOKUP(A285,Items[],4,0),0)</f>
        <v>15066407.279999999</v>
      </c>
      <c r="I285" s="41">
        <f>IFERROR(VLOOKUP(A285,Community[],4,0),0)</f>
        <v>0</v>
      </c>
      <c r="J285" s="41">
        <f>IFERROR(VLOOKUP(A285,Community[],5,0),0)</f>
        <v>0</v>
      </c>
      <c r="K285" s="41">
        <f>IFERROR(VLOOKUP(A285,Community[],6,0),0)</f>
        <v>0</v>
      </c>
      <c r="L285" s="41">
        <f>IFERROR(VLOOKUP(A285,Community[],7,0),0)</f>
        <v>0</v>
      </c>
      <c r="M285" s="41">
        <f>IFERROR(VLOOKUP(A285,Debt[],3,0),0)</f>
        <v>0</v>
      </c>
      <c r="N285" s="41">
        <f>IFERROR(VLOOKUP(A285,Debt[],4,0),0)</f>
        <v>0</v>
      </c>
      <c r="O285" s="41">
        <f>IFERROR(VLOOKUP(A285,Debt[],5,0),0)</f>
        <v>0</v>
      </c>
      <c r="P285" s="41">
        <f>IFERROR(VLOOKUP(A285,Items[],3,0),0)</f>
        <v>66125.850000000006</v>
      </c>
      <c r="Q285" s="41">
        <f>IFERROR(VLOOKUP($A285,Federal[],2,0),0)</f>
        <v>22.33</v>
      </c>
      <c r="R285" s="41">
        <f>IFERROR(VLOOKUP($A285,Federal[],4,0),0)</f>
        <v>975224.57</v>
      </c>
      <c r="S285" s="41"/>
      <c r="T285" s="47">
        <f>IFERROR(VLOOKUP($A285,Program[],3,0),0)</f>
        <v>0</v>
      </c>
      <c r="U285" s="47"/>
      <c r="V285" s="41">
        <f>IFERROR(VLOOKUP($A285,Program[],4,0),0)</f>
        <v>0</v>
      </c>
      <c r="W285" s="41">
        <f>IFERROR(VLOOKUP($A285,Program[],5,0),0)</f>
        <v>0</v>
      </c>
      <c r="X285" s="41"/>
      <c r="Y285" s="41"/>
      <c r="Z285" s="41"/>
      <c r="AA285" s="41">
        <f>IFERROR(VLOOKUP($A285,Program[],6,0),0)</f>
        <v>0</v>
      </c>
      <c r="AB285" s="41"/>
      <c r="AC285" s="41"/>
      <c r="AD285" s="41">
        <f>IFERROR(VLOOKUP($A285,Program[],7,0),0)</f>
        <v>0</v>
      </c>
      <c r="AE285" s="41">
        <f>IFERROR(VLOOKUP($A285,Program[],8,0),0)</f>
        <v>0</v>
      </c>
      <c r="AF285" s="41">
        <f>IFERROR(VLOOKUP($A285,Program[],9,0),0)</f>
        <v>0</v>
      </c>
      <c r="AG285" s="41">
        <f>IFERROR(VLOOKUP($A285,Program[],10,0),0)</f>
        <v>0</v>
      </c>
      <c r="AH285" s="41">
        <f>IFERROR(VLOOKUP($A285,Program[],11,0),0)</f>
        <v>0</v>
      </c>
      <c r="AI285" s="41">
        <f>IFERROR(VLOOKUP($A285,Program[],12,0),0)</f>
        <v>0</v>
      </c>
      <c r="AJ285" s="41"/>
      <c r="AK285" s="41">
        <f>IFERROR(VLOOKUP($A285,Program[],13,0),0)</f>
        <v>0</v>
      </c>
      <c r="AL285" s="41"/>
      <c r="AM285" s="41"/>
      <c r="AN285" s="41"/>
      <c r="AO285" s="41"/>
      <c r="AP285" s="41"/>
      <c r="AQ285" s="41"/>
      <c r="AR285" s="41"/>
      <c r="AS285" s="41">
        <f>IFERROR(VLOOKUP($A285,Program[],14,0),0)</f>
        <v>0</v>
      </c>
      <c r="AT285" s="41"/>
      <c r="AU285" s="41"/>
      <c r="AV285" s="41">
        <f>IFERROR(VLOOKUP($A285,Program[],15,0),0)</f>
        <v>0</v>
      </c>
      <c r="AW285" s="41"/>
      <c r="AX285" s="41">
        <f>IFERROR(VLOOKUP($A285,Program[],16,0),0)</f>
        <v>0</v>
      </c>
      <c r="AY285" s="41">
        <f>IFERROR(VLOOKUP($A285,Program[],17,0),0)</f>
        <v>0</v>
      </c>
      <c r="AZ285" s="41">
        <f>IFERROR(VLOOKUP($A285,Program[],18,0),0)</f>
        <v>0</v>
      </c>
      <c r="BA285" s="41">
        <f>IFERROR(VLOOKUP($A285,Program[],19,0),0)</f>
        <v>16838.740000000002</v>
      </c>
      <c r="BB285" s="77">
        <f t="shared" si="71"/>
        <v>37918.170000000042</v>
      </c>
      <c r="BC285" s="41">
        <f>IFERROR(VLOOKUP(A285,Food[],3,0),0)</f>
        <v>642150.05000000005</v>
      </c>
      <c r="BD285" s="41">
        <f>IFERROR(VLOOKUP($A285,FoodRev[],2,0),0)</f>
        <v>27853.5</v>
      </c>
      <c r="BE285" s="41">
        <f>IFERROR(VLOOKUP($A285,FoodRev[],3,0),0)</f>
        <v>144055.85999999999</v>
      </c>
      <c r="BF285" s="41">
        <f>IFERROR(VLOOKUP($A285,FoodRev[],4,0),0)</f>
        <v>0</v>
      </c>
      <c r="BG285" s="41">
        <f>IFERROR(VLOOKUP($A285,FoodRev[],5,0),0)</f>
        <v>385751.52</v>
      </c>
      <c r="BH285" s="41">
        <f>IFERROR(VLOOKUP($A285,FoodRev[],6,0),0)</f>
        <v>0</v>
      </c>
      <c r="BI285" s="41">
        <f>IFERROR(VLOOKUP($A285,FoodRev[],7,0),0)</f>
        <v>0</v>
      </c>
      <c r="BJ285" s="41">
        <f>IFERROR(VLOOKUP($A285,FoodRev[],8,0),0)</f>
        <v>46571</v>
      </c>
      <c r="BK285" s="41">
        <f>IFERROR(VLOOKUP($A285,FoodRev[],9,0),0)</f>
        <v>0</v>
      </c>
      <c r="BL285" s="41">
        <f>IFERROR(VLOOKUP($A285,FoodRev[],10,0),0)</f>
        <v>0</v>
      </c>
      <c r="BM285" s="41">
        <f t="shared" si="72"/>
        <v>604231.88</v>
      </c>
      <c r="BN285" s="42">
        <f t="shared" si="66"/>
        <v>37918.170000000042</v>
      </c>
      <c r="BO285" s="78">
        <f t="shared" si="67"/>
        <v>37918.170000000042</v>
      </c>
      <c r="BP285" s="78">
        <f t="shared" si="68"/>
        <v>0</v>
      </c>
    </row>
    <row r="286" spans="1:68" x14ac:dyDescent="0.25">
      <c r="A286" s="40" t="s">
        <v>430</v>
      </c>
      <c r="B286" s="40" t="s">
        <v>953</v>
      </c>
      <c r="D286" s="203">
        <f t="shared" si="69"/>
        <v>-9.3132257461547852E-10</v>
      </c>
      <c r="E286" s="41">
        <f>IFERROR(VLOOKUP(A286,Items[],5,0),0)</f>
        <v>5019848.22</v>
      </c>
      <c r="F286" s="42">
        <f t="shared" si="70"/>
        <v>5019848.2200000007</v>
      </c>
      <c r="G286" s="41">
        <v>0</v>
      </c>
      <c r="H286" s="41">
        <f>IFERROR(VLOOKUP(A286,Items[],4,0),0)</f>
        <v>5585477.3399999999</v>
      </c>
      <c r="I286" s="41">
        <f>IFERROR(VLOOKUP(A286,Community[],4,0),0)</f>
        <v>0</v>
      </c>
      <c r="J286" s="41">
        <f>IFERROR(VLOOKUP(A286,Community[],5,0),0)</f>
        <v>0</v>
      </c>
      <c r="K286" s="41">
        <f>IFERROR(VLOOKUP(A286,Community[],6,0),0)</f>
        <v>62599.06</v>
      </c>
      <c r="L286" s="41">
        <f>IFERROR(VLOOKUP(A286,Community[],7,0),0)</f>
        <v>0</v>
      </c>
      <c r="M286" s="41">
        <f>IFERROR(VLOOKUP(A286,Debt[],3,0),0)</f>
        <v>0</v>
      </c>
      <c r="N286" s="41">
        <f>IFERROR(VLOOKUP(A286,Debt[],4,0),0)</f>
        <v>0</v>
      </c>
      <c r="O286" s="41">
        <f>IFERROR(VLOOKUP(A286,Debt[],5,0),0)</f>
        <v>0</v>
      </c>
      <c r="P286" s="41">
        <f>IFERROR(VLOOKUP(A286,Items[],3,0),0)</f>
        <v>0</v>
      </c>
      <c r="Q286" s="41">
        <f>IFERROR(VLOOKUP($A286,Federal[],2,0),0)</f>
        <v>8.42</v>
      </c>
      <c r="R286" s="41">
        <f>IFERROR(VLOOKUP($A286,Federal[],4,0),0)</f>
        <v>416682.04</v>
      </c>
      <c r="S286" s="41"/>
      <c r="T286" s="47">
        <f>IFERROR(VLOOKUP($A286,Program[],3,0),0)</f>
        <v>0</v>
      </c>
      <c r="U286" s="47"/>
      <c r="V286" s="41">
        <f>IFERROR(VLOOKUP($A286,Program[],4,0),0)</f>
        <v>0</v>
      </c>
      <c r="W286" s="41">
        <f>IFERROR(VLOOKUP($A286,Program[],5,0),0)</f>
        <v>0</v>
      </c>
      <c r="X286" s="41"/>
      <c r="Y286" s="41"/>
      <c r="Z286" s="41"/>
      <c r="AA286" s="41">
        <f>IFERROR(VLOOKUP($A286,Program[],6,0),0)</f>
        <v>0</v>
      </c>
      <c r="AB286" s="41"/>
      <c r="AC286" s="41"/>
      <c r="AD286" s="41">
        <f>IFERROR(VLOOKUP($A286,Program[],7,0),0)</f>
        <v>0</v>
      </c>
      <c r="AE286" s="41">
        <f>IFERROR(VLOOKUP($A286,Program[],8,0),0)</f>
        <v>0</v>
      </c>
      <c r="AF286" s="41">
        <f>IFERROR(VLOOKUP($A286,Program[],9,0),0)</f>
        <v>0</v>
      </c>
      <c r="AG286" s="41">
        <f>IFERROR(VLOOKUP($A286,Program[],10,0),0)</f>
        <v>0</v>
      </c>
      <c r="AH286" s="41">
        <f>IFERROR(VLOOKUP($A286,Program[],11,0),0)</f>
        <v>0</v>
      </c>
      <c r="AI286" s="41">
        <f>IFERROR(VLOOKUP($A286,Program[],12,0),0)</f>
        <v>0</v>
      </c>
      <c r="AJ286" s="41"/>
      <c r="AK286" s="41">
        <f>IFERROR(VLOOKUP($A286,Program[],13,0),0)</f>
        <v>0</v>
      </c>
      <c r="AL286" s="41"/>
      <c r="AM286" s="41"/>
      <c r="AN286" s="41"/>
      <c r="AO286" s="41"/>
      <c r="AP286" s="41"/>
      <c r="AQ286" s="41"/>
      <c r="AR286" s="41"/>
      <c r="AS286" s="41">
        <f>IFERROR(VLOOKUP($A286,Program[],14,0),0)</f>
        <v>0</v>
      </c>
      <c r="AT286" s="41"/>
      <c r="AU286" s="41"/>
      <c r="AV286" s="41">
        <f>IFERROR(VLOOKUP($A286,Program[],15,0),0)</f>
        <v>0</v>
      </c>
      <c r="AW286" s="41"/>
      <c r="AX286" s="41">
        <f>IFERROR(VLOOKUP($A286,Program[],16,0),0)</f>
        <v>0</v>
      </c>
      <c r="AY286" s="41">
        <f>IFERROR(VLOOKUP($A286,Program[],17,0),0)</f>
        <v>0</v>
      </c>
      <c r="AZ286" s="41">
        <f>IFERROR(VLOOKUP($A286,Program[],18,0),0)</f>
        <v>0</v>
      </c>
      <c r="BA286" s="41">
        <f>IFERROR(VLOOKUP($A286,Program[],19,0),0)</f>
        <v>0</v>
      </c>
      <c r="BB286" s="77">
        <f t="shared" si="71"/>
        <v>44582.330000000038</v>
      </c>
      <c r="BC286" s="41">
        <f>IFERROR(VLOOKUP(A286,Food[],3,0),0)</f>
        <v>268893.92000000004</v>
      </c>
      <c r="BD286" s="41">
        <f>IFERROR(VLOOKUP($A286,FoodRev[],2,0),0)</f>
        <v>2015.5</v>
      </c>
      <c r="BE286" s="41">
        <f>IFERROR(VLOOKUP($A286,FoodRev[],3,0),0)</f>
        <v>84324.1</v>
      </c>
      <c r="BF286" s="41">
        <f>IFERROR(VLOOKUP($A286,FoodRev[],4,0),0)</f>
        <v>0</v>
      </c>
      <c r="BG286" s="41">
        <f>IFERROR(VLOOKUP($A286,FoodRev[],5,0),0)</f>
        <v>121989.28</v>
      </c>
      <c r="BH286" s="41">
        <f>IFERROR(VLOOKUP($A286,FoodRev[],6,0),0)</f>
        <v>0</v>
      </c>
      <c r="BI286" s="41">
        <f>IFERROR(VLOOKUP($A286,FoodRev[],7,0),0)</f>
        <v>0</v>
      </c>
      <c r="BJ286" s="41">
        <f>IFERROR(VLOOKUP($A286,FoodRev[],8,0),0)</f>
        <v>15982.71</v>
      </c>
      <c r="BK286" s="41">
        <f>IFERROR(VLOOKUP($A286,FoodRev[],9,0),0)</f>
        <v>0</v>
      </c>
      <c r="BL286" s="41">
        <f>IFERROR(VLOOKUP($A286,FoodRev[],10,0),0)</f>
        <v>0</v>
      </c>
      <c r="BM286" s="41">
        <f t="shared" si="72"/>
        <v>224311.59</v>
      </c>
      <c r="BN286" s="42">
        <f t="shared" si="66"/>
        <v>44582.330000000038</v>
      </c>
      <c r="BO286" s="78">
        <f t="shared" si="67"/>
        <v>44582.330000000038</v>
      </c>
      <c r="BP286" s="78">
        <f t="shared" si="68"/>
        <v>0</v>
      </c>
    </row>
    <row r="287" spans="1:68" x14ac:dyDescent="0.25">
      <c r="A287" s="40" t="s">
        <v>434</v>
      </c>
      <c r="B287" s="40" t="s">
        <v>954</v>
      </c>
      <c r="D287" s="203">
        <f t="shared" si="69"/>
        <v>0</v>
      </c>
      <c r="E287" s="41">
        <f>IFERROR(VLOOKUP(A287,Items[],5,0),0)</f>
        <v>5984095.21</v>
      </c>
      <c r="F287" s="42">
        <f t="shared" si="70"/>
        <v>5984095.21</v>
      </c>
      <c r="G287" s="41">
        <v>0</v>
      </c>
      <c r="H287" s="41">
        <f>IFERROR(VLOOKUP(A287,Items[],4,0),0)</f>
        <v>6576450.8099999996</v>
      </c>
      <c r="I287" s="41">
        <f>IFERROR(VLOOKUP(A287,Community[],4,0),0)</f>
        <v>0</v>
      </c>
      <c r="J287" s="41">
        <f>IFERROR(VLOOKUP(A287,Community[],5,0),0)</f>
        <v>0</v>
      </c>
      <c r="K287" s="41">
        <f>IFERROR(VLOOKUP(A287,Community[],6,0),0)</f>
        <v>0</v>
      </c>
      <c r="L287" s="41">
        <f>IFERROR(VLOOKUP(A287,Community[],7,0),0)</f>
        <v>0</v>
      </c>
      <c r="M287" s="41">
        <f>IFERROR(VLOOKUP(A287,Debt[],3,0),0)</f>
        <v>51636.75</v>
      </c>
      <c r="N287" s="41">
        <f>IFERROR(VLOOKUP(A287,Debt[],4,0),0)</f>
        <v>0</v>
      </c>
      <c r="O287" s="41">
        <f>IFERROR(VLOOKUP(A287,Debt[],5,0),0)</f>
        <v>0</v>
      </c>
      <c r="P287" s="41">
        <f>IFERROR(VLOOKUP(A287,Items[],3,0),0)</f>
        <v>0</v>
      </c>
      <c r="Q287" s="41">
        <f>IFERROR(VLOOKUP($A287,Federal[],2,0),0)</f>
        <v>29545.56</v>
      </c>
      <c r="R287" s="41">
        <f>IFERROR(VLOOKUP($A287,Federal[],4,0),0)</f>
        <v>417669.45</v>
      </c>
      <c r="S287" s="41"/>
      <c r="T287" s="47">
        <f>IFERROR(VLOOKUP($A287,Program[],3,0),0)</f>
        <v>0</v>
      </c>
      <c r="U287" s="47"/>
      <c r="V287" s="41">
        <f>IFERROR(VLOOKUP($A287,Program[],4,0),0)</f>
        <v>0</v>
      </c>
      <c r="W287" s="41">
        <f>IFERROR(VLOOKUP($A287,Program[],5,0),0)</f>
        <v>0</v>
      </c>
      <c r="X287" s="41"/>
      <c r="Y287" s="41"/>
      <c r="Z287" s="41"/>
      <c r="AA287" s="41">
        <f>IFERROR(VLOOKUP($A287,Program[],6,0),0)</f>
        <v>0</v>
      </c>
      <c r="AB287" s="41"/>
      <c r="AC287" s="41"/>
      <c r="AD287" s="41">
        <f>IFERROR(VLOOKUP($A287,Program[],7,0),0)</f>
        <v>0</v>
      </c>
      <c r="AE287" s="41">
        <f>IFERROR(VLOOKUP($A287,Program[],8,0),0)</f>
        <v>0</v>
      </c>
      <c r="AF287" s="41">
        <f>IFERROR(VLOOKUP($A287,Program[],9,0),0)</f>
        <v>0</v>
      </c>
      <c r="AG287" s="41">
        <f>IFERROR(VLOOKUP($A287,Program[],10,0),0)</f>
        <v>0</v>
      </c>
      <c r="AH287" s="41">
        <f>IFERROR(VLOOKUP($A287,Program[],11,0),0)</f>
        <v>0</v>
      </c>
      <c r="AI287" s="41">
        <f>IFERROR(VLOOKUP($A287,Program[],12,0),0)</f>
        <v>0</v>
      </c>
      <c r="AJ287" s="41"/>
      <c r="AK287" s="41">
        <f>IFERROR(VLOOKUP($A287,Program[],13,0),0)</f>
        <v>0</v>
      </c>
      <c r="AL287" s="41"/>
      <c r="AM287" s="41"/>
      <c r="AN287" s="41"/>
      <c r="AO287" s="41"/>
      <c r="AP287" s="41"/>
      <c r="AQ287" s="41"/>
      <c r="AR287" s="41"/>
      <c r="AS287" s="41">
        <f>IFERROR(VLOOKUP($A287,Program[],14,0),0)</f>
        <v>0</v>
      </c>
      <c r="AT287" s="41"/>
      <c r="AU287" s="41"/>
      <c r="AV287" s="41">
        <f>IFERROR(VLOOKUP($A287,Program[],15,0),0)</f>
        <v>0</v>
      </c>
      <c r="AW287" s="41"/>
      <c r="AX287" s="41">
        <f>IFERROR(VLOOKUP($A287,Program[],16,0),0)</f>
        <v>0</v>
      </c>
      <c r="AY287" s="41">
        <f>IFERROR(VLOOKUP($A287,Program[],17,0),0)</f>
        <v>0</v>
      </c>
      <c r="AZ287" s="41">
        <f>IFERROR(VLOOKUP($A287,Program[],18,0),0)</f>
        <v>0</v>
      </c>
      <c r="BA287" s="41">
        <f>IFERROR(VLOOKUP($A287,Program[],19,0),0)</f>
        <v>0</v>
      </c>
      <c r="BB287" s="77">
        <f t="shared" si="71"/>
        <v>255014.07</v>
      </c>
      <c r="BC287" s="41">
        <f>IFERROR(VLOOKUP(A287,Food[],3,0),0)</f>
        <v>591647.46</v>
      </c>
      <c r="BD287" s="41">
        <f>IFERROR(VLOOKUP($A287,FoodRev[],2,0),0)</f>
        <v>16812.080000000002</v>
      </c>
      <c r="BE287" s="41">
        <f>IFERROR(VLOOKUP($A287,FoodRev[],3,0),0)</f>
        <v>76691.759999999995</v>
      </c>
      <c r="BF287" s="41">
        <f>IFERROR(VLOOKUP($A287,FoodRev[],4,0),0)</f>
        <v>0</v>
      </c>
      <c r="BG287" s="41">
        <f>IFERROR(VLOOKUP($A287,FoodRev[],5,0),0)</f>
        <v>243129.55</v>
      </c>
      <c r="BH287" s="41">
        <f>IFERROR(VLOOKUP($A287,FoodRev[],6,0),0)</f>
        <v>0</v>
      </c>
      <c r="BI287" s="41">
        <f>IFERROR(VLOOKUP($A287,FoodRev[],7,0),0)</f>
        <v>0</v>
      </c>
      <c r="BJ287" s="41">
        <f>IFERROR(VLOOKUP($A287,FoodRev[],8,0),0)</f>
        <v>0</v>
      </c>
      <c r="BK287" s="41">
        <f>IFERROR(VLOOKUP($A287,FoodRev[],9,0),0)</f>
        <v>0</v>
      </c>
      <c r="BL287" s="41">
        <f>IFERROR(VLOOKUP($A287,FoodRev[],10,0),0)</f>
        <v>0</v>
      </c>
      <c r="BM287" s="41">
        <f t="shared" si="72"/>
        <v>336633.39</v>
      </c>
      <c r="BN287" s="42">
        <f t="shared" si="66"/>
        <v>255014.07</v>
      </c>
      <c r="BO287" s="78">
        <f t="shared" si="67"/>
        <v>255014.07</v>
      </c>
      <c r="BP287" s="78">
        <f t="shared" si="68"/>
        <v>0</v>
      </c>
    </row>
    <row r="288" spans="1:68" x14ac:dyDescent="0.25">
      <c r="A288" s="40" t="s">
        <v>58</v>
      </c>
      <c r="B288" s="40" t="s">
        <v>955</v>
      </c>
      <c r="D288" s="203">
        <f t="shared" si="69"/>
        <v>0</v>
      </c>
      <c r="E288" s="41">
        <f>IFERROR(VLOOKUP(A288,Items[],5,0),0)</f>
        <v>206341832.12</v>
      </c>
      <c r="F288" s="42">
        <f t="shared" si="70"/>
        <v>206341832.12</v>
      </c>
      <c r="G288" s="41">
        <v>0</v>
      </c>
      <c r="H288" s="41">
        <f>IFERROR(VLOOKUP(A288,Items[],4,0),0)</f>
        <v>221473849.63</v>
      </c>
      <c r="I288" s="41">
        <f>IFERROR(VLOOKUP(A288,Community[],4,0),0)</f>
        <v>0</v>
      </c>
      <c r="J288" s="41">
        <f>IFERROR(VLOOKUP(A288,Community[],5,0),0)</f>
        <v>0</v>
      </c>
      <c r="K288" s="41">
        <f>IFERROR(VLOOKUP(A288,Community[],6,0),0)</f>
        <v>874464.4600000002</v>
      </c>
      <c r="L288" s="41">
        <f>IFERROR(VLOOKUP(A288,Community[],7,0),0)</f>
        <v>453644.03</v>
      </c>
      <c r="M288" s="41">
        <f>IFERROR(VLOOKUP(A288,Debt[],3,0),0)</f>
        <v>51800.35</v>
      </c>
      <c r="N288" s="41">
        <f>IFERROR(VLOOKUP(A288,Debt[],4,0),0)</f>
        <v>262945.89</v>
      </c>
      <c r="O288" s="41">
        <f>IFERROR(VLOOKUP(A288,Debt[],5,0),0)</f>
        <v>0</v>
      </c>
      <c r="P288" s="41">
        <f>IFERROR(VLOOKUP(A288,Items[],3,0),0)</f>
        <v>724813.86</v>
      </c>
      <c r="Q288" s="41">
        <f>IFERROR(VLOOKUP($A288,Federal[],2,0),0)</f>
        <v>14848.77</v>
      </c>
      <c r="R288" s="41">
        <f>IFERROR(VLOOKUP($A288,Federal[],4,0),0)</f>
        <v>11288774.91</v>
      </c>
      <c r="S288" s="41"/>
      <c r="T288" s="47">
        <f>IFERROR(VLOOKUP($A288,Program[],3,0),0)</f>
        <v>0</v>
      </c>
      <c r="U288" s="47"/>
      <c r="V288" s="41">
        <f>IFERROR(VLOOKUP($A288,Program[],4,0),0)</f>
        <v>0</v>
      </c>
      <c r="W288" s="41">
        <f>IFERROR(VLOOKUP($A288,Program[],5,0),0)</f>
        <v>0</v>
      </c>
      <c r="X288" s="41"/>
      <c r="Y288" s="41"/>
      <c r="Z288" s="41"/>
      <c r="AA288" s="41">
        <f>IFERROR(VLOOKUP($A288,Program[],6,0),0)</f>
        <v>0</v>
      </c>
      <c r="AB288" s="41"/>
      <c r="AC288" s="41"/>
      <c r="AD288" s="41">
        <f>IFERROR(VLOOKUP($A288,Program[],7,0),0)</f>
        <v>0</v>
      </c>
      <c r="AE288" s="41">
        <f>IFERROR(VLOOKUP($A288,Program[],8,0),0)</f>
        <v>0</v>
      </c>
      <c r="AF288" s="41">
        <f>IFERROR(VLOOKUP($A288,Program[],9,0),0)</f>
        <v>0</v>
      </c>
      <c r="AG288" s="41">
        <f>IFERROR(VLOOKUP($A288,Program[],10,0),0)</f>
        <v>0</v>
      </c>
      <c r="AH288" s="41">
        <f>IFERROR(VLOOKUP($A288,Program[],11,0),0)</f>
        <v>0</v>
      </c>
      <c r="AI288" s="41">
        <f>IFERROR(VLOOKUP($A288,Program[],12,0),0)</f>
        <v>0</v>
      </c>
      <c r="AJ288" s="41"/>
      <c r="AK288" s="41">
        <f>IFERROR(VLOOKUP($A288,Program[],13,0),0)</f>
        <v>0</v>
      </c>
      <c r="AL288" s="41"/>
      <c r="AM288" s="41"/>
      <c r="AN288" s="41"/>
      <c r="AO288" s="41"/>
      <c r="AP288" s="41"/>
      <c r="AQ288" s="41"/>
      <c r="AR288" s="41"/>
      <c r="AS288" s="41">
        <f>IFERROR(VLOOKUP($A288,Program[],14,0),0)</f>
        <v>0</v>
      </c>
      <c r="AT288" s="41"/>
      <c r="AU288" s="41"/>
      <c r="AV288" s="41">
        <f>IFERROR(VLOOKUP($A288,Program[],15,0),0)</f>
        <v>135348.44</v>
      </c>
      <c r="AW288" s="41"/>
      <c r="AX288" s="41">
        <f>IFERROR(VLOOKUP($A288,Program[],16,0),0)</f>
        <v>0</v>
      </c>
      <c r="AY288" s="41">
        <f>IFERROR(VLOOKUP($A288,Program[],17,0),0)</f>
        <v>0</v>
      </c>
      <c r="AZ288" s="41">
        <f>IFERROR(VLOOKUP($A288,Program[],18,0),0)</f>
        <v>0</v>
      </c>
      <c r="BA288" s="41">
        <f>IFERROR(VLOOKUP($A288,Program[],19,0),0)</f>
        <v>1902.66</v>
      </c>
      <c r="BB288" s="77">
        <f t="shared" si="71"/>
        <v>1414566.600000002</v>
      </c>
      <c r="BC288" s="41">
        <f>IFERROR(VLOOKUP(A288,Food[],3,0),0)</f>
        <v>6038819.9200000018</v>
      </c>
      <c r="BD288" s="41">
        <f>IFERROR(VLOOKUP($A288,FoodRev[],2,0),0)</f>
        <v>619380.25</v>
      </c>
      <c r="BE288" s="41">
        <f>IFERROR(VLOOKUP($A288,FoodRev[],3,0),0)</f>
        <v>978596.09</v>
      </c>
      <c r="BF288" s="41">
        <f>IFERROR(VLOOKUP($A288,FoodRev[],4,0),0)</f>
        <v>0</v>
      </c>
      <c r="BG288" s="41">
        <f>IFERROR(VLOOKUP($A288,FoodRev[],5,0),0)</f>
        <v>2658875.9</v>
      </c>
      <c r="BH288" s="41">
        <f>IFERROR(VLOOKUP($A288,FoodRev[],6,0),0)</f>
        <v>0</v>
      </c>
      <c r="BI288" s="41">
        <f>IFERROR(VLOOKUP($A288,FoodRev[],7,0),0)</f>
        <v>0</v>
      </c>
      <c r="BJ288" s="41">
        <f>IFERROR(VLOOKUP($A288,FoodRev[],8,0),0)</f>
        <v>367401.08</v>
      </c>
      <c r="BK288" s="41">
        <f>IFERROR(VLOOKUP($A288,FoodRev[],9,0),0)</f>
        <v>0</v>
      </c>
      <c r="BL288" s="41">
        <f>IFERROR(VLOOKUP($A288,FoodRev[],10,0),0)</f>
        <v>0</v>
      </c>
      <c r="BM288" s="41">
        <f t="shared" si="72"/>
        <v>4624253.32</v>
      </c>
      <c r="BN288" s="42">
        <f t="shared" si="66"/>
        <v>1414566.600000002</v>
      </c>
      <c r="BO288" s="78">
        <f t="shared" si="67"/>
        <v>1414566.600000002</v>
      </c>
      <c r="BP288" s="78">
        <f t="shared" si="68"/>
        <v>0</v>
      </c>
    </row>
    <row r="289" spans="1:68" x14ac:dyDescent="0.25">
      <c r="A289" s="40" t="s">
        <v>124</v>
      </c>
      <c r="B289" s="40" t="s">
        <v>956</v>
      </c>
      <c r="D289" s="203">
        <f t="shared" si="69"/>
        <v>0</v>
      </c>
      <c r="E289" s="41">
        <f>IFERROR(VLOOKUP(A289,Items[],5,0),0)</f>
        <v>81303488.299999997</v>
      </c>
      <c r="F289" s="42">
        <f t="shared" si="70"/>
        <v>81303488.299999997</v>
      </c>
      <c r="G289" s="41">
        <v>0</v>
      </c>
      <c r="H289" s="41">
        <f>IFERROR(VLOOKUP(A289,Items[],4,0),0)</f>
        <v>89283437.829999998</v>
      </c>
      <c r="I289" s="41">
        <f>IFERROR(VLOOKUP(A289,Community[],4,0),0)</f>
        <v>0</v>
      </c>
      <c r="J289" s="41">
        <f>IFERROR(VLOOKUP(A289,Community[],5,0),0)</f>
        <v>0</v>
      </c>
      <c r="K289" s="41">
        <f>IFERROR(VLOOKUP(A289,Community[],6,0),0)</f>
        <v>0</v>
      </c>
      <c r="L289" s="41">
        <f>IFERROR(VLOOKUP(A289,Community[],7,0),0)</f>
        <v>38566.89</v>
      </c>
      <c r="M289" s="41">
        <f>IFERROR(VLOOKUP(A289,Debt[],3,0),0)</f>
        <v>22648.09</v>
      </c>
      <c r="N289" s="41">
        <f>IFERROR(VLOOKUP(A289,Debt[],4,0),0)</f>
        <v>224099.1</v>
      </c>
      <c r="O289" s="41">
        <f>IFERROR(VLOOKUP(A289,Debt[],5,0),0)</f>
        <v>0</v>
      </c>
      <c r="P289" s="41">
        <f>IFERROR(VLOOKUP(A289,Items[],3,0),0)</f>
        <v>419168.29</v>
      </c>
      <c r="Q289" s="41">
        <f>IFERROR(VLOOKUP($A289,Federal[],2,0),0)</f>
        <v>682940.07</v>
      </c>
      <c r="R289" s="41">
        <f>IFERROR(VLOOKUP($A289,Federal[],4,0),0)</f>
        <v>6003598.1500000004</v>
      </c>
      <c r="S289" s="41"/>
      <c r="T289" s="47">
        <f>IFERROR(VLOOKUP($A289,Program[],3,0),0)</f>
        <v>0</v>
      </c>
      <c r="U289" s="47"/>
      <c r="V289" s="41">
        <f>IFERROR(VLOOKUP($A289,Program[],4,0),0)</f>
        <v>0</v>
      </c>
      <c r="W289" s="41">
        <f>IFERROR(VLOOKUP($A289,Program[],5,0),0)</f>
        <v>0</v>
      </c>
      <c r="X289" s="41"/>
      <c r="Y289" s="41"/>
      <c r="Z289" s="41"/>
      <c r="AA289" s="41">
        <f>IFERROR(VLOOKUP($A289,Program[],6,0),0)</f>
        <v>0</v>
      </c>
      <c r="AB289" s="41"/>
      <c r="AC289" s="41"/>
      <c r="AD289" s="41">
        <f>IFERROR(VLOOKUP($A289,Program[],7,0),0)</f>
        <v>0</v>
      </c>
      <c r="AE289" s="41">
        <f>IFERROR(VLOOKUP($A289,Program[],8,0),0)</f>
        <v>0</v>
      </c>
      <c r="AF289" s="41">
        <f>IFERROR(VLOOKUP($A289,Program[],9,0),0)</f>
        <v>0</v>
      </c>
      <c r="AG289" s="41">
        <f>IFERROR(VLOOKUP($A289,Program[],10,0),0)</f>
        <v>0</v>
      </c>
      <c r="AH289" s="41">
        <f>IFERROR(VLOOKUP($A289,Program[],11,0),0)</f>
        <v>0</v>
      </c>
      <c r="AI289" s="41">
        <f>IFERROR(VLOOKUP($A289,Program[],12,0),0)</f>
        <v>0</v>
      </c>
      <c r="AJ289" s="41"/>
      <c r="AK289" s="41">
        <f>IFERROR(VLOOKUP($A289,Program[],13,0),0)</f>
        <v>0</v>
      </c>
      <c r="AL289" s="41"/>
      <c r="AM289" s="41"/>
      <c r="AN289" s="41"/>
      <c r="AO289" s="41"/>
      <c r="AP289" s="41"/>
      <c r="AQ289" s="41"/>
      <c r="AR289" s="41"/>
      <c r="AS289" s="41">
        <f>IFERROR(VLOOKUP($A289,Program[],14,0),0)</f>
        <v>0</v>
      </c>
      <c r="AT289" s="41"/>
      <c r="AU289" s="41"/>
      <c r="AV289" s="41">
        <f>IFERROR(VLOOKUP($A289,Program[],15,0),0)</f>
        <v>0</v>
      </c>
      <c r="AW289" s="41"/>
      <c r="AX289" s="41">
        <f>IFERROR(VLOOKUP($A289,Program[],16,0),0)</f>
        <v>0</v>
      </c>
      <c r="AY289" s="41">
        <f>IFERROR(VLOOKUP($A289,Program[],17,0),0)</f>
        <v>0</v>
      </c>
      <c r="AZ289" s="41">
        <f>IFERROR(VLOOKUP($A289,Program[],18,0),0)</f>
        <v>0</v>
      </c>
      <c r="BA289" s="41">
        <f>IFERROR(VLOOKUP($A289,Program[],19,0),0)</f>
        <v>4308.84</v>
      </c>
      <c r="BB289" s="77">
        <f t="shared" si="71"/>
        <v>121407.09999999989</v>
      </c>
      <c r="BC289" s="41">
        <f>IFERROR(VLOOKUP(A289,Food[],3,0),0)</f>
        <v>2542991.4700000002</v>
      </c>
      <c r="BD289" s="41">
        <f>IFERROR(VLOOKUP($A289,FoodRev[],2,0),0)</f>
        <v>1992.93</v>
      </c>
      <c r="BE289" s="41">
        <f>IFERROR(VLOOKUP($A289,FoodRev[],3,0),0)</f>
        <v>591244.85</v>
      </c>
      <c r="BF289" s="41">
        <f>IFERROR(VLOOKUP($A289,FoodRev[],4,0),0)</f>
        <v>0</v>
      </c>
      <c r="BG289" s="41">
        <f>IFERROR(VLOOKUP($A289,FoodRev[],5,0),0)</f>
        <v>1584429.56</v>
      </c>
      <c r="BH289" s="41">
        <f>IFERROR(VLOOKUP($A289,FoodRev[],6,0),0)</f>
        <v>0</v>
      </c>
      <c r="BI289" s="41">
        <f>IFERROR(VLOOKUP($A289,FoodRev[],7,0),0)</f>
        <v>0</v>
      </c>
      <c r="BJ289" s="41">
        <f>IFERROR(VLOOKUP($A289,FoodRev[],8,0),0)</f>
        <v>243917.03</v>
      </c>
      <c r="BK289" s="41">
        <f>IFERROR(VLOOKUP($A289,FoodRev[],9,0),0)</f>
        <v>0</v>
      </c>
      <c r="BL289" s="41">
        <f>IFERROR(VLOOKUP($A289,FoodRev[],10,0),0)</f>
        <v>0</v>
      </c>
      <c r="BM289" s="41">
        <f t="shared" si="72"/>
        <v>2421584.3699999996</v>
      </c>
      <c r="BN289" s="42">
        <f t="shared" si="66"/>
        <v>121407.09999999989</v>
      </c>
      <c r="BO289" s="78">
        <f t="shared" ref="BO289:BO322" si="73">IF(BN289&lt;0,0,BN289)</f>
        <v>121407.09999999989</v>
      </c>
      <c r="BP289" s="78">
        <f t="shared" ref="BP289:BP326" si="74">IF(BN289&lt;0,BN289,0)</f>
        <v>0</v>
      </c>
    </row>
    <row r="290" spans="1:68" x14ac:dyDescent="0.25">
      <c r="A290" s="40" t="s">
        <v>212</v>
      </c>
      <c r="B290" s="40" t="s">
        <v>957</v>
      </c>
      <c r="D290" s="203">
        <f t="shared" si="69"/>
        <v>0</v>
      </c>
      <c r="E290" s="41">
        <f>IFERROR(VLOOKUP(A290,Items[],5,0),0)</f>
        <v>36493963.560000002</v>
      </c>
      <c r="F290" s="42">
        <f t="shared" si="70"/>
        <v>36493963.560000002</v>
      </c>
      <c r="G290" s="41">
        <v>0</v>
      </c>
      <c r="H290" s="41">
        <f>IFERROR(VLOOKUP(A290,Items[],4,0),0)</f>
        <v>39140074.270000003</v>
      </c>
      <c r="I290" s="41">
        <f>IFERROR(VLOOKUP(A290,Community[],4,0),0)</f>
        <v>0</v>
      </c>
      <c r="J290" s="41">
        <f>IFERROR(VLOOKUP(A290,Community[],5,0),0)</f>
        <v>0</v>
      </c>
      <c r="K290" s="41">
        <f>IFERROR(VLOOKUP(A290,Community[],6,0),0)</f>
        <v>0</v>
      </c>
      <c r="L290" s="41">
        <f>IFERROR(VLOOKUP(A290,Community[],7,0),0)</f>
        <v>34495.560000000005</v>
      </c>
      <c r="M290" s="41">
        <f>IFERROR(VLOOKUP(A290,Debt[],3,0),0)</f>
        <v>4211.72</v>
      </c>
      <c r="N290" s="41">
        <f>IFERROR(VLOOKUP(A290,Debt[],4,0),0)</f>
        <v>33607.81</v>
      </c>
      <c r="O290" s="41">
        <f>IFERROR(VLOOKUP(A290,Debt[],5,0),0)</f>
        <v>0</v>
      </c>
      <c r="P290" s="41">
        <f>IFERROR(VLOOKUP(A290,Items[],3,0),0)</f>
        <v>357396.52</v>
      </c>
      <c r="Q290" s="41">
        <f>IFERROR(VLOOKUP($A290,Federal[],2,0),0)</f>
        <v>2638.23</v>
      </c>
      <c r="R290" s="41">
        <f>IFERROR(VLOOKUP($A290,Federal[],4,0),0)</f>
        <v>1921495.76</v>
      </c>
      <c r="S290" s="41"/>
      <c r="T290" s="47">
        <f>IFERROR(VLOOKUP($A290,Program[],3,0),0)</f>
        <v>0</v>
      </c>
      <c r="U290" s="47"/>
      <c r="V290" s="41">
        <f>IFERROR(VLOOKUP($A290,Program[],4,0),0)</f>
        <v>0</v>
      </c>
      <c r="W290" s="41">
        <f>IFERROR(VLOOKUP($A290,Program[],5,0),0)</f>
        <v>0</v>
      </c>
      <c r="X290" s="41"/>
      <c r="Y290" s="41"/>
      <c r="Z290" s="41"/>
      <c r="AA290" s="41">
        <f>IFERROR(VLOOKUP($A290,Program[],6,0),0)</f>
        <v>0</v>
      </c>
      <c r="AB290" s="41"/>
      <c r="AC290" s="41"/>
      <c r="AD290" s="41">
        <f>IFERROR(VLOOKUP($A290,Program[],7,0),0)</f>
        <v>0</v>
      </c>
      <c r="AE290" s="41">
        <f>IFERROR(VLOOKUP($A290,Program[],8,0),0)</f>
        <v>0</v>
      </c>
      <c r="AF290" s="41">
        <f>IFERROR(VLOOKUP($A290,Program[],9,0),0)</f>
        <v>0</v>
      </c>
      <c r="AG290" s="41">
        <f>IFERROR(VLOOKUP($A290,Program[],10,0),0)</f>
        <v>0</v>
      </c>
      <c r="AH290" s="41">
        <f>IFERROR(VLOOKUP($A290,Program[],11,0),0)</f>
        <v>0</v>
      </c>
      <c r="AI290" s="41">
        <f>IFERROR(VLOOKUP($A290,Program[],12,0),0)</f>
        <v>0</v>
      </c>
      <c r="AJ290" s="41"/>
      <c r="AK290" s="41">
        <f>IFERROR(VLOOKUP($A290,Program[],13,0),0)</f>
        <v>0</v>
      </c>
      <c r="AL290" s="41"/>
      <c r="AM290" s="41"/>
      <c r="AN290" s="41"/>
      <c r="AO290" s="41"/>
      <c r="AP290" s="41"/>
      <c r="AQ290" s="41"/>
      <c r="AR290" s="41"/>
      <c r="AS290" s="41">
        <f>IFERROR(VLOOKUP($A290,Program[],14,0),0)</f>
        <v>0</v>
      </c>
      <c r="AT290" s="41"/>
      <c r="AU290" s="41"/>
      <c r="AV290" s="41">
        <f>IFERROR(VLOOKUP($A290,Program[],15,0),0)</f>
        <v>30760.48</v>
      </c>
      <c r="AW290" s="41"/>
      <c r="AX290" s="41">
        <f>IFERROR(VLOOKUP($A290,Program[],16,0),0)</f>
        <v>0</v>
      </c>
      <c r="AY290" s="41">
        <f>IFERROR(VLOOKUP($A290,Program[],17,0),0)</f>
        <v>0</v>
      </c>
      <c r="AZ290" s="41">
        <f>IFERROR(VLOOKUP($A290,Program[],18,0),0)</f>
        <v>0</v>
      </c>
      <c r="BA290" s="41">
        <f>IFERROR(VLOOKUP($A290,Program[],19,0),0)</f>
        <v>0</v>
      </c>
      <c r="BB290" s="77">
        <f t="shared" si="71"/>
        <v>305850.9000000002</v>
      </c>
      <c r="BC290" s="41">
        <f>IFERROR(VLOOKUP(A290,Food[],3,0),0)</f>
        <v>1145745.6800000002</v>
      </c>
      <c r="BD290" s="41">
        <f>IFERROR(VLOOKUP($A290,FoodRev[],2,0),0)</f>
        <v>44379.45</v>
      </c>
      <c r="BE290" s="41">
        <f>IFERROR(VLOOKUP($A290,FoodRev[],3,0),0)</f>
        <v>278646.14</v>
      </c>
      <c r="BF290" s="41">
        <f>IFERROR(VLOOKUP($A290,FoodRev[],4,0),0)</f>
        <v>0</v>
      </c>
      <c r="BG290" s="41">
        <f>IFERROR(VLOOKUP($A290,FoodRev[],5,0),0)</f>
        <v>424740.56</v>
      </c>
      <c r="BH290" s="41">
        <f>IFERROR(VLOOKUP($A290,FoodRev[],6,0),0)</f>
        <v>0</v>
      </c>
      <c r="BI290" s="41">
        <f>IFERROR(VLOOKUP($A290,FoodRev[],7,0),0)</f>
        <v>0</v>
      </c>
      <c r="BJ290" s="41">
        <f>IFERROR(VLOOKUP($A290,FoodRev[],8,0),0)</f>
        <v>92128.63</v>
      </c>
      <c r="BK290" s="41">
        <f>IFERROR(VLOOKUP($A290,FoodRev[],9,0),0)</f>
        <v>0</v>
      </c>
      <c r="BL290" s="41">
        <f>IFERROR(VLOOKUP($A290,FoodRev[],10,0),0)</f>
        <v>0</v>
      </c>
      <c r="BM290" s="41">
        <f t="shared" si="72"/>
        <v>839894.78</v>
      </c>
      <c r="BN290" s="42">
        <f t="shared" si="66"/>
        <v>305850.9000000002</v>
      </c>
      <c r="BO290" s="78">
        <f t="shared" si="73"/>
        <v>305850.9000000002</v>
      </c>
      <c r="BP290" s="78">
        <f t="shared" si="74"/>
        <v>0</v>
      </c>
    </row>
    <row r="291" spans="1:68" x14ac:dyDescent="0.25">
      <c r="A291" s="40" t="s">
        <v>172</v>
      </c>
      <c r="B291" s="40" t="s">
        <v>958</v>
      </c>
      <c r="D291" s="203">
        <f t="shared" si="69"/>
        <v>0</v>
      </c>
      <c r="E291" s="41">
        <f>IFERROR(VLOOKUP(A291,Items[],5,0),0)</f>
        <v>58785743.060000002</v>
      </c>
      <c r="F291" s="42">
        <f t="shared" si="70"/>
        <v>58785743.060000002</v>
      </c>
      <c r="G291" s="41">
        <v>0</v>
      </c>
      <c r="H291" s="41">
        <f>IFERROR(VLOOKUP(A291,Items[],4,0),0)</f>
        <v>63315424.590000004</v>
      </c>
      <c r="I291" s="41">
        <f>IFERROR(VLOOKUP(A291,Community[],4,0),0)</f>
        <v>0</v>
      </c>
      <c r="J291" s="41">
        <f>IFERROR(VLOOKUP(A291,Community[],5,0),0)</f>
        <v>0</v>
      </c>
      <c r="K291" s="41">
        <f>IFERROR(VLOOKUP(A291,Community[],6,0),0)</f>
        <v>0</v>
      </c>
      <c r="L291" s="41">
        <f>IFERROR(VLOOKUP(A291,Community[],7,0),0)</f>
        <v>8220.2300000000014</v>
      </c>
      <c r="M291" s="41">
        <f>IFERROR(VLOOKUP(A291,Debt[],3,0),0)</f>
        <v>71463.5</v>
      </c>
      <c r="N291" s="41">
        <f>IFERROR(VLOOKUP(A291,Debt[],4,0),0)</f>
        <v>181296.81</v>
      </c>
      <c r="O291" s="41">
        <f>IFERROR(VLOOKUP(A291,Debt[],5,0),0)</f>
        <v>0</v>
      </c>
      <c r="P291" s="41">
        <f>IFERROR(VLOOKUP(A291,Items[],3,0),0)</f>
        <v>361640.28</v>
      </c>
      <c r="Q291" s="41">
        <f>IFERROR(VLOOKUP($A291,Federal[],2,0),0)</f>
        <v>4741.95</v>
      </c>
      <c r="R291" s="41">
        <f>IFERROR(VLOOKUP($A291,Federal[],4,0),0)</f>
        <v>3300517.39</v>
      </c>
      <c r="S291" s="41"/>
      <c r="T291" s="47">
        <f>IFERROR(VLOOKUP($A291,Program[],3,0),0)</f>
        <v>0</v>
      </c>
      <c r="U291" s="47"/>
      <c r="V291" s="41">
        <f>IFERROR(VLOOKUP($A291,Program[],4,0),0)</f>
        <v>0</v>
      </c>
      <c r="W291" s="41">
        <f>IFERROR(VLOOKUP($A291,Program[],5,0),0)</f>
        <v>0</v>
      </c>
      <c r="X291" s="41"/>
      <c r="Y291" s="41"/>
      <c r="Z291" s="41"/>
      <c r="AA291" s="41">
        <f>IFERROR(VLOOKUP($A291,Program[],6,0),0)</f>
        <v>0</v>
      </c>
      <c r="AB291" s="41"/>
      <c r="AC291" s="41"/>
      <c r="AD291" s="41">
        <f>IFERROR(VLOOKUP($A291,Program[],7,0),0)</f>
        <v>0</v>
      </c>
      <c r="AE291" s="41">
        <f>IFERROR(VLOOKUP($A291,Program[],8,0),0)</f>
        <v>0</v>
      </c>
      <c r="AF291" s="41">
        <f>IFERROR(VLOOKUP($A291,Program[],9,0),0)</f>
        <v>0</v>
      </c>
      <c r="AG291" s="41">
        <f>IFERROR(VLOOKUP($A291,Program[],10,0),0)</f>
        <v>0</v>
      </c>
      <c r="AH291" s="41">
        <f>IFERROR(VLOOKUP($A291,Program[],11,0),0)</f>
        <v>0</v>
      </c>
      <c r="AI291" s="41">
        <f>IFERROR(VLOOKUP($A291,Program[],12,0),0)</f>
        <v>0</v>
      </c>
      <c r="AJ291" s="41"/>
      <c r="AK291" s="41">
        <f>IFERROR(VLOOKUP($A291,Program[],13,0),0)</f>
        <v>0</v>
      </c>
      <c r="AL291" s="41"/>
      <c r="AM291" s="41"/>
      <c r="AN291" s="41"/>
      <c r="AO291" s="41"/>
      <c r="AP291" s="41"/>
      <c r="AQ291" s="41"/>
      <c r="AR291" s="41"/>
      <c r="AS291" s="41">
        <f>IFERROR(VLOOKUP($A291,Program[],14,0),0)</f>
        <v>0</v>
      </c>
      <c r="AT291" s="41"/>
      <c r="AU291" s="41"/>
      <c r="AV291" s="41">
        <f>IFERROR(VLOOKUP($A291,Program[],15,0),0)</f>
        <v>0</v>
      </c>
      <c r="AW291" s="41"/>
      <c r="AX291" s="41">
        <f>IFERROR(VLOOKUP($A291,Program[],16,0),0)</f>
        <v>0</v>
      </c>
      <c r="AY291" s="41">
        <f>IFERROR(VLOOKUP($A291,Program[],17,0),0)</f>
        <v>0</v>
      </c>
      <c r="AZ291" s="41">
        <f>IFERROR(VLOOKUP($A291,Program[],18,0),0)</f>
        <v>0</v>
      </c>
      <c r="BA291" s="41">
        <f>IFERROR(VLOOKUP($A291,Program[],19,0),0)</f>
        <v>7602.75</v>
      </c>
      <c r="BB291" s="77">
        <f t="shared" si="71"/>
        <v>0</v>
      </c>
      <c r="BC291" s="41">
        <f>IFERROR(VLOOKUP(A291,Food[],3,0),0)</f>
        <v>1610117.03</v>
      </c>
      <c r="BD291" s="41">
        <f>IFERROR(VLOOKUP($A291,FoodRev[],2,0),0)</f>
        <v>276038.12</v>
      </c>
      <c r="BE291" s="41">
        <f>IFERROR(VLOOKUP($A291,FoodRev[],3,0),0)</f>
        <v>409105.32</v>
      </c>
      <c r="BF291" s="41">
        <f>IFERROR(VLOOKUP($A291,FoodRev[],4,0),0)</f>
        <v>0</v>
      </c>
      <c r="BG291" s="41">
        <f>IFERROR(VLOOKUP($A291,FoodRev[],5,0),0)</f>
        <v>894785.03</v>
      </c>
      <c r="BH291" s="41">
        <f>IFERROR(VLOOKUP($A291,FoodRev[],6,0),0)</f>
        <v>0</v>
      </c>
      <c r="BI291" s="41">
        <f>IFERROR(VLOOKUP($A291,FoodRev[],7,0),0)</f>
        <v>0</v>
      </c>
      <c r="BJ291" s="41">
        <f>IFERROR(VLOOKUP($A291,FoodRev[],8,0),0)</f>
        <v>105927.88</v>
      </c>
      <c r="BK291" s="41">
        <f>IFERROR(VLOOKUP($A291,FoodRev[],9,0),0)</f>
        <v>0</v>
      </c>
      <c r="BL291" s="41">
        <f>IFERROR(VLOOKUP($A291,FoodRev[],10,0),0)</f>
        <v>0</v>
      </c>
      <c r="BM291" s="41">
        <f t="shared" si="72"/>
        <v>1685856.35</v>
      </c>
      <c r="BN291" s="42">
        <f t="shared" si="66"/>
        <v>-75739.319999999949</v>
      </c>
      <c r="BO291" s="78">
        <f t="shared" si="73"/>
        <v>0</v>
      </c>
      <c r="BP291" s="78">
        <f t="shared" si="74"/>
        <v>-75739.319999999949</v>
      </c>
    </row>
    <row r="292" spans="1:68" x14ac:dyDescent="0.25">
      <c r="A292" s="40" t="s">
        <v>232</v>
      </c>
      <c r="B292" s="40" t="s">
        <v>959</v>
      </c>
      <c r="D292" s="203">
        <f t="shared" si="69"/>
        <v>3.7252902984619141E-9</v>
      </c>
      <c r="E292" s="41">
        <f>IFERROR(VLOOKUP(A292,Items[],5,0),0)</f>
        <v>32113550.710000001</v>
      </c>
      <c r="F292" s="42">
        <f t="shared" si="70"/>
        <v>32113550.709999997</v>
      </c>
      <c r="G292" s="41">
        <v>0</v>
      </c>
      <c r="H292" s="41">
        <f>IFERROR(VLOOKUP(A292,Items[],4,0),0)</f>
        <v>34470970.649999999</v>
      </c>
      <c r="I292" s="41">
        <f>IFERROR(VLOOKUP(A292,Community[],4,0),0)</f>
        <v>0</v>
      </c>
      <c r="J292" s="41">
        <f>IFERROR(VLOOKUP(A292,Community[],5,0),0)</f>
        <v>0</v>
      </c>
      <c r="K292" s="41">
        <f>IFERROR(VLOOKUP(A292,Community[],6,0),0)</f>
        <v>0</v>
      </c>
      <c r="L292" s="41">
        <f>IFERROR(VLOOKUP(A292,Community[],7,0),0)</f>
        <v>0</v>
      </c>
      <c r="M292" s="41">
        <f>IFERROR(VLOOKUP(A292,Debt[],3,0),0)</f>
        <v>0</v>
      </c>
      <c r="N292" s="41">
        <f>IFERROR(VLOOKUP(A292,Debt[],4,0),0)</f>
        <v>0</v>
      </c>
      <c r="O292" s="41">
        <f>IFERROR(VLOOKUP(A292,Debt[],5,0),0)</f>
        <v>0</v>
      </c>
      <c r="P292" s="41">
        <f>IFERROR(VLOOKUP(A292,Items[],3,0),0)</f>
        <v>638592.34</v>
      </c>
      <c r="Q292" s="41">
        <f>IFERROR(VLOOKUP($A292,Federal[],2,0),0)</f>
        <v>2450.2600000000002</v>
      </c>
      <c r="R292" s="41">
        <f>IFERROR(VLOOKUP($A292,Federal[],4,0),0)</f>
        <v>1473360.96</v>
      </c>
      <c r="S292" s="41"/>
      <c r="T292" s="47">
        <f>IFERROR(VLOOKUP($A292,Program[],3,0),0)</f>
        <v>0</v>
      </c>
      <c r="U292" s="47"/>
      <c r="V292" s="41">
        <f>IFERROR(VLOOKUP($A292,Program[],4,0),0)</f>
        <v>0</v>
      </c>
      <c r="W292" s="41">
        <f>IFERROR(VLOOKUP($A292,Program[],5,0),0)</f>
        <v>0</v>
      </c>
      <c r="X292" s="41"/>
      <c r="Y292" s="41"/>
      <c r="Z292" s="41"/>
      <c r="AA292" s="41">
        <f>IFERROR(VLOOKUP($A292,Program[],6,0),0)</f>
        <v>0</v>
      </c>
      <c r="AB292" s="41"/>
      <c r="AC292" s="41"/>
      <c r="AD292" s="41">
        <f>IFERROR(VLOOKUP($A292,Program[],7,0),0)</f>
        <v>0</v>
      </c>
      <c r="AE292" s="41">
        <f>IFERROR(VLOOKUP($A292,Program[],8,0),0)</f>
        <v>0</v>
      </c>
      <c r="AF292" s="41">
        <f>IFERROR(VLOOKUP($A292,Program[],9,0),0)</f>
        <v>0</v>
      </c>
      <c r="AG292" s="41">
        <f>IFERROR(VLOOKUP($A292,Program[],10,0),0)</f>
        <v>0</v>
      </c>
      <c r="AH292" s="41">
        <f>IFERROR(VLOOKUP($A292,Program[],11,0),0)</f>
        <v>0</v>
      </c>
      <c r="AI292" s="41">
        <f>IFERROR(VLOOKUP($A292,Program[],12,0),0)</f>
        <v>0</v>
      </c>
      <c r="AJ292" s="41"/>
      <c r="AK292" s="41">
        <f>IFERROR(VLOOKUP($A292,Program[],13,0),0)</f>
        <v>0</v>
      </c>
      <c r="AL292" s="41"/>
      <c r="AM292" s="41"/>
      <c r="AN292" s="41"/>
      <c r="AO292" s="41"/>
      <c r="AP292" s="41"/>
      <c r="AQ292" s="41"/>
      <c r="AR292" s="41"/>
      <c r="AS292" s="41">
        <f>IFERROR(VLOOKUP($A292,Program[],14,0),0)</f>
        <v>0</v>
      </c>
      <c r="AT292" s="41"/>
      <c r="AU292" s="41"/>
      <c r="AV292" s="41">
        <f>IFERROR(VLOOKUP($A292,Program[],15,0),0)</f>
        <v>0</v>
      </c>
      <c r="AW292" s="41"/>
      <c r="AX292" s="41">
        <f>IFERROR(VLOOKUP($A292,Program[],16,0),0)</f>
        <v>0</v>
      </c>
      <c r="AY292" s="41">
        <f>IFERROR(VLOOKUP($A292,Program[],17,0),0)</f>
        <v>0</v>
      </c>
      <c r="AZ292" s="41">
        <f>IFERROR(VLOOKUP($A292,Program[],18,0),0)</f>
        <v>0</v>
      </c>
      <c r="BA292" s="41">
        <f>IFERROR(VLOOKUP($A292,Program[],19,0),0)</f>
        <v>0</v>
      </c>
      <c r="BB292" s="77">
        <f t="shared" si="71"/>
        <v>0</v>
      </c>
      <c r="BC292" s="41">
        <f>IFERROR(VLOOKUP(A292,Food[],3,0),0)</f>
        <v>760598.15</v>
      </c>
      <c r="BD292" s="41">
        <f>IFERROR(VLOOKUP($A292,FoodRev[],2,0),0)</f>
        <v>113895.11</v>
      </c>
      <c r="BE292" s="41">
        <f>IFERROR(VLOOKUP($A292,FoodRev[],3,0),0)</f>
        <v>192330.84</v>
      </c>
      <c r="BF292" s="41">
        <f>IFERROR(VLOOKUP($A292,FoodRev[],4,0),0)</f>
        <v>0</v>
      </c>
      <c r="BG292" s="41">
        <f>IFERROR(VLOOKUP($A292,FoodRev[],5,0),0)</f>
        <v>474346.63</v>
      </c>
      <c r="BH292" s="41">
        <f>IFERROR(VLOOKUP($A292,FoodRev[],6,0),0)</f>
        <v>0</v>
      </c>
      <c r="BI292" s="41">
        <f>IFERROR(VLOOKUP($A292,FoodRev[],7,0),0)</f>
        <v>0</v>
      </c>
      <c r="BJ292" s="41">
        <f>IFERROR(VLOOKUP($A292,FoodRev[],8,0),0)</f>
        <v>43235.14</v>
      </c>
      <c r="BK292" s="41">
        <f>IFERROR(VLOOKUP($A292,FoodRev[],9,0),0)</f>
        <v>0</v>
      </c>
      <c r="BL292" s="41">
        <f>IFERROR(VLOOKUP($A292,FoodRev[],10,0),0)</f>
        <v>0</v>
      </c>
      <c r="BM292" s="41">
        <f t="shared" si="72"/>
        <v>823807.72000000009</v>
      </c>
      <c r="BN292" s="42">
        <f t="shared" si="66"/>
        <v>-63209.569999999934</v>
      </c>
      <c r="BO292" s="78">
        <f t="shared" si="73"/>
        <v>0</v>
      </c>
      <c r="BP292" s="78">
        <f t="shared" si="74"/>
        <v>-63209.569999999934</v>
      </c>
    </row>
    <row r="293" spans="1:68" x14ac:dyDescent="0.25">
      <c r="A293" s="40" t="s">
        <v>236</v>
      </c>
      <c r="B293" s="40" t="s">
        <v>960</v>
      </c>
      <c r="D293" s="203">
        <f t="shared" si="69"/>
        <v>0</v>
      </c>
      <c r="E293" s="41">
        <f>IFERROR(VLOOKUP(A293,Items[],5,0),0)</f>
        <v>33701850.549999997</v>
      </c>
      <c r="F293" s="42">
        <f t="shared" si="70"/>
        <v>33701850.549999997</v>
      </c>
      <c r="G293" s="41">
        <v>0</v>
      </c>
      <c r="H293" s="41">
        <f>IFERROR(VLOOKUP(A293,Items[],4,0),0)</f>
        <v>37341696.899999999</v>
      </c>
      <c r="I293" s="41">
        <f>IFERROR(VLOOKUP(A293,Community[],4,0),0)</f>
        <v>0</v>
      </c>
      <c r="J293" s="41">
        <f>IFERROR(VLOOKUP(A293,Community[],5,0),0)</f>
        <v>0</v>
      </c>
      <c r="K293" s="41">
        <f>IFERROR(VLOOKUP(A293,Community[],6,0),0)</f>
        <v>1715.21</v>
      </c>
      <c r="L293" s="41">
        <f>IFERROR(VLOOKUP(A293,Community[],7,0),0)</f>
        <v>253205.16000000003</v>
      </c>
      <c r="M293" s="41">
        <f>IFERROR(VLOOKUP(A293,Debt[],3,0),0)</f>
        <v>0</v>
      </c>
      <c r="N293" s="41">
        <f>IFERROR(VLOOKUP(A293,Debt[],4,0),0)</f>
        <v>0</v>
      </c>
      <c r="O293" s="41">
        <f>IFERROR(VLOOKUP(A293,Debt[],5,0),0)</f>
        <v>0</v>
      </c>
      <c r="P293" s="41">
        <f>IFERROR(VLOOKUP(A293,Items[],3,0),0)</f>
        <v>0</v>
      </c>
      <c r="Q293" s="41">
        <f>IFERROR(VLOOKUP($A293,Federal[],2,0),0)</f>
        <v>89966.83</v>
      </c>
      <c r="R293" s="41">
        <f>IFERROR(VLOOKUP($A293,Federal[],4,0),0)</f>
        <v>2911324.59</v>
      </c>
      <c r="S293" s="41"/>
      <c r="T293" s="47">
        <f>IFERROR(VLOOKUP($A293,Program[],3,0),0)</f>
        <v>0</v>
      </c>
      <c r="U293" s="47"/>
      <c r="V293" s="41">
        <f>IFERROR(VLOOKUP($A293,Program[],4,0),0)</f>
        <v>0</v>
      </c>
      <c r="W293" s="41">
        <f>IFERROR(VLOOKUP($A293,Program[],5,0),0)</f>
        <v>0</v>
      </c>
      <c r="X293" s="41"/>
      <c r="Y293" s="41"/>
      <c r="Z293" s="41"/>
      <c r="AA293" s="41">
        <f>IFERROR(VLOOKUP($A293,Program[],6,0),0)</f>
        <v>0</v>
      </c>
      <c r="AB293" s="41"/>
      <c r="AC293" s="41"/>
      <c r="AD293" s="41">
        <f>IFERROR(VLOOKUP($A293,Program[],7,0),0)</f>
        <v>0</v>
      </c>
      <c r="AE293" s="41">
        <f>IFERROR(VLOOKUP($A293,Program[],8,0),0)</f>
        <v>0</v>
      </c>
      <c r="AF293" s="41">
        <f>IFERROR(VLOOKUP($A293,Program[],9,0),0)</f>
        <v>0</v>
      </c>
      <c r="AG293" s="41">
        <f>IFERROR(VLOOKUP($A293,Program[],10,0),0)</f>
        <v>0</v>
      </c>
      <c r="AH293" s="41">
        <f>IFERROR(VLOOKUP($A293,Program[],11,0),0)</f>
        <v>0</v>
      </c>
      <c r="AI293" s="41">
        <f>IFERROR(VLOOKUP($A293,Program[],12,0),0)</f>
        <v>0</v>
      </c>
      <c r="AJ293" s="41"/>
      <c r="AK293" s="41">
        <f>IFERROR(VLOOKUP($A293,Program[],13,0),0)</f>
        <v>0</v>
      </c>
      <c r="AL293" s="41"/>
      <c r="AM293" s="41"/>
      <c r="AN293" s="41"/>
      <c r="AO293" s="41"/>
      <c r="AP293" s="41"/>
      <c r="AQ293" s="41"/>
      <c r="AR293" s="41"/>
      <c r="AS293" s="41">
        <f>IFERROR(VLOOKUP($A293,Program[],14,0),0)</f>
        <v>0</v>
      </c>
      <c r="AT293" s="41"/>
      <c r="AU293" s="41"/>
      <c r="AV293" s="41">
        <f>IFERROR(VLOOKUP($A293,Program[],15,0),0)</f>
        <v>0</v>
      </c>
      <c r="AW293" s="41"/>
      <c r="AX293" s="41">
        <f>IFERROR(VLOOKUP($A293,Program[],16,0),0)</f>
        <v>0</v>
      </c>
      <c r="AY293" s="41">
        <f>IFERROR(VLOOKUP($A293,Program[],17,0),0)</f>
        <v>0</v>
      </c>
      <c r="AZ293" s="41">
        <f>IFERROR(VLOOKUP($A293,Program[],18,0),0)</f>
        <v>0</v>
      </c>
      <c r="BA293" s="41">
        <f>IFERROR(VLOOKUP($A293,Program[],19,0),0)</f>
        <v>0</v>
      </c>
      <c r="BB293" s="77">
        <f t="shared" si="71"/>
        <v>0</v>
      </c>
      <c r="BC293" s="41">
        <f>IFERROR(VLOOKUP(A293,Food[],3,0),0)</f>
        <v>1784605.45</v>
      </c>
      <c r="BD293" s="41">
        <f>IFERROR(VLOOKUP($A293,FoodRev[],2,0),0)</f>
        <v>22528.13</v>
      </c>
      <c r="BE293" s="41">
        <f>IFERROR(VLOOKUP($A293,FoodRev[],3,0),0)</f>
        <v>427934.16</v>
      </c>
      <c r="BF293" s="41">
        <f>IFERROR(VLOOKUP($A293,FoodRev[],4,0),0)</f>
        <v>6168.93</v>
      </c>
      <c r="BG293" s="41">
        <f>IFERROR(VLOOKUP($A293,FoodRev[],5,0),0)</f>
        <v>1261398.96</v>
      </c>
      <c r="BH293" s="41">
        <f>IFERROR(VLOOKUP($A293,FoodRev[],6,0),0)</f>
        <v>0</v>
      </c>
      <c r="BI293" s="41">
        <f>IFERROR(VLOOKUP($A293,FoodRev[],7,0),0)</f>
        <v>0</v>
      </c>
      <c r="BJ293" s="41">
        <f>IFERROR(VLOOKUP($A293,FoodRev[],8,0),0)</f>
        <v>139571.93</v>
      </c>
      <c r="BK293" s="41">
        <f>IFERROR(VLOOKUP($A293,FoodRev[],9,0),0)</f>
        <v>0</v>
      </c>
      <c r="BL293" s="41">
        <f>IFERROR(VLOOKUP($A293,FoodRev[],10,0),0)</f>
        <v>0</v>
      </c>
      <c r="BM293" s="41">
        <f t="shared" si="72"/>
        <v>1857602.1099999999</v>
      </c>
      <c r="BN293" s="42">
        <f t="shared" si="66"/>
        <v>-72996.659999999742</v>
      </c>
      <c r="BO293" s="78">
        <f t="shared" si="73"/>
        <v>0</v>
      </c>
      <c r="BP293" s="78">
        <f t="shared" si="74"/>
        <v>-72996.659999999742</v>
      </c>
    </row>
    <row r="294" spans="1:68" x14ac:dyDescent="0.25">
      <c r="A294" s="40" t="s">
        <v>224</v>
      </c>
      <c r="B294" s="40" t="s">
        <v>961</v>
      </c>
      <c r="D294" s="203">
        <f t="shared" si="69"/>
        <v>-3.7252902984619141E-9</v>
      </c>
      <c r="E294" s="41">
        <f>IFERROR(VLOOKUP(A294,Items[],5,0),0)</f>
        <v>30268218.329999998</v>
      </c>
      <c r="F294" s="42">
        <f t="shared" si="70"/>
        <v>30268218.330000002</v>
      </c>
      <c r="G294" s="41">
        <v>0</v>
      </c>
      <c r="H294" s="41">
        <f>IFERROR(VLOOKUP(A294,Items[],4,0),0)</f>
        <v>33508110.469999999</v>
      </c>
      <c r="I294" s="41">
        <f>IFERROR(VLOOKUP(A294,Community[],4,0),0)</f>
        <v>0</v>
      </c>
      <c r="J294" s="41">
        <f>IFERROR(VLOOKUP(A294,Community[],5,0),0)</f>
        <v>0</v>
      </c>
      <c r="K294" s="41">
        <f>IFERROR(VLOOKUP(A294,Community[],6,0),0)</f>
        <v>0</v>
      </c>
      <c r="L294" s="41">
        <f>IFERROR(VLOOKUP(A294,Community[],7,0),0)</f>
        <v>28380.409999999996</v>
      </c>
      <c r="M294" s="41">
        <f>IFERROR(VLOOKUP(A294,Debt[],3,0),0)</f>
        <v>30468.97</v>
      </c>
      <c r="N294" s="41">
        <f>IFERROR(VLOOKUP(A294,Debt[],4,0),0)</f>
        <v>16484.32</v>
      </c>
      <c r="O294" s="41">
        <f>IFERROR(VLOOKUP(A294,Debt[],5,0),0)</f>
        <v>0</v>
      </c>
      <c r="P294" s="41">
        <f>IFERROR(VLOOKUP(A294,Items[],3,0),0)</f>
        <v>47205.19</v>
      </c>
      <c r="Q294" s="41">
        <f>IFERROR(VLOOKUP($A294,Federal[],2,0),0)</f>
        <v>176189.22</v>
      </c>
      <c r="R294" s="41">
        <f>IFERROR(VLOOKUP($A294,Federal[],4,0),0)</f>
        <v>2626581.84</v>
      </c>
      <c r="S294" s="41"/>
      <c r="T294" s="47">
        <f>IFERROR(VLOOKUP($A294,Program[],3,0),0)</f>
        <v>0</v>
      </c>
      <c r="U294" s="47"/>
      <c r="V294" s="41">
        <f>IFERROR(VLOOKUP($A294,Program[],4,0),0)</f>
        <v>0</v>
      </c>
      <c r="W294" s="41">
        <f>IFERROR(VLOOKUP($A294,Program[],5,0),0)</f>
        <v>0</v>
      </c>
      <c r="X294" s="41"/>
      <c r="Y294" s="41"/>
      <c r="Z294" s="41"/>
      <c r="AA294" s="41">
        <f>IFERROR(VLOOKUP($A294,Program[],6,0),0)</f>
        <v>0</v>
      </c>
      <c r="AB294" s="41"/>
      <c r="AC294" s="41"/>
      <c r="AD294" s="41">
        <f>IFERROR(VLOOKUP($A294,Program[],7,0),0)</f>
        <v>0</v>
      </c>
      <c r="AE294" s="41">
        <f>IFERROR(VLOOKUP($A294,Program[],8,0),0)</f>
        <v>0</v>
      </c>
      <c r="AF294" s="41">
        <f>IFERROR(VLOOKUP($A294,Program[],9,0),0)</f>
        <v>0</v>
      </c>
      <c r="AG294" s="41">
        <f>IFERROR(VLOOKUP($A294,Program[],10,0),0)</f>
        <v>0</v>
      </c>
      <c r="AH294" s="41">
        <f>IFERROR(VLOOKUP($A294,Program[],11,0),0)</f>
        <v>0</v>
      </c>
      <c r="AI294" s="41">
        <f>IFERROR(VLOOKUP($A294,Program[],12,0),0)</f>
        <v>0</v>
      </c>
      <c r="AJ294" s="41"/>
      <c r="AK294" s="41">
        <f>IFERROR(VLOOKUP($A294,Program[],13,0),0)</f>
        <v>0</v>
      </c>
      <c r="AL294" s="41"/>
      <c r="AM294" s="41"/>
      <c r="AN294" s="41"/>
      <c r="AO294" s="41"/>
      <c r="AP294" s="41"/>
      <c r="AQ294" s="41"/>
      <c r="AR294" s="41"/>
      <c r="AS294" s="41">
        <f>IFERROR(VLOOKUP($A294,Program[],14,0),0)</f>
        <v>0</v>
      </c>
      <c r="AT294" s="41"/>
      <c r="AU294" s="41"/>
      <c r="AV294" s="41">
        <f>IFERROR(VLOOKUP($A294,Program[],15,0),0)</f>
        <v>0</v>
      </c>
      <c r="AW294" s="41"/>
      <c r="AX294" s="41">
        <f>IFERROR(VLOOKUP($A294,Program[],16,0),0)</f>
        <v>0</v>
      </c>
      <c r="AY294" s="41">
        <f>IFERROR(VLOOKUP($A294,Program[],17,0),0)</f>
        <v>0</v>
      </c>
      <c r="AZ294" s="41">
        <f>IFERROR(VLOOKUP($A294,Program[],18,0),0)</f>
        <v>0</v>
      </c>
      <c r="BA294" s="41">
        <f>IFERROR(VLOOKUP($A294,Program[],19,0),0)</f>
        <v>4074.68</v>
      </c>
      <c r="BB294" s="77">
        <f t="shared" si="71"/>
        <v>0</v>
      </c>
      <c r="BC294" s="41">
        <f>IFERROR(VLOOKUP(A294,Food[],3,0),0)</f>
        <v>1355261.89</v>
      </c>
      <c r="BD294" s="41">
        <f>IFERROR(VLOOKUP($A294,FoodRev[],2,0),0)</f>
        <v>18940.439999999999</v>
      </c>
      <c r="BE294" s="41">
        <f>IFERROR(VLOOKUP($A294,FoodRev[],3,0),0)</f>
        <v>372741.81</v>
      </c>
      <c r="BF294" s="41">
        <f>IFERROR(VLOOKUP($A294,FoodRev[],4,0),0)</f>
        <v>0</v>
      </c>
      <c r="BG294" s="41">
        <f>IFERROR(VLOOKUP($A294,FoodRev[],5,0),0)</f>
        <v>940596.01</v>
      </c>
      <c r="BH294" s="41">
        <f>IFERROR(VLOOKUP($A294,FoodRev[],6,0),0)</f>
        <v>0</v>
      </c>
      <c r="BI294" s="41">
        <f>IFERROR(VLOOKUP($A294,FoodRev[],7,0),0)</f>
        <v>0</v>
      </c>
      <c r="BJ294" s="41">
        <f>IFERROR(VLOOKUP($A294,FoodRev[],8,0),0)</f>
        <v>96009.01</v>
      </c>
      <c r="BK294" s="41">
        <f>IFERROR(VLOOKUP($A294,FoodRev[],9,0),0)</f>
        <v>0</v>
      </c>
      <c r="BL294" s="41">
        <f>IFERROR(VLOOKUP($A294,FoodRev[],10,0),0)</f>
        <v>0</v>
      </c>
      <c r="BM294" s="41">
        <f t="shared" si="72"/>
        <v>1428287.27</v>
      </c>
      <c r="BN294" s="42">
        <f t="shared" si="66"/>
        <v>-73025.380000000107</v>
      </c>
      <c r="BO294" s="78">
        <f t="shared" si="73"/>
        <v>0</v>
      </c>
      <c r="BP294" s="78">
        <f t="shared" si="74"/>
        <v>-73025.380000000107</v>
      </c>
    </row>
    <row r="295" spans="1:68" x14ac:dyDescent="0.25">
      <c r="A295" s="40" t="s">
        <v>1187</v>
      </c>
      <c r="B295" s="40" t="s">
        <v>1228</v>
      </c>
      <c r="D295" s="203">
        <f t="shared" si="69"/>
        <v>0</v>
      </c>
      <c r="E295" s="41">
        <f>IFERROR(VLOOKUP(A295,Items[],5,0),0)</f>
        <v>2313080.7400000002</v>
      </c>
      <c r="F295" s="42">
        <f t="shared" si="70"/>
        <v>2313080.7400000002</v>
      </c>
      <c r="G295" s="41">
        <v>0</v>
      </c>
      <c r="H295" s="41">
        <f>IFERROR(VLOOKUP(A295,Items[],4,0),0)</f>
        <v>2408820.61</v>
      </c>
      <c r="I295" s="41">
        <f>IFERROR(VLOOKUP(A295,Community[],4,0),0)</f>
        <v>0</v>
      </c>
      <c r="J295" s="41">
        <f>IFERROR(VLOOKUP(A295,Community[],5,0),0)</f>
        <v>0</v>
      </c>
      <c r="K295" s="41">
        <f>IFERROR(VLOOKUP(A295,Community[],6,0),0)</f>
        <v>0</v>
      </c>
      <c r="L295" s="41">
        <f>IFERROR(VLOOKUP(A295,Community[],7,0),0)</f>
        <v>0</v>
      </c>
      <c r="M295" s="41">
        <f>IFERROR(VLOOKUP(A295,Debt[],3,0),0)</f>
        <v>6095.03</v>
      </c>
      <c r="N295" s="41">
        <f>IFERROR(VLOOKUP(A295,Debt[],4,0),0)</f>
        <v>63214.67</v>
      </c>
      <c r="O295" s="41">
        <f>IFERROR(VLOOKUP(A295,Debt[],5,0),0)</f>
        <v>0</v>
      </c>
      <c r="P295" s="41">
        <f>IFERROR(VLOOKUP(A295,Items[],3,0),0)</f>
        <v>0</v>
      </c>
      <c r="Q295" s="41">
        <f>IFERROR(VLOOKUP($A295,Federal[],2,0),0)</f>
        <v>0</v>
      </c>
      <c r="R295" s="41">
        <f>IFERROR(VLOOKUP($A295,Federal[],4,0),0)</f>
        <v>26430.17</v>
      </c>
      <c r="S295" s="41"/>
      <c r="T295" s="47">
        <f>IFERROR(VLOOKUP($A295,Program[],3,0),0)</f>
        <v>0</v>
      </c>
      <c r="U295" s="47"/>
      <c r="V295" s="41">
        <f>IFERROR(VLOOKUP($A295,Program[],4,0),0)</f>
        <v>0</v>
      </c>
      <c r="W295" s="41">
        <f>IFERROR(VLOOKUP($A295,Program[],5,0),0)</f>
        <v>0</v>
      </c>
      <c r="X295" s="41"/>
      <c r="Y295" s="41"/>
      <c r="Z295" s="41"/>
      <c r="AA295" s="41">
        <f>IFERROR(VLOOKUP($A295,Program[],6,0),0)</f>
        <v>0</v>
      </c>
      <c r="AB295" s="41"/>
      <c r="AC295" s="41"/>
      <c r="AD295" s="41">
        <f>IFERROR(VLOOKUP($A295,Program[],7,0),0)</f>
        <v>0</v>
      </c>
      <c r="AE295" s="41">
        <f>IFERROR(VLOOKUP($A295,Program[],8,0),0)</f>
        <v>0</v>
      </c>
      <c r="AF295" s="41">
        <f>IFERROR(VLOOKUP($A295,Program[],9,0),0)</f>
        <v>0</v>
      </c>
      <c r="AG295" s="41">
        <f>IFERROR(VLOOKUP($A295,Program[],10,0),0)</f>
        <v>0</v>
      </c>
      <c r="AH295" s="41">
        <f>IFERROR(VLOOKUP($A295,Program[],11,0),0)</f>
        <v>0</v>
      </c>
      <c r="AI295" s="41">
        <f>IFERROR(VLOOKUP($A295,Program[],12,0),0)</f>
        <v>0</v>
      </c>
      <c r="AJ295" s="41"/>
      <c r="AK295" s="41">
        <f>IFERROR(VLOOKUP($A295,Program[],13,0),0)</f>
        <v>0</v>
      </c>
      <c r="AL295" s="41"/>
      <c r="AM295" s="41"/>
      <c r="AN295" s="41"/>
      <c r="AO295" s="41"/>
      <c r="AP295" s="41"/>
      <c r="AQ295" s="41"/>
      <c r="AR295" s="41"/>
      <c r="AS295" s="41">
        <f>IFERROR(VLOOKUP($A295,Program[],14,0),0)</f>
        <v>0</v>
      </c>
      <c r="AT295" s="41"/>
      <c r="AU295" s="41"/>
      <c r="AV295" s="41">
        <f>IFERROR(VLOOKUP($A295,Program[],15,0),0)</f>
        <v>0</v>
      </c>
      <c r="AW295" s="41"/>
      <c r="AX295" s="41">
        <f>IFERROR(VLOOKUP($A295,Program[],16,0),0)</f>
        <v>0</v>
      </c>
      <c r="AY295" s="41">
        <f>IFERROR(VLOOKUP($A295,Program[],17,0),0)</f>
        <v>0</v>
      </c>
      <c r="AZ295" s="41">
        <f>IFERROR(VLOOKUP($A295,Program[],18,0),0)</f>
        <v>0</v>
      </c>
      <c r="BA295" s="41">
        <f>IFERROR(VLOOKUP($A295,Program[],19,0),0)</f>
        <v>0</v>
      </c>
      <c r="BB295" s="77">
        <f t="shared" si="71"/>
        <v>118765.95</v>
      </c>
      <c r="BC295" s="41">
        <f>IFERROR(VLOOKUP(A295,Food[],3,0),0)</f>
        <v>118765.95</v>
      </c>
      <c r="BD295" s="41">
        <f>IFERROR(VLOOKUP($A295,FoodRev[],2,0),0)</f>
        <v>0</v>
      </c>
      <c r="BE295" s="41">
        <f>IFERROR(VLOOKUP($A295,FoodRev[],3,0),0)</f>
        <v>0</v>
      </c>
      <c r="BF295" s="41">
        <f>IFERROR(VLOOKUP($A295,FoodRev[],4,0),0)</f>
        <v>0</v>
      </c>
      <c r="BG295" s="41">
        <f>IFERROR(VLOOKUP($A295,FoodRev[],5,0),0)</f>
        <v>0</v>
      </c>
      <c r="BH295" s="41">
        <f>IFERROR(VLOOKUP($A295,FoodRev[],6,0),0)</f>
        <v>0</v>
      </c>
      <c r="BI295" s="41">
        <f>IFERROR(VLOOKUP($A295,FoodRev[],7,0),0)</f>
        <v>0</v>
      </c>
      <c r="BJ295" s="41">
        <f>IFERROR(VLOOKUP($A295,FoodRev[],8,0),0)</f>
        <v>0</v>
      </c>
      <c r="BK295" s="41">
        <f>IFERROR(VLOOKUP($A295,FoodRev[],9,0),0)</f>
        <v>0</v>
      </c>
      <c r="BL295" s="41">
        <f>IFERROR(VLOOKUP($A295,FoodRev[],10,0),0)</f>
        <v>0</v>
      </c>
      <c r="BM295" s="41">
        <f t="shared" ref="BM295" si="75">SUM(BD295:BL295)</f>
        <v>0</v>
      </c>
      <c r="BN295" s="42">
        <f t="shared" si="66"/>
        <v>118765.95</v>
      </c>
      <c r="BO295" s="78">
        <f t="shared" ref="BO295" si="76">IF(BN295&lt;0,0,BN295)</f>
        <v>118765.95</v>
      </c>
      <c r="BP295" s="78">
        <f t="shared" ref="BP295" si="77">IF(BN295&lt;0,BN295,0)</f>
        <v>0</v>
      </c>
    </row>
    <row r="296" spans="1:68" x14ac:dyDescent="0.25">
      <c r="A296" s="40" t="s">
        <v>416</v>
      </c>
      <c r="B296" s="40" t="s">
        <v>962</v>
      </c>
      <c r="D296" s="203">
        <f t="shared" si="69"/>
        <v>0</v>
      </c>
      <c r="E296" s="41">
        <f>IFERROR(VLOOKUP(A296,Items[],5,0),0)</f>
        <v>0</v>
      </c>
      <c r="F296" s="42">
        <f t="shared" si="70"/>
        <v>0</v>
      </c>
      <c r="G296" s="41">
        <v>0</v>
      </c>
      <c r="H296" s="41">
        <f>IFERROR(VLOOKUP(A296,Items[],4,0),0)</f>
        <v>0</v>
      </c>
      <c r="I296" s="41">
        <f>IFERROR(VLOOKUP(A296,Community[],4,0),0)</f>
        <v>0</v>
      </c>
      <c r="J296" s="41">
        <f>IFERROR(VLOOKUP(A296,Community[],5,0),0)</f>
        <v>0</v>
      </c>
      <c r="K296" s="41">
        <f>IFERROR(VLOOKUP(A296,Community[],6,0),0)</f>
        <v>0</v>
      </c>
      <c r="L296" s="41">
        <f>IFERROR(VLOOKUP(A296,Community[],7,0),0)</f>
        <v>0</v>
      </c>
      <c r="M296" s="41">
        <f>IFERROR(VLOOKUP(A296,Debt[],3,0),0)</f>
        <v>0</v>
      </c>
      <c r="N296" s="41">
        <f>IFERROR(VLOOKUP(A296,Debt[],4,0),0)</f>
        <v>0</v>
      </c>
      <c r="O296" s="41">
        <f>IFERROR(VLOOKUP(A296,Debt[],5,0),0)</f>
        <v>0</v>
      </c>
      <c r="P296" s="41">
        <f>IFERROR(VLOOKUP(A296,Items[],3,0),0)</f>
        <v>0</v>
      </c>
      <c r="Q296" s="41">
        <f>IFERROR(VLOOKUP($A296,Federal[],2,0),0)</f>
        <v>0</v>
      </c>
      <c r="R296" s="41">
        <f>IFERROR(VLOOKUP($A296,Federal[],4,0),0)</f>
        <v>0</v>
      </c>
      <c r="S296" s="41"/>
      <c r="T296" s="47">
        <f>IFERROR(VLOOKUP($A296,Program[],3,0),0)</f>
        <v>0</v>
      </c>
      <c r="U296" s="47"/>
      <c r="V296" s="41">
        <f>IFERROR(VLOOKUP($A296,Program[],4,0),0)</f>
        <v>0</v>
      </c>
      <c r="W296" s="41">
        <f>IFERROR(VLOOKUP($A296,Program[],5,0),0)</f>
        <v>0</v>
      </c>
      <c r="X296" s="41"/>
      <c r="Y296" s="41"/>
      <c r="Z296" s="41"/>
      <c r="AA296" s="41">
        <f>IFERROR(VLOOKUP($A296,Program[],6,0),0)</f>
        <v>0</v>
      </c>
      <c r="AB296" s="41"/>
      <c r="AC296" s="41"/>
      <c r="AD296" s="41">
        <f>IFERROR(VLOOKUP($A296,Program[],7,0),0)</f>
        <v>0</v>
      </c>
      <c r="AE296" s="41">
        <f>IFERROR(VLOOKUP($A296,Program[],8,0),0)</f>
        <v>0</v>
      </c>
      <c r="AF296" s="41">
        <f>IFERROR(VLOOKUP($A296,Program[],9,0),0)</f>
        <v>0</v>
      </c>
      <c r="AG296" s="41">
        <f>IFERROR(VLOOKUP($A296,Program[],10,0),0)</f>
        <v>0</v>
      </c>
      <c r="AH296" s="41">
        <f>IFERROR(VLOOKUP($A296,Program[],11,0),0)</f>
        <v>0</v>
      </c>
      <c r="AI296" s="41">
        <f>IFERROR(VLOOKUP($A296,Program[],12,0),0)</f>
        <v>0</v>
      </c>
      <c r="AJ296" s="41"/>
      <c r="AK296" s="41">
        <f>IFERROR(VLOOKUP($A296,Program[],13,0),0)</f>
        <v>0</v>
      </c>
      <c r="AL296" s="41"/>
      <c r="AM296" s="41"/>
      <c r="AN296" s="41"/>
      <c r="AO296" s="41"/>
      <c r="AP296" s="41"/>
      <c r="AQ296" s="41"/>
      <c r="AR296" s="41"/>
      <c r="AS296" s="41">
        <f>IFERROR(VLOOKUP($A296,Program[],14,0),0)</f>
        <v>0</v>
      </c>
      <c r="AT296" s="41"/>
      <c r="AU296" s="41"/>
      <c r="AV296" s="41">
        <f>IFERROR(VLOOKUP($A296,Program[],15,0),0)</f>
        <v>0</v>
      </c>
      <c r="AW296" s="41"/>
      <c r="AX296" s="41">
        <f>IFERROR(VLOOKUP($A296,Program[],16,0),0)</f>
        <v>0</v>
      </c>
      <c r="AY296" s="41">
        <f>IFERROR(VLOOKUP($A296,Program[],17,0),0)</f>
        <v>0</v>
      </c>
      <c r="AZ296" s="41">
        <f>IFERROR(VLOOKUP($A296,Program[],18,0),0)</f>
        <v>0</v>
      </c>
      <c r="BA296" s="41">
        <f>IFERROR(VLOOKUP($A296,Program[],19,0),0)</f>
        <v>0</v>
      </c>
      <c r="BB296" s="77">
        <f t="shared" si="71"/>
        <v>0</v>
      </c>
      <c r="BC296" s="41">
        <f>IFERROR(VLOOKUP(A296,Food[],3,0),0)</f>
        <v>0</v>
      </c>
      <c r="BD296" s="41">
        <f>IFERROR(VLOOKUP($A296,FoodRev[],2,0),0)</f>
        <v>0</v>
      </c>
      <c r="BE296" s="41">
        <f>IFERROR(VLOOKUP($A296,FoodRev[],3,0),0)</f>
        <v>0</v>
      </c>
      <c r="BF296" s="41">
        <f>IFERROR(VLOOKUP($A296,FoodRev[],4,0),0)</f>
        <v>0</v>
      </c>
      <c r="BG296" s="41">
        <f>IFERROR(VLOOKUP($A296,FoodRev[],5,0),0)</f>
        <v>0</v>
      </c>
      <c r="BH296" s="41">
        <f>IFERROR(VLOOKUP($A296,FoodRev[],6,0),0)</f>
        <v>0</v>
      </c>
      <c r="BI296" s="41">
        <f>IFERROR(VLOOKUP($A296,FoodRev[],7,0),0)</f>
        <v>0</v>
      </c>
      <c r="BJ296" s="41">
        <f>IFERROR(VLOOKUP($A296,FoodRev[],8,0),0)</f>
        <v>0</v>
      </c>
      <c r="BK296" s="41">
        <f>IFERROR(VLOOKUP($A296,FoodRev[],9,0),0)</f>
        <v>0</v>
      </c>
      <c r="BL296" s="41">
        <f>IFERROR(VLOOKUP($A296,FoodRev[],10,0),0)</f>
        <v>0</v>
      </c>
      <c r="BM296" s="41">
        <f t="shared" si="72"/>
        <v>0</v>
      </c>
      <c r="BN296" s="42">
        <f t="shared" si="66"/>
        <v>0</v>
      </c>
      <c r="BO296" s="78">
        <f t="shared" si="73"/>
        <v>0</v>
      </c>
      <c r="BP296" s="78">
        <f t="shared" si="74"/>
        <v>0</v>
      </c>
    </row>
    <row r="297" spans="1:68" x14ac:dyDescent="0.25">
      <c r="A297" s="40" t="s">
        <v>564</v>
      </c>
      <c r="B297" s="40" t="s">
        <v>1028</v>
      </c>
      <c r="D297" s="203">
        <f t="shared" si="69"/>
        <v>0</v>
      </c>
      <c r="E297" s="41">
        <f>IFERROR(VLOOKUP(A297,Items[],5,0),0)</f>
        <v>3098449.65</v>
      </c>
      <c r="F297" s="42">
        <f t="shared" si="70"/>
        <v>3098449.65</v>
      </c>
      <c r="G297" s="41">
        <v>0</v>
      </c>
      <c r="H297" s="41">
        <f>IFERROR(VLOOKUP(A297,Items[],4,0),0)</f>
        <v>3177725.17</v>
      </c>
      <c r="I297" s="41">
        <f>IFERROR(VLOOKUP(A297,Community[],4,0),0)</f>
        <v>0</v>
      </c>
      <c r="J297" s="41">
        <f>IFERROR(VLOOKUP(A297,Community[],5,0),0)</f>
        <v>0</v>
      </c>
      <c r="K297" s="41">
        <f>IFERROR(VLOOKUP(A297,Community[],6,0),0)</f>
        <v>0</v>
      </c>
      <c r="L297" s="41">
        <f>IFERROR(VLOOKUP(A297,Community[],7,0),0)</f>
        <v>0</v>
      </c>
      <c r="M297" s="41">
        <f>IFERROR(VLOOKUP(A297,Debt[],3,0),0)</f>
        <v>0</v>
      </c>
      <c r="N297" s="41">
        <f>IFERROR(VLOOKUP(A297,Debt[],4,0),0)</f>
        <v>0</v>
      </c>
      <c r="O297" s="41">
        <f>IFERROR(VLOOKUP(A297,Debt[],5,0),0)</f>
        <v>0</v>
      </c>
      <c r="P297" s="41">
        <f>IFERROR(VLOOKUP(A297,Items[],3,0),0)</f>
        <v>415.42</v>
      </c>
      <c r="Q297" s="41">
        <f>IFERROR(VLOOKUP($A297,Federal[],2,0),0)</f>
        <v>0</v>
      </c>
      <c r="R297" s="41">
        <f>IFERROR(VLOOKUP($A297,Federal[],4,0),0)</f>
        <v>78860.100000000006</v>
      </c>
      <c r="S297" s="41"/>
      <c r="T297" s="47">
        <f>IFERROR(VLOOKUP($A297,Program[],3,0),0)</f>
        <v>0</v>
      </c>
      <c r="U297" s="47"/>
      <c r="V297" s="41">
        <f>IFERROR(VLOOKUP($A297,Program[],4,0),0)</f>
        <v>0</v>
      </c>
      <c r="W297" s="41">
        <f>IFERROR(VLOOKUP($A297,Program[],5,0),0)</f>
        <v>0</v>
      </c>
      <c r="X297" s="41"/>
      <c r="Y297" s="41"/>
      <c r="Z297" s="41"/>
      <c r="AA297" s="41">
        <f>IFERROR(VLOOKUP($A297,Program[],6,0),0)</f>
        <v>0</v>
      </c>
      <c r="AB297" s="41"/>
      <c r="AC297" s="41"/>
      <c r="AD297" s="41">
        <f>IFERROR(VLOOKUP($A297,Program[],7,0),0)</f>
        <v>0</v>
      </c>
      <c r="AE297" s="41">
        <f>IFERROR(VLOOKUP($A297,Program[],8,0),0)</f>
        <v>0</v>
      </c>
      <c r="AF297" s="41">
        <f>IFERROR(VLOOKUP($A297,Program[],9,0),0)</f>
        <v>0</v>
      </c>
      <c r="AG297" s="41">
        <f>IFERROR(VLOOKUP($A297,Program[],10,0),0)</f>
        <v>0</v>
      </c>
      <c r="AH297" s="41">
        <f>IFERROR(VLOOKUP($A297,Program[],11,0),0)</f>
        <v>0</v>
      </c>
      <c r="AI297" s="41">
        <f>IFERROR(VLOOKUP($A297,Program[],12,0),0)</f>
        <v>0</v>
      </c>
      <c r="AJ297" s="41"/>
      <c r="AK297" s="41">
        <f>IFERROR(VLOOKUP($A297,Program[],13,0),0)</f>
        <v>0</v>
      </c>
      <c r="AL297" s="41"/>
      <c r="AM297" s="41"/>
      <c r="AN297" s="41"/>
      <c r="AO297" s="41"/>
      <c r="AP297" s="41"/>
      <c r="AQ297" s="41"/>
      <c r="AR297" s="41"/>
      <c r="AS297" s="41">
        <f>IFERROR(VLOOKUP($A297,Program[],14,0),0)</f>
        <v>0</v>
      </c>
      <c r="AT297" s="41"/>
      <c r="AU297" s="41"/>
      <c r="AV297" s="41">
        <f>IFERROR(VLOOKUP($A297,Program[],15,0),0)</f>
        <v>0</v>
      </c>
      <c r="AW297" s="41"/>
      <c r="AX297" s="41">
        <f>IFERROR(VLOOKUP($A297,Program[],16,0),0)</f>
        <v>0</v>
      </c>
      <c r="AY297" s="41">
        <f>IFERROR(VLOOKUP($A297,Program[],17,0),0)</f>
        <v>0</v>
      </c>
      <c r="AZ297" s="41">
        <f>IFERROR(VLOOKUP($A297,Program[],18,0),0)</f>
        <v>0</v>
      </c>
      <c r="BA297" s="41">
        <f>IFERROR(VLOOKUP($A297,Program[],19,0),0)</f>
        <v>0</v>
      </c>
      <c r="BB297" s="77">
        <f t="shared" si="71"/>
        <v>117925.29</v>
      </c>
      <c r="BC297" s="41">
        <f>IFERROR(VLOOKUP(A297,Food[],3,0),0)</f>
        <v>117925.29</v>
      </c>
      <c r="BD297" s="41">
        <f>IFERROR(VLOOKUP($A297,FoodRev[],2,0),0)</f>
        <v>0</v>
      </c>
      <c r="BE297" s="41">
        <f>IFERROR(VLOOKUP($A297,FoodRev[],3,0),0)</f>
        <v>0</v>
      </c>
      <c r="BF297" s="41">
        <f>IFERROR(VLOOKUP($A297,FoodRev[],4,0),0)</f>
        <v>0</v>
      </c>
      <c r="BG297" s="41">
        <f>IFERROR(VLOOKUP($A297,FoodRev[],5,0),0)</f>
        <v>0</v>
      </c>
      <c r="BH297" s="41">
        <f>IFERROR(VLOOKUP($A297,FoodRev[],6,0),0)</f>
        <v>0</v>
      </c>
      <c r="BI297" s="41">
        <f>IFERROR(VLOOKUP($A297,FoodRev[],7,0),0)</f>
        <v>0</v>
      </c>
      <c r="BJ297" s="41">
        <f>IFERROR(VLOOKUP($A297,FoodRev[],8,0),0)</f>
        <v>0</v>
      </c>
      <c r="BK297" s="41">
        <f>IFERROR(VLOOKUP($A297,FoodRev[],9,0),0)</f>
        <v>0</v>
      </c>
      <c r="BL297" s="41">
        <f>IFERROR(VLOOKUP($A297,FoodRev[],10,0),0)</f>
        <v>0</v>
      </c>
      <c r="BM297" s="41">
        <f t="shared" si="72"/>
        <v>0</v>
      </c>
      <c r="BN297" s="42">
        <f t="shared" si="66"/>
        <v>117925.29</v>
      </c>
      <c r="BO297" s="78">
        <f t="shared" si="73"/>
        <v>117925.29</v>
      </c>
      <c r="BP297" s="78">
        <f t="shared" si="74"/>
        <v>0</v>
      </c>
    </row>
    <row r="298" spans="1:68" x14ac:dyDescent="0.25">
      <c r="A298" s="40" t="s">
        <v>586</v>
      </c>
      <c r="B298" s="40" t="s">
        <v>963</v>
      </c>
      <c r="D298" s="203">
        <f t="shared" si="69"/>
        <v>1.1641532182693481E-10</v>
      </c>
      <c r="E298" s="41">
        <f>IFERROR(VLOOKUP(A298,Items[],5,0),0)</f>
        <v>1030290.26</v>
      </c>
      <c r="F298" s="42">
        <f t="shared" si="70"/>
        <v>1030290.2599999999</v>
      </c>
      <c r="G298" s="41">
        <v>0</v>
      </c>
      <c r="H298" s="41">
        <f>IFERROR(VLOOKUP(A298,Items[],4,0),0)</f>
        <v>1113086.1200000001</v>
      </c>
      <c r="I298" s="41">
        <f>IFERROR(VLOOKUP(A298,Community[],4,0),0)</f>
        <v>0</v>
      </c>
      <c r="J298" s="41">
        <f>IFERROR(VLOOKUP(A298,Community[],5,0),0)</f>
        <v>0</v>
      </c>
      <c r="K298" s="41">
        <f>IFERROR(VLOOKUP(A298,Community[],6,0),0)</f>
        <v>0</v>
      </c>
      <c r="L298" s="41">
        <f>IFERROR(VLOOKUP(A298,Community[],7,0),0)</f>
        <v>0</v>
      </c>
      <c r="M298" s="41">
        <f>IFERROR(VLOOKUP(A298,Debt[],3,0),0)</f>
        <v>0</v>
      </c>
      <c r="N298" s="41">
        <f>IFERROR(VLOOKUP(A298,Debt[],4,0),0)</f>
        <v>3079.56</v>
      </c>
      <c r="O298" s="41">
        <f>IFERROR(VLOOKUP(A298,Debt[],5,0),0)</f>
        <v>0</v>
      </c>
      <c r="P298" s="41">
        <f>IFERROR(VLOOKUP(A298,Items[],3,0),0)</f>
        <v>8119.48</v>
      </c>
      <c r="Q298" s="41">
        <f>IFERROR(VLOOKUP($A298,Federal[],2,0),0)</f>
        <v>0</v>
      </c>
      <c r="R298" s="41">
        <f>IFERROR(VLOOKUP($A298,Federal[],4,0),0)</f>
        <v>67786.14</v>
      </c>
      <c r="S298" s="41"/>
      <c r="T298" s="47">
        <f>IFERROR(VLOOKUP($A298,Program[],3,0),0)</f>
        <v>0</v>
      </c>
      <c r="U298" s="47"/>
      <c r="V298" s="41">
        <f>IFERROR(VLOOKUP($A298,Program[],4,0),0)</f>
        <v>0</v>
      </c>
      <c r="W298" s="41">
        <f>IFERROR(VLOOKUP($A298,Program[],5,0),0)</f>
        <v>0</v>
      </c>
      <c r="X298" s="41"/>
      <c r="Y298" s="41"/>
      <c r="Z298" s="41"/>
      <c r="AA298" s="41">
        <f>IFERROR(VLOOKUP($A298,Program[],6,0),0)</f>
        <v>0</v>
      </c>
      <c r="AB298" s="41"/>
      <c r="AC298" s="41"/>
      <c r="AD298" s="41">
        <f>IFERROR(VLOOKUP($A298,Program[],7,0),0)</f>
        <v>0</v>
      </c>
      <c r="AE298" s="41">
        <f>IFERROR(VLOOKUP($A298,Program[],8,0),0)</f>
        <v>0</v>
      </c>
      <c r="AF298" s="41">
        <f>IFERROR(VLOOKUP($A298,Program[],9,0),0)</f>
        <v>0</v>
      </c>
      <c r="AG298" s="41">
        <f>IFERROR(VLOOKUP($A298,Program[],10,0),0)</f>
        <v>0</v>
      </c>
      <c r="AH298" s="41">
        <f>IFERROR(VLOOKUP($A298,Program[],11,0),0)</f>
        <v>0</v>
      </c>
      <c r="AI298" s="41">
        <f>IFERROR(VLOOKUP($A298,Program[],12,0),0)</f>
        <v>0</v>
      </c>
      <c r="AJ298" s="41"/>
      <c r="AK298" s="41">
        <f>IFERROR(VLOOKUP($A298,Program[],13,0),0)</f>
        <v>0</v>
      </c>
      <c r="AL298" s="41"/>
      <c r="AM298" s="41"/>
      <c r="AN298" s="41"/>
      <c r="AO298" s="41"/>
      <c r="AP298" s="41"/>
      <c r="AQ298" s="41"/>
      <c r="AR298" s="41"/>
      <c r="AS298" s="41">
        <f>IFERROR(VLOOKUP($A298,Program[],14,0),0)</f>
        <v>0</v>
      </c>
      <c r="AT298" s="41"/>
      <c r="AU298" s="41"/>
      <c r="AV298" s="41">
        <f>IFERROR(VLOOKUP($A298,Program[],15,0),0)</f>
        <v>0</v>
      </c>
      <c r="AW298" s="41"/>
      <c r="AX298" s="41">
        <f>IFERROR(VLOOKUP($A298,Program[],16,0),0)</f>
        <v>0</v>
      </c>
      <c r="AY298" s="41">
        <f>IFERROR(VLOOKUP($A298,Program[],17,0),0)</f>
        <v>0</v>
      </c>
      <c r="AZ298" s="41">
        <f>IFERROR(VLOOKUP($A298,Program[],18,0),0)</f>
        <v>0</v>
      </c>
      <c r="BA298" s="41">
        <f>IFERROR(VLOOKUP($A298,Program[],19,0),0)</f>
        <v>8119.48</v>
      </c>
      <c r="BB298" s="77">
        <f t="shared" si="71"/>
        <v>18234.320000000003</v>
      </c>
      <c r="BC298" s="41">
        <f>IFERROR(VLOOKUP(A298,Food[],3,0),0)</f>
        <v>62657.820000000007</v>
      </c>
      <c r="BD298" s="41">
        <f>IFERROR(VLOOKUP($A298,FoodRev[],2,0),0)</f>
        <v>2202.8000000000002</v>
      </c>
      <c r="BE298" s="41">
        <f>IFERROR(VLOOKUP($A298,FoodRev[],3,0),0)</f>
        <v>9727.36</v>
      </c>
      <c r="BF298" s="41">
        <f>IFERROR(VLOOKUP($A298,FoodRev[],4,0),0)</f>
        <v>0</v>
      </c>
      <c r="BG298" s="41">
        <f>IFERROR(VLOOKUP($A298,FoodRev[],5,0),0)</f>
        <v>26036.46</v>
      </c>
      <c r="BH298" s="41">
        <f>IFERROR(VLOOKUP($A298,FoodRev[],6,0),0)</f>
        <v>0</v>
      </c>
      <c r="BI298" s="41">
        <f>IFERROR(VLOOKUP($A298,FoodRev[],7,0),0)</f>
        <v>0</v>
      </c>
      <c r="BJ298" s="41">
        <f>IFERROR(VLOOKUP($A298,FoodRev[],8,0),0)</f>
        <v>6456.88</v>
      </c>
      <c r="BK298" s="41">
        <f>IFERROR(VLOOKUP($A298,FoodRev[],9,0),0)</f>
        <v>0</v>
      </c>
      <c r="BL298" s="41">
        <f>IFERROR(VLOOKUP($A298,FoodRev[],10,0),0)</f>
        <v>0</v>
      </c>
      <c r="BM298" s="41">
        <f t="shared" si="72"/>
        <v>44423.499999999993</v>
      </c>
      <c r="BN298" s="42">
        <f t="shared" si="66"/>
        <v>18234.320000000003</v>
      </c>
      <c r="BO298" s="78">
        <f t="shared" si="73"/>
        <v>18234.320000000003</v>
      </c>
      <c r="BP298" s="78">
        <f t="shared" si="74"/>
        <v>0</v>
      </c>
    </row>
    <row r="299" spans="1:68" x14ac:dyDescent="0.25">
      <c r="A299" s="40" t="s">
        <v>470</v>
      </c>
      <c r="B299" s="40" t="s">
        <v>964</v>
      </c>
      <c r="D299" s="203">
        <f t="shared" si="69"/>
        <v>1.862645149230957E-9</v>
      </c>
      <c r="E299" s="41">
        <f>IFERROR(VLOOKUP(A299,Items[],5,0),0)</f>
        <v>4525766.9800000004</v>
      </c>
      <c r="F299" s="42">
        <f t="shared" si="70"/>
        <v>4525766.9799999986</v>
      </c>
      <c r="G299" s="41">
        <v>0</v>
      </c>
      <c r="H299" s="41">
        <f>IFERROR(VLOOKUP(A299,Items[],4,0),0)</f>
        <v>4877987.0999999996</v>
      </c>
      <c r="I299" s="41">
        <f>IFERROR(VLOOKUP(A299,Community[],4,0),0)</f>
        <v>0</v>
      </c>
      <c r="J299" s="41">
        <f>IFERROR(VLOOKUP(A299,Community[],5,0),0)</f>
        <v>0</v>
      </c>
      <c r="K299" s="41">
        <f>IFERROR(VLOOKUP(A299,Community[],6,0),0)</f>
        <v>10348.619999999999</v>
      </c>
      <c r="L299" s="41">
        <f>IFERROR(VLOOKUP(A299,Community[],7,0),0)</f>
        <v>0</v>
      </c>
      <c r="M299" s="41">
        <f>IFERROR(VLOOKUP(A299,Debt[],3,0),0)</f>
        <v>0</v>
      </c>
      <c r="N299" s="41">
        <f>IFERROR(VLOOKUP(A299,Debt[],4,0),0)</f>
        <v>0</v>
      </c>
      <c r="O299" s="41">
        <f>IFERROR(VLOOKUP(A299,Debt[],5,0),0)</f>
        <v>0</v>
      </c>
      <c r="P299" s="41">
        <f>IFERROR(VLOOKUP(A299,Items[],3,0),0)</f>
        <v>1000</v>
      </c>
      <c r="Q299" s="41">
        <f>IFERROR(VLOOKUP($A299,Federal[],2,0),0)</f>
        <v>0</v>
      </c>
      <c r="R299" s="41">
        <f>IFERROR(VLOOKUP($A299,Federal[],4,0),0)</f>
        <v>291382.61</v>
      </c>
      <c r="S299" s="41"/>
      <c r="T299" s="47">
        <f>IFERROR(VLOOKUP($A299,Program[],3,0),0)</f>
        <v>0</v>
      </c>
      <c r="U299" s="47"/>
      <c r="V299" s="41">
        <f>IFERROR(VLOOKUP($A299,Program[],4,0),0)</f>
        <v>0</v>
      </c>
      <c r="W299" s="41">
        <f>IFERROR(VLOOKUP($A299,Program[],5,0),0)</f>
        <v>0</v>
      </c>
      <c r="X299" s="41"/>
      <c r="Y299" s="41"/>
      <c r="Z299" s="41"/>
      <c r="AA299" s="41">
        <f>IFERROR(VLOOKUP($A299,Program[],6,0),0)</f>
        <v>0</v>
      </c>
      <c r="AB299" s="41"/>
      <c r="AC299" s="41"/>
      <c r="AD299" s="41">
        <f>IFERROR(VLOOKUP($A299,Program[],7,0),0)</f>
        <v>0</v>
      </c>
      <c r="AE299" s="41">
        <f>IFERROR(VLOOKUP($A299,Program[],8,0),0)</f>
        <v>0</v>
      </c>
      <c r="AF299" s="41">
        <f>IFERROR(VLOOKUP($A299,Program[],9,0),0)</f>
        <v>0</v>
      </c>
      <c r="AG299" s="41">
        <f>IFERROR(VLOOKUP($A299,Program[],10,0),0)</f>
        <v>0</v>
      </c>
      <c r="AH299" s="41">
        <f>IFERROR(VLOOKUP($A299,Program[],11,0),0)</f>
        <v>0</v>
      </c>
      <c r="AI299" s="41">
        <f>IFERROR(VLOOKUP($A299,Program[],12,0),0)</f>
        <v>0</v>
      </c>
      <c r="AJ299" s="41"/>
      <c r="AK299" s="41">
        <f>IFERROR(VLOOKUP($A299,Program[],13,0),0)</f>
        <v>0</v>
      </c>
      <c r="AL299" s="41"/>
      <c r="AM299" s="41"/>
      <c r="AN299" s="41"/>
      <c r="AO299" s="41"/>
      <c r="AP299" s="41"/>
      <c r="AQ299" s="41"/>
      <c r="AR299" s="41"/>
      <c r="AS299" s="41">
        <f>IFERROR(VLOOKUP($A299,Program[],14,0),0)</f>
        <v>0</v>
      </c>
      <c r="AT299" s="41"/>
      <c r="AU299" s="41"/>
      <c r="AV299" s="41">
        <f>IFERROR(VLOOKUP($A299,Program[],15,0),0)</f>
        <v>0</v>
      </c>
      <c r="AW299" s="41"/>
      <c r="AX299" s="41">
        <f>IFERROR(VLOOKUP($A299,Program[],16,0),0)</f>
        <v>0</v>
      </c>
      <c r="AY299" s="41">
        <f>IFERROR(VLOOKUP($A299,Program[],17,0),0)</f>
        <v>0</v>
      </c>
      <c r="AZ299" s="41">
        <f>IFERROR(VLOOKUP($A299,Program[],18,0),0)</f>
        <v>0</v>
      </c>
      <c r="BA299" s="41">
        <f>IFERROR(VLOOKUP($A299,Program[],19,0),0)</f>
        <v>0</v>
      </c>
      <c r="BB299" s="77">
        <f t="shared" si="71"/>
        <v>49791.140000000014</v>
      </c>
      <c r="BC299" s="41">
        <f>IFERROR(VLOOKUP(A299,Food[],3,0),0)</f>
        <v>231877.46</v>
      </c>
      <c r="BD299" s="41">
        <f>IFERROR(VLOOKUP($A299,FoodRev[],2,0),0)</f>
        <v>40</v>
      </c>
      <c r="BE299" s="41">
        <f>IFERROR(VLOOKUP($A299,FoodRev[],3,0),0)</f>
        <v>49448.89</v>
      </c>
      <c r="BF299" s="41">
        <f>IFERROR(VLOOKUP($A299,FoodRev[],4,0),0)</f>
        <v>0</v>
      </c>
      <c r="BG299" s="41">
        <f>IFERROR(VLOOKUP($A299,FoodRev[],5,0),0)</f>
        <v>121547.43</v>
      </c>
      <c r="BH299" s="41">
        <f>IFERROR(VLOOKUP($A299,FoodRev[],6,0),0)</f>
        <v>0</v>
      </c>
      <c r="BI299" s="41">
        <f>IFERROR(VLOOKUP($A299,FoodRev[],7,0),0)</f>
        <v>0</v>
      </c>
      <c r="BJ299" s="41">
        <f>IFERROR(VLOOKUP($A299,FoodRev[],8,0),0)</f>
        <v>11050</v>
      </c>
      <c r="BK299" s="41">
        <f>IFERROR(VLOOKUP($A299,FoodRev[],9,0),0)</f>
        <v>0</v>
      </c>
      <c r="BL299" s="41">
        <f>IFERROR(VLOOKUP($A299,FoodRev[],10,0),0)</f>
        <v>0</v>
      </c>
      <c r="BM299" s="41">
        <f t="shared" si="72"/>
        <v>182086.32</v>
      </c>
      <c r="BN299" s="42">
        <f t="shared" si="66"/>
        <v>49791.140000000014</v>
      </c>
      <c r="BO299" s="78">
        <f t="shared" si="73"/>
        <v>49791.140000000014</v>
      </c>
      <c r="BP299" s="78">
        <f t="shared" si="74"/>
        <v>0</v>
      </c>
    </row>
    <row r="300" spans="1:68" x14ac:dyDescent="0.25">
      <c r="A300" s="40" t="s">
        <v>186</v>
      </c>
      <c r="B300" s="40" t="s">
        <v>965</v>
      </c>
      <c r="D300" s="203">
        <f t="shared" si="69"/>
        <v>7.4505805969238281E-9</v>
      </c>
      <c r="E300" s="41">
        <f>IFERROR(VLOOKUP(A300,Items[],5,0),0)</f>
        <v>40983491.840000004</v>
      </c>
      <c r="F300" s="42">
        <f t="shared" si="70"/>
        <v>40983491.839999996</v>
      </c>
      <c r="G300" s="41">
        <v>0</v>
      </c>
      <c r="H300" s="41">
        <f>IFERROR(VLOOKUP(A300,Items[],4,0),0)</f>
        <v>43743327.380000003</v>
      </c>
      <c r="I300" s="41">
        <f>IFERROR(VLOOKUP(A300,Community[],4,0),0)</f>
        <v>0</v>
      </c>
      <c r="J300" s="41">
        <f>IFERROR(VLOOKUP(A300,Community[],5,0),0)</f>
        <v>0</v>
      </c>
      <c r="K300" s="41">
        <f>IFERROR(VLOOKUP(A300,Community[],6,0),0)</f>
        <v>0</v>
      </c>
      <c r="L300" s="41">
        <f>IFERROR(VLOOKUP(A300,Community[],7,0),0)</f>
        <v>7594.59</v>
      </c>
      <c r="M300" s="41">
        <f>IFERROR(VLOOKUP(A300,Debt[],3,0),0)</f>
        <v>0</v>
      </c>
      <c r="N300" s="41">
        <f>IFERROR(VLOOKUP(A300,Debt[],4,0),0)</f>
        <v>0</v>
      </c>
      <c r="O300" s="41">
        <f>IFERROR(VLOOKUP(A300,Debt[],5,0),0)</f>
        <v>0</v>
      </c>
      <c r="P300" s="41">
        <f>IFERROR(VLOOKUP(A300,Items[],3,0),0)</f>
        <v>103751.14</v>
      </c>
      <c r="Q300" s="41">
        <f>IFERROR(VLOOKUP($A300,Federal[],2,0),0)</f>
        <v>0</v>
      </c>
      <c r="R300" s="41">
        <f>IFERROR(VLOOKUP($A300,Federal[],4,0),0)</f>
        <v>2208496.25</v>
      </c>
      <c r="S300" s="41"/>
      <c r="T300" s="47">
        <f>IFERROR(VLOOKUP($A300,Program[],3,0),0)</f>
        <v>0</v>
      </c>
      <c r="U300" s="47"/>
      <c r="V300" s="41">
        <f>IFERROR(VLOOKUP($A300,Program[],4,0),0)</f>
        <v>0</v>
      </c>
      <c r="W300" s="41">
        <f>IFERROR(VLOOKUP($A300,Program[],5,0),0)</f>
        <v>0</v>
      </c>
      <c r="X300" s="41"/>
      <c r="Y300" s="41"/>
      <c r="Z300" s="41"/>
      <c r="AA300" s="41">
        <f>IFERROR(VLOOKUP($A300,Program[],6,0),0)</f>
        <v>0</v>
      </c>
      <c r="AB300" s="41"/>
      <c r="AC300" s="41"/>
      <c r="AD300" s="41">
        <f>IFERROR(VLOOKUP($A300,Program[],7,0),0)</f>
        <v>0</v>
      </c>
      <c r="AE300" s="41">
        <f>IFERROR(VLOOKUP($A300,Program[],8,0),0)</f>
        <v>0</v>
      </c>
      <c r="AF300" s="41">
        <f>IFERROR(VLOOKUP($A300,Program[],9,0),0)</f>
        <v>0</v>
      </c>
      <c r="AG300" s="41">
        <f>IFERROR(VLOOKUP($A300,Program[],10,0),0)</f>
        <v>0</v>
      </c>
      <c r="AH300" s="41">
        <f>IFERROR(VLOOKUP($A300,Program[],11,0),0)</f>
        <v>0</v>
      </c>
      <c r="AI300" s="41">
        <f>IFERROR(VLOOKUP($A300,Program[],12,0),0)</f>
        <v>0</v>
      </c>
      <c r="AJ300" s="41"/>
      <c r="AK300" s="41">
        <f>IFERROR(VLOOKUP($A300,Program[],13,0),0)</f>
        <v>0</v>
      </c>
      <c r="AL300" s="41"/>
      <c r="AM300" s="41"/>
      <c r="AN300" s="41"/>
      <c r="AO300" s="41"/>
      <c r="AP300" s="41"/>
      <c r="AQ300" s="41"/>
      <c r="AR300" s="41"/>
      <c r="AS300" s="41">
        <f>IFERROR(VLOOKUP($A300,Program[],14,0),0)</f>
        <v>0</v>
      </c>
      <c r="AT300" s="41"/>
      <c r="AU300" s="41"/>
      <c r="AV300" s="41">
        <f>IFERROR(VLOOKUP($A300,Program[],15,0),0)</f>
        <v>0</v>
      </c>
      <c r="AW300" s="41"/>
      <c r="AX300" s="41">
        <f>IFERROR(VLOOKUP($A300,Program[],16,0),0)</f>
        <v>0</v>
      </c>
      <c r="AY300" s="41">
        <f>IFERROR(VLOOKUP($A300,Program[],17,0),0)</f>
        <v>0</v>
      </c>
      <c r="AZ300" s="41">
        <f>IFERROR(VLOOKUP($A300,Program[],18,0),0)</f>
        <v>0</v>
      </c>
      <c r="BA300" s="41">
        <f>IFERROR(VLOOKUP($A300,Program[],19,0),0)</f>
        <v>0</v>
      </c>
      <c r="BB300" s="77">
        <f t="shared" si="71"/>
        <v>77499.949999999968</v>
      </c>
      <c r="BC300" s="41">
        <f>IFERROR(VLOOKUP(A300,Food[],3,0),0)</f>
        <v>1347745.3499999999</v>
      </c>
      <c r="BD300" s="41">
        <f>IFERROR(VLOOKUP($A300,FoodRev[],2,0),0)</f>
        <v>298196.89</v>
      </c>
      <c r="BE300" s="41">
        <f>IFERROR(VLOOKUP($A300,FoodRev[],3,0),0)</f>
        <v>137676.88</v>
      </c>
      <c r="BF300" s="41">
        <f>IFERROR(VLOOKUP($A300,FoodRev[],4,0),0)</f>
        <v>4119.79</v>
      </c>
      <c r="BG300" s="41">
        <f>IFERROR(VLOOKUP($A300,FoodRev[],5,0),0)</f>
        <v>723338.69</v>
      </c>
      <c r="BH300" s="41">
        <f>IFERROR(VLOOKUP($A300,FoodRev[],6,0),0)</f>
        <v>21139.93</v>
      </c>
      <c r="BI300" s="41">
        <f>IFERROR(VLOOKUP($A300,FoodRev[],7,0),0)</f>
        <v>2.48</v>
      </c>
      <c r="BJ300" s="41">
        <f>IFERROR(VLOOKUP($A300,FoodRev[],8,0),0)</f>
        <v>85770.74</v>
      </c>
      <c r="BK300" s="41">
        <f>IFERROR(VLOOKUP($A300,FoodRev[],9,0),0)</f>
        <v>0</v>
      </c>
      <c r="BL300" s="41">
        <f>IFERROR(VLOOKUP($A300,FoodRev[],10,0),0)</f>
        <v>0</v>
      </c>
      <c r="BM300" s="41">
        <f t="shared" si="72"/>
        <v>1270245.3999999999</v>
      </c>
      <c r="BN300" s="42">
        <f t="shared" si="66"/>
        <v>77499.949999999968</v>
      </c>
      <c r="BO300" s="78">
        <f t="shared" si="73"/>
        <v>77499.949999999968</v>
      </c>
      <c r="BP300" s="78">
        <f t="shared" si="74"/>
        <v>0</v>
      </c>
    </row>
    <row r="301" spans="1:68" x14ac:dyDescent="0.25">
      <c r="A301" s="40" t="s">
        <v>370</v>
      </c>
      <c r="B301" s="40" t="s">
        <v>966</v>
      </c>
      <c r="D301" s="203">
        <f t="shared" si="69"/>
        <v>0</v>
      </c>
      <c r="E301" s="41">
        <f>IFERROR(VLOOKUP(A301,Items[],5,0),0)</f>
        <v>9056235.3499999996</v>
      </c>
      <c r="F301" s="42">
        <f t="shared" si="70"/>
        <v>9056235.3499999996</v>
      </c>
      <c r="G301" s="41">
        <v>0</v>
      </c>
      <c r="H301" s="41">
        <f>IFERROR(VLOOKUP(A301,Items[],4,0),0)</f>
        <v>9836728.2300000004</v>
      </c>
      <c r="I301" s="41">
        <f>IFERROR(VLOOKUP(A301,Community[],4,0),0)</f>
        <v>0</v>
      </c>
      <c r="J301" s="41">
        <f>IFERROR(VLOOKUP(A301,Community[],5,0),0)</f>
        <v>0</v>
      </c>
      <c r="K301" s="41">
        <f>IFERROR(VLOOKUP(A301,Community[],6,0),0)</f>
        <v>0</v>
      </c>
      <c r="L301" s="41">
        <f>IFERROR(VLOOKUP(A301,Community[],7,0),0)</f>
        <v>0</v>
      </c>
      <c r="M301" s="41">
        <f>IFERROR(VLOOKUP(A301,Debt[],3,0),0)</f>
        <v>0</v>
      </c>
      <c r="N301" s="41">
        <f>IFERROR(VLOOKUP(A301,Debt[],4,0),0)</f>
        <v>0</v>
      </c>
      <c r="O301" s="41">
        <f>IFERROR(VLOOKUP(A301,Debt[],5,0),0)</f>
        <v>0</v>
      </c>
      <c r="P301" s="41">
        <f>IFERROR(VLOOKUP(A301,Items[],3,0),0)</f>
        <v>102672.01</v>
      </c>
      <c r="Q301" s="41">
        <f>IFERROR(VLOOKUP($A301,Federal[],2,0),0)</f>
        <v>0</v>
      </c>
      <c r="R301" s="41">
        <f>IFERROR(VLOOKUP($A301,Federal[],4,0),0)</f>
        <v>469512.57</v>
      </c>
      <c r="S301" s="41"/>
      <c r="T301" s="47">
        <f>IFERROR(VLOOKUP($A301,Program[],3,0),0)</f>
        <v>0</v>
      </c>
      <c r="U301" s="47"/>
      <c r="V301" s="41">
        <f>IFERROR(VLOOKUP($A301,Program[],4,0),0)</f>
        <v>0</v>
      </c>
      <c r="W301" s="41">
        <f>IFERROR(VLOOKUP($A301,Program[],5,0),0)</f>
        <v>0</v>
      </c>
      <c r="X301" s="41"/>
      <c r="Y301" s="41"/>
      <c r="Z301" s="41"/>
      <c r="AA301" s="41">
        <f>IFERROR(VLOOKUP($A301,Program[],6,0),0)</f>
        <v>0</v>
      </c>
      <c r="AB301" s="41"/>
      <c r="AC301" s="41"/>
      <c r="AD301" s="41">
        <f>IFERROR(VLOOKUP($A301,Program[],7,0),0)</f>
        <v>0</v>
      </c>
      <c r="AE301" s="41">
        <f>IFERROR(VLOOKUP($A301,Program[],8,0),0)</f>
        <v>0</v>
      </c>
      <c r="AF301" s="41">
        <f>IFERROR(VLOOKUP($A301,Program[],9,0),0)</f>
        <v>0</v>
      </c>
      <c r="AG301" s="41">
        <f>IFERROR(VLOOKUP($A301,Program[],10,0),0)</f>
        <v>0</v>
      </c>
      <c r="AH301" s="41">
        <f>IFERROR(VLOOKUP($A301,Program[],11,0),0)</f>
        <v>0</v>
      </c>
      <c r="AI301" s="41">
        <f>IFERROR(VLOOKUP($A301,Program[],12,0),0)</f>
        <v>0</v>
      </c>
      <c r="AJ301" s="41"/>
      <c r="AK301" s="41">
        <f>IFERROR(VLOOKUP($A301,Program[],13,0),0)</f>
        <v>0</v>
      </c>
      <c r="AL301" s="41"/>
      <c r="AM301" s="41"/>
      <c r="AN301" s="41"/>
      <c r="AO301" s="41"/>
      <c r="AP301" s="41"/>
      <c r="AQ301" s="41"/>
      <c r="AR301" s="41"/>
      <c r="AS301" s="41">
        <f>IFERROR(VLOOKUP($A301,Program[],14,0),0)</f>
        <v>0</v>
      </c>
      <c r="AT301" s="41"/>
      <c r="AU301" s="41"/>
      <c r="AV301" s="41">
        <f>IFERROR(VLOOKUP($A301,Program[],15,0),0)</f>
        <v>0</v>
      </c>
      <c r="AW301" s="41"/>
      <c r="AX301" s="41">
        <f>IFERROR(VLOOKUP($A301,Program[],16,0),0)</f>
        <v>0</v>
      </c>
      <c r="AY301" s="41">
        <f>IFERROR(VLOOKUP($A301,Program[],17,0),0)</f>
        <v>0</v>
      </c>
      <c r="AZ301" s="41">
        <f>IFERROR(VLOOKUP($A301,Program[],18,0),0)</f>
        <v>0</v>
      </c>
      <c r="BA301" s="41">
        <f>IFERROR(VLOOKUP($A301,Program[],19,0),0)</f>
        <v>0</v>
      </c>
      <c r="BB301" s="77">
        <f t="shared" si="71"/>
        <v>45426.299999999974</v>
      </c>
      <c r="BC301" s="41">
        <f>IFERROR(VLOOKUP(A301,Food[],3,0),0)</f>
        <v>416699.97</v>
      </c>
      <c r="BD301" s="41">
        <f>IFERROR(VLOOKUP($A301,FoodRev[],2,0),0)</f>
        <v>82612.37</v>
      </c>
      <c r="BE301" s="41">
        <f>IFERROR(VLOOKUP($A301,FoodRev[],3,0),0)</f>
        <v>118364.13</v>
      </c>
      <c r="BF301" s="41">
        <f>IFERROR(VLOOKUP($A301,FoodRev[],4,0),0)</f>
        <v>7331.8</v>
      </c>
      <c r="BG301" s="41">
        <f>IFERROR(VLOOKUP($A301,FoodRev[],5,0),0)</f>
        <v>139708.26</v>
      </c>
      <c r="BH301" s="41">
        <f>IFERROR(VLOOKUP($A301,FoodRev[],6,0),0)</f>
        <v>0</v>
      </c>
      <c r="BI301" s="41">
        <f>IFERROR(VLOOKUP($A301,FoodRev[],7,0),0)</f>
        <v>5760</v>
      </c>
      <c r="BJ301" s="41">
        <f>IFERROR(VLOOKUP($A301,FoodRev[],8,0),0)</f>
        <v>17497.11</v>
      </c>
      <c r="BK301" s="41">
        <f>IFERROR(VLOOKUP($A301,FoodRev[],9,0),0)</f>
        <v>0</v>
      </c>
      <c r="BL301" s="41">
        <f>IFERROR(VLOOKUP($A301,FoodRev[],10,0),0)</f>
        <v>0</v>
      </c>
      <c r="BM301" s="41">
        <f t="shared" si="72"/>
        <v>371273.67</v>
      </c>
      <c r="BN301" s="42">
        <f t="shared" si="66"/>
        <v>45426.299999999974</v>
      </c>
      <c r="BO301" s="78">
        <f t="shared" si="73"/>
        <v>45426.299999999974</v>
      </c>
      <c r="BP301" s="78">
        <f t="shared" si="74"/>
        <v>0</v>
      </c>
    </row>
    <row r="302" spans="1:68" x14ac:dyDescent="0.25">
      <c r="A302" s="40" t="s">
        <v>476</v>
      </c>
      <c r="B302" s="40" t="s">
        <v>967</v>
      </c>
      <c r="D302" s="203">
        <f t="shared" si="69"/>
        <v>0</v>
      </c>
      <c r="E302" s="41">
        <f>IFERROR(VLOOKUP(A302,Items[],5,0),0)</f>
        <v>3855154.15</v>
      </c>
      <c r="F302" s="42">
        <f t="shared" si="70"/>
        <v>3855154.15</v>
      </c>
      <c r="G302" s="41">
        <v>0</v>
      </c>
      <c r="H302" s="41">
        <f>IFERROR(VLOOKUP(A302,Items[],4,0),0)</f>
        <v>4228245.54</v>
      </c>
      <c r="I302" s="41">
        <f>IFERROR(VLOOKUP(A302,Community[],4,0),0)</f>
        <v>0</v>
      </c>
      <c r="J302" s="41">
        <f>IFERROR(VLOOKUP(A302,Community[],5,0),0)</f>
        <v>0</v>
      </c>
      <c r="K302" s="41">
        <f>IFERROR(VLOOKUP(A302,Community[],6,0),0)</f>
        <v>35989.370000000003</v>
      </c>
      <c r="L302" s="41">
        <f>IFERROR(VLOOKUP(A302,Community[],7,0),0)</f>
        <v>0</v>
      </c>
      <c r="M302" s="41">
        <f>IFERROR(VLOOKUP(A302,Debt[],3,0),0)</f>
        <v>0</v>
      </c>
      <c r="N302" s="41">
        <f>IFERROR(VLOOKUP(A302,Debt[],4,0),0)</f>
        <v>0</v>
      </c>
      <c r="O302" s="41">
        <f>IFERROR(VLOOKUP(A302,Debt[],5,0),0)</f>
        <v>0</v>
      </c>
      <c r="P302" s="41">
        <f>IFERROR(VLOOKUP(A302,Items[],3,0),0)</f>
        <v>0</v>
      </c>
      <c r="Q302" s="41">
        <f>IFERROR(VLOOKUP($A302,Federal[],2,0),0)</f>
        <v>0</v>
      </c>
      <c r="R302" s="41">
        <f>IFERROR(VLOOKUP($A302,Federal[],4,0),0)</f>
        <v>265267.33</v>
      </c>
      <c r="S302" s="41"/>
      <c r="T302" s="47">
        <f>IFERROR(VLOOKUP($A302,Program[],3,0),0)</f>
        <v>0</v>
      </c>
      <c r="U302" s="47"/>
      <c r="V302" s="41">
        <f>IFERROR(VLOOKUP($A302,Program[],4,0),0)</f>
        <v>0</v>
      </c>
      <c r="W302" s="41">
        <f>IFERROR(VLOOKUP($A302,Program[],5,0),0)</f>
        <v>0</v>
      </c>
      <c r="X302" s="41"/>
      <c r="Y302" s="41"/>
      <c r="Z302" s="41"/>
      <c r="AA302" s="41">
        <f>IFERROR(VLOOKUP($A302,Program[],6,0),0)</f>
        <v>0</v>
      </c>
      <c r="AB302" s="41"/>
      <c r="AC302" s="41"/>
      <c r="AD302" s="41">
        <f>IFERROR(VLOOKUP($A302,Program[],7,0),0)</f>
        <v>0</v>
      </c>
      <c r="AE302" s="41">
        <f>IFERROR(VLOOKUP($A302,Program[],8,0),0)</f>
        <v>0</v>
      </c>
      <c r="AF302" s="41">
        <f>IFERROR(VLOOKUP($A302,Program[],9,0),0)</f>
        <v>0</v>
      </c>
      <c r="AG302" s="41">
        <f>IFERROR(VLOOKUP($A302,Program[],10,0),0)</f>
        <v>0</v>
      </c>
      <c r="AH302" s="41">
        <f>IFERROR(VLOOKUP($A302,Program[],11,0),0)</f>
        <v>0</v>
      </c>
      <c r="AI302" s="41">
        <f>IFERROR(VLOOKUP($A302,Program[],12,0),0)</f>
        <v>0</v>
      </c>
      <c r="AJ302" s="41"/>
      <c r="AK302" s="41">
        <f>IFERROR(VLOOKUP($A302,Program[],13,0),0)</f>
        <v>0</v>
      </c>
      <c r="AL302" s="41"/>
      <c r="AM302" s="41"/>
      <c r="AN302" s="41"/>
      <c r="AO302" s="41"/>
      <c r="AP302" s="41"/>
      <c r="AQ302" s="41"/>
      <c r="AR302" s="41"/>
      <c r="AS302" s="41">
        <f>IFERROR(VLOOKUP($A302,Program[],14,0),0)</f>
        <v>0</v>
      </c>
      <c r="AT302" s="41"/>
      <c r="AU302" s="41"/>
      <c r="AV302" s="41">
        <f>IFERROR(VLOOKUP($A302,Program[],15,0),0)</f>
        <v>0</v>
      </c>
      <c r="AW302" s="41"/>
      <c r="AX302" s="41">
        <f>IFERROR(VLOOKUP($A302,Program[],16,0),0)</f>
        <v>0</v>
      </c>
      <c r="AY302" s="41">
        <f>IFERROR(VLOOKUP($A302,Program[],17,0),0)</f>
        <v>0</v>
      </c>
      <c r="AZ302" s="41">
        <f>IFERROR(VLOOKUP($A302,Program[],18,0),0)</f>
        <v>0</v>
      </c>
      <c r="BA302" s="41">
        <f>IFERROR(VLOOKUP($A302,Program[],19,0),0)</f>
        <v>0</v>
      </c>
      <c r="BB302" s="77">
        <f t="shared" si="71"/>
        <v>41354.670000000042</v>
      </c>
      <c r="BC302" s="41">
        <f>IFERROR(VLOOKUP(A302,Food[],3,0),0)</f>
        <v>232454.35</v>
      </c>
      <c r="BD302" s="41">
        <f>IFERROR(VLOOKUP($A302,FoodRev[],2,0),0)</f>
        <v>26317.52</v>
      </c>
      <c r="BE302" s="41">
        <f>IFERROR(VLOOKUP($A302,FoodRev[],3,0),0)</f>
        <v>45517.17</v>
      </c>
      <c r="BF302" s="41">
        <f>IFERROR(VLOOKUP($A302,FoodRev[],4,0),0)</f>
        <v>0</v>
      </c>
      <c r="BG302" s="41">
        <f>IFERROR(VLOOKUP($A302,FoodRev[],5,0),0)</f>
        <v>58276.27</v>
      </c>
      <c r="BH302" s="41">
        <f>IFERROR(VLOOKUP($A302,FoodRev[],6,0),0)</f>
        <v>0</v>
      </c>
      <c r="BI302" s="41">
        <f>IFERROR(VLOOKUP($A302,FoodRev[],7,0),0)</f>
        <v>54925.62</v>
      </c>
      <c r="BJ302" s="41">
        <f>IFERROR(VLOOKUP($A302,FoodRev[],8,0),0)</f>
        <v>6063.1</v>
      </c>
      <c r="BK302" s="41">
        <f>IFERROR(VLOOKUP($A302,FoodRev[],9,0),0)</f>
        <v>0</v>
      </c>
      <c r="BL302" s="41">
        <f>IFERROR(VLOOKUP($A302,FoodRev[],10,0),0)</f>
        <v>0</v>
      </c>
      <c r="BM302" s="41">
        <f t="shared" si="72"/>
        <v>191099.68</v>
      </c>
      <c r="BN302" s="42">
        <f t="shared" si="66"/>
        <v>41354.670000000042</v>
      </c>
      <c r="BO302" s="78">
        <f t="shared" si="73"/>
        <v>41354.670000000042</v>
      </c>
      <c r="BP302" s="78">
        <f t="shared" si="74"/>
        <v>0</v>
      </c>
    </row>
    <row r="303" spans="1:68" x14ac:dyDescent="0.25">
      <c r="A303" s="40" t="s">
        <v>522</v>
      </c>
      <c r="B303" s="40" t="s">
        <v>968</v>
      </c>
      <c r="D303" s="203">
        <f t="shared" si="69"/>
        <v>0</v>
      </c>
      <c r="E303" s="41">
        <f>IFERROR(VLOOKUP(A303,Items[],5,0),0)</f>
        <v>3388059.24</v>
      </c>
      <c r="F303" s="42">
        <f t="shared" si="70"/>
        <v>3388059.24</v>
      </c>
      <c r="G303" s="41">
        <v>0</v>
      </c>
      <c r="H303" s="41">
        <f>IFERROR(VLOOKUP(A303,Items[],4,0),0)</f>
        <v>3781599.19</v>
      </c>
      <c r="I303" s="41">
        <f>IFERROR(VLOOKUP(A303,Community[],4,0),0)</f>
        <v>0</v>
      </c>
      <c r="J303" s="41">
        <f>IFERROR(VLOOKUP(A303,Community[],5,0),0)</f>
        <v>0</v>
      </c>
      <c r="K303" s="41">
        <f>IFERROR(VLOOKUP(A303,Community[],6,0),0)</f>
        <v>64019.18</v>
      </c>
      <c r="L303" s="41">
        <f>IFERROR(VLOOKUP(A303,Community[],7,0),0)</f>
        <v>0</v>
      </c>
      <c r="M303" s="41">
        <f>IFERROR(VLOOKUP(A303,Debt[],3,0),0)</f>
        <v>0</v>
      </c>
      <c r="N303" s="41">
        <f>IFERROR(VLOOKUP(A303,Debt[],4,0),0)</f>
        <v>0</v>
      </c>
      <c r="O303" s="41">
        <f>IFERROR(VLOOKUP(A303,Debt[],5,0),0)</f>
        <v>0</v>
      </c>
      <c r="P303" s="41">
        <f>IFERROR(VLOOKUP(A303,Items[],3,0),0)</f>
        <v>48031.57</v>
      </c>
      <c r="Q303" s="41">
        <f>IFERROR(VLOOKUP($A303,Federal[],2,0),0)</f>
        <v>0</v>
      </c>
      <c r="R303" s="41">
        <f>IFERROR(VLOOKUP($A303,Federal[],4,0),0)</f>
        <v>255159.62</v>
      </c>
      <c r="S303" s="41"/>
      <c r="T303" s="47">
        <f>IFERROR(VLOOKUP($A303,Program[],3,0),0)</f>
        <v>0</v>
      </c>
      <c r="U303" s="47"/>
      <c r="V303" s="41">
        <f>IFERROR(VLOOKUP($A303,Program[],4,0),0)</f>
        <v>0</v>
      </c>
      <c r="W303" s="41">
        <f>IFERROR(VLOOKUP($A303,Program[],5,0),0)</f>
        <v>0</v>
      </c>
      <c r="X303" s="41"/>
      <c r="Y303" s="41"/>
      <c r="Z303" s="41"/>
      <c r="AA303" s="41">
        <f>IFERROR(VLOOKUP($A303,Program[],6,0),0)</f>
        <v>0</v>
      </c>
      <c r="AB303" s="41"/>
      <c r="AC303" s="41"/>
      <c r="AD303" s="41">
        <f>IFERROR(VLOOKUP($A303,Program[],7,0),0)</f>
        <v>0</v>
      </c>
      <c r="AE303" s="41">
        <f>IFERROR(VLOOKUP($A303,Program[],8,0),0)</f>
        <v>0</v>
      </c>
      <c r="AF303" s="41">
        <f>IFERROR(VLOOKUP($A303,Program[],9,0),0)</f>
        <v>0</v>
      </c>
      <c r="AG303" s="41">
        <f>IFERROR(VLOOKUP($A303,Program[],10,0),0)</f>
        <v>0</v>
      </c>
      <c r="AH303" s="41">
        <f>IFERROR(VLOOKUP($A303,Program[],11,0),0)</f>
        <v>0</v>
      </c>
      <c r="AI303" s="41">
        <f>IFERROR(VLOOKUP($A303,Program[],12,0),0)</f>
        <v>0</v>
      </c>
      <c r="AJ303" s="41"/>
      <c r="AK303" s="41">
        <f>IFERROR(VLOOKUP($A303,Program[],13,0),0)</f>
        <v>0</v>
      </c>
      <c r="AL303" s="41"/>
      <c r="AM303" s="41"/>
      <c r="AN303" s="41"/>
      <c r="AO303" s="41"/>
      <c r="AP303" s="41"/>
      <c r="AQ303" s="41"/>
      <c r="AR303" s="41"/>
      <c r="AS303" s="41">
        <f>IFERROR(VLOOKUP($A303,Program[],14,0),0)</f>
        <v>0</v>
      </c>
      <c r="AT303" s="41"/>
      <c r="AU303" s="41"/>
      <c r="AV303" s="41">
        <f>IFERROR(VLOOKUP($A303,Program[],15,0),0)</f>
        <v>0</v>
      </c>
      <c r="AW303" s="41"/>
      <c r="AX303" s="41">
        <f>IFERROR(VLOOKUP($A303,Program[],16,0),0)</f>
        <v>0</v>
      </c>
      <c r="AY303" s="41">
        <f>IFERROR(VLOOKUP($A303,Program[],17,0),0)</f>
        <v>0</v>
      </c>
      <c r="AZ303" s="41">
        <f>IFERROR(VLOOKUP($A303,Program[],18,0),0)</f>
        <v>0</v>
      </c>
      <c r="BA303" s="41">
        <f>IFERROR(VLOOKUP($A303,Program[],19,0),0)</f>
        <v>0</v>
      </c>
      <c r="BB303" s="77">
        <f t="shared" si="71"/>
        <v>84820.680000000008</v>
      </c>
      <c r="BC303" s="41">
        <f>IFERROR(VLOOKUP(A303,Food[],3,0),0)</f>
        <v>184283.63000000003</v>
      </c>
      <c r="BD303" s="41">
        <f>IFERROR(VLOOKUP($A303,FoodRev[],2,0),0)</f>
        <v>13835.85</v>
      </c>
      <c r="BE303" s="41">
        <f>IFERROR(VLOOKUP($A303,FoodRev[],3,0),0)</f>
        <v>12493.73</v>
      </c>
      <c r="BF303" s="41">
        <f>IFERROR(VLOOKUP($A303,FoodRev[],4,0),0)</f>
        <v>0</v>
      </c>
      <c r="BG303" s="41">
        <f>IFERROR(VLOOKUP($A303,FoodRev[],5,0),0)</f>
        <v>68308.13</v>
      </c>
      <c r="BH303" s="41">
        <f>IFERROR(VLOOKUP($A303,FoodRev[],6,0),0)</f>
        <v>0</v>
      </c>
      <c r="BI303" s="41">
        <f>IFERROR(VLOOKUP($A303,FoodRev[],7,0),0)</f>
        <v>0</v>
      </c>
      <c r="BJ303" s="41">
        <f>IFERROR(VLOOKUP($A303,FoodRev[],8,0),0)</f>
        <v>4825.24</v>
      </c>
      <c r="BK303" s="41">
        <f>IFERROR(VLOOKUP($A303,FoodRev[],9,0),0)</f>
        <v>0</v>
      </c>
      <c r="BL303" s="41">
        <f>IFERROR(VLOOKUP($A303,FoodRev[],10,0),0)</f>
        <v>0</v>
      </c>
      <c r="BM303" s="41">
        <f t="shared" si="72"/>
        <v>99462.950000000012</v>
      </c>
      <c r="BN303" s="42">
        <f t="shared" si="66"/>
        <v>84820.680000000008</v>
      </c>
      <c r="BO303" s="78">
        <f t="shared" si="73"/>
        <v>84820.680000000008</v>
      </c>
      <c r="BP303" s="78">
        <f t="shared" si="74"/>
        <v>0</v>
      </c>
    </row>
    <row r="304" spans="1:68" x14ac:dyDescent="0.25">
      <c r="A304" s="40" t="s">
        <v>584</v>
      </c>
      <c r="B304" s="40" t="s">
        <v>969</v>
      </c>
      <c r="D304" s="203">
        <f t="shared" si="69"/>
        <v>0</v>
      </c>
      <c r="E304" s="41">
        <f>IFERROR(VLOOKUP(A304,Items[],5,0),0)</f>
        <v>986071.07</v>
      </c>
      <c r="F304" s="42">
        <f t="shared" si="70"/>
        <v>986071.07</v>
      </c>
      <c r="G304" s="41">
        <v>0</v>
      </c>
      <c r="H304" s="41">
        <f>IFERROR(VLOOKUP(A304,Items[],4,0),0)</f>
        <v>1040348.58</v>
      </c>
      <c r="I304" s="41">
        <f>IFERROR(VLOOKUP(A304,Community[],4,0),0)</f>
        <v>0</v>
      </c>
      <c r="J304" s="41">
        <f>IFERROR(VLOOKUP(A304,Community[],5,0),0)</f>
        <v>0</v>
      </c>
      <c r="K304" s="41">
        <f>IFERROR(VLOOKUP(A304,Community[],6,0),0)</f>
        <v>10916.510000000002</v>
      </c>
      <c r="L304" s="41">
        <f>IFERROR(VLOOKUP(A304,Community[],7,0),0)</f>
        <v>0</v>
      </c>
      <c r="M304" s="41">
        <f>IFERROR(VLOOKUP(A304,Debt[],3,0),0)</f>
        <v>0</v>
      </c>
      <c r="N304" s="41">
        <f>IFERROR(VLOOKUP(A304,Debt[],4,0),0)</f>
        <v>0</v>
      </c>
      <c r="O304" s="41">
        <f>IFERROR(VLOOKUP(A304,Debt[],5,0),0)</f>
        <v>0</v>
      </c>
      <c r="P304" s="41">
        <f>IFERROR(VLOOKUP(A304,Items[],3,0),0)</f>
        <v>0</v>
      </c>
      <c r="Q304" s="41">
        <f>IFERROR(VLOOKUP($A304,Federal[],2,0),0)</f>
        <v>0</v>
      </c>
      <c r="R304" s="41">
        <f>IFERROR(VLOOKUP($A304,Federal[],4,0),0)</f>
        <v>43361</v>
      </c>
      <c r="S304" s="41"/>
      <c r="T304" s="47">
        <f>IFERROR(VLOOKUP($A304,Program[],3,0),0)</f>
        <v>0</v>
      </c>
      <c r="U304" s="47"/>
      <c r="V304" s="41">
        <f>IFERROR(VLOOKUP($A304,Program[],4,0),0)</f>
        <v>0</v>
      </c>
      <c r="W304" s="41">
        <f>IFERROR(VLOOKUP($A304,Program[],5,0),0)</f>
        <v>0</v>
      </c>
      <c r="X304" s="41"/>
      <c r="Y304" s="41"/>
      <c r="Z304" s="41"/>
      <c r="AA304" s="41">
        <f>IFERROR(VLOOKUP($A304,Program[],6,0),0)</f>
        <v>0</v>
      </c>
      <c r="AB304" s="41"/>
      <c r="AC304" s="41"/>
      <c r="AD304" s="41">
        <f>IFERROR(VLOOKUP($A304,Program[],7,0),0)</f>
        <v>0</v>
      </c>
      <c r="AE304" s="41">
        <f>IFERROR(VLOOKUP($A304,Program[],8,0),0)</f>
        <v>0</v>
      </c>
      <c r="AF304" s="41">
        <f>IFERROR(VLOOKUP($A304,Program[],9,0),0)</f>
        <v>0</v>
      </c>
      <c r="AG304" s="41">
        <f>IFERROR(VLOOKUP($A304,Program[],10,0),0)</f>
        <v>0</v>
      </c>
      <c r="AH304" s="41">
        <f>IFERROR(VLOOKUP($A304,Program[],11,0),0)</f>
        <v>0</v>
      </c>
      <c r="AI304" s="41">
        <f>IFERROR(VLOOKUP($A304,Program[],12,0),0)</f>
        <v>0</v>
      </c>
      <c r="AJ304" s="41"/>
      <c r="AK304" s="41">
        <f>IFERROR(VLOOKUP($A304,Program[],13,0),0)</f>
        <v>0</v>
      </c>
      <c r="AL304" s="41"/>
      <c r="AM304" s="41"/>
      <c r="AN304" s="41"/>
      <c r="AO304" s="41"/>
      <c r="AP304" s="41"/>
      <c r="AQ304" s="41"/>
      <c r="AR304" s="41"/>
      <c r="AS304" s="41">
        <f>IFERROR(VLOOKUP($A304,Program[],14,0),0)</f>
        <v>0</v>
      </c>
      <c r="AT304" s="41"/>
      <c r="AU304" s="41"/>
      <c r="AV304" s="41">
        <f>IFERROR(VLOOKUP($A304,Program[],15,0),0)</f>
        <v>0</v>
      </c>
      <c r="AW304" s="41"/>
      <c r="AX304" s="41">
        <f>IFERROR(VLOOKUP($A304,Program[],16,0),0)</f>
        <v>0</v>
      </c>
      <c r="AY304" s="41">
        <f>IFERROR(VLOOKUP($A304,Program[],17,0),0)</f>
        <v>0</v>
      </c>
      <c r="AZ304" s="41">
        <f>IFERROR(VLOOKUP($A304,Program[],18,0),0)</f>
        <v>0</v>
      </c>
      <c r="BA304" s="41">
        <f>IFERROR(VLOOKUP($A304,Program[],19,0),0)</f>
        <v>0</v>
      </c>
      <c r="BB304" s="77">
        <f t="shared" si="71"/>
        <v>0</v>
      </c>
      <c r="BC304" s="41">
        <f>IFERROR(VLOOKUP(A304,Food[],3,0),0)</f>
        <v>0</v>
      </c>
      <c r="BD304" s="41">
        <f>IFERROR(VLOOKUP($A304,FoodRev[],2,0),0)</f>
        <v>0</v>
      </c>
      <c r="BE304" s="41">
        <f>IFERROR(VLOOKUP($A304,FoodRev[],3,0),0)</f>
        <v>0</v>
      </c>
      <c r="BF304" s="41">
        <f>IFERROR(VLOOKUP($A304,FoodRev[],4,0),0)</f>
        <v>0</v>
      </c>
      <c r="BG304" s="41">
        <f>IFERROR(VLOOKUP($A304,FoodRev[],5,0),0)</f>
        <v>0</v>
      </c>
      <c r="BH304" s="41">
        <f>IFERROR(VLOOKUP($A304,FoodRev[],6,0),0)</f>
        <v>0</v>
      </c>
      <c r="BI304" s="41">
        <f>IFERROR(VLOOKUP($A304,FoodRev[],7,0),0)</f>
        <v>0</v>
      </c>
      <c r="BJ304" s="41">
        <f>IFERROR(VLOOKUP($A304,FoodRev[],8,0),0)</f>
        <v>0</v>
      </c>
      <c r="BK304" s="41">
        <f>IFERROR(VLOOKUP($A304,FoodRev[],9,0),0)</f>
        <v>0</v>
      </c>
      <c r="BL304" s="41">
        <f>IFERROR(VLOOKUP($A304,FoodRev[],10,0),0)</f>
        <v>0</v>
      </c>
      <c r="BM304" s="41">
        <f t="shared" si="72"/>
        <v>0</v>
      </c>
      <c r="BN304" s="42">
        <f t="shared" si="66"/>
        <v>0</v>
      </c>
      <c r="BO304" s="78">
        <f t="shared" si="73"/>
        <v>0</v>
      </c>
      <c r="BP304" s="78">
        <f t="shared" si="74"/>
        <v>0</v>
      </c>
    </row>
    <row r="305" spans="1:68" x14ac:dyDescent="0.25">
      <c r="A305" s="40" t="s">
        <v>504</v>
      </c>
      <c r="B305" s="40" t="s">
        <v>970</v>
      </c>
      <c r="D305" s="203">
        <f t="shared" si="69"/>
        <v>-4.6566128730773926E-10</v>
      </c>
      <c r="E305" s="41">
        <f>IFERROR(VLOOKUP(A305,Items[],5,0),0)</f>
        <v>3496699.97</v>
      </c>
      <c r="F305" s="42">
        <f t="shared" si="70"/>
        <v>3496699.9700000007</v>
      </c>
      <c r="G305" s="41">
        <v>0</v>
      </c>
      <c r="H305" s="41">
        <f>IFERROR(VLOOKUP(A305,Items[],4,0),0)</f>
        <v>3928700.04</v>
      </c>
      <c r="I305" s="41">
        <f>IFERROR(VLOOKUP(A305,Community[],4,0),0)</f>
        <v>0</v>
      </c>
      <c r="J305" s="41">
        <f>IFERROR(VLOOKUP(A305,Community[],5,0),0)</f>
        <v>0</v>
      </c>
      <c r="K305" s="41">
        <f>IFERROR(VLOOKUP(A305,Community[],6,0),0)</f>
        <v>213348.9</v>
      </c>
      <c r="L305" s="41">
        <f>IFERROR(VLOOKUP(A305,Community[],7,0),0)</f>
        <v>0</v>
      </c>
      <c r="M305" s="41">
        <f>IFERROR(VLOOKUP(A305,Debt[],3,0),0)</f>
        <v>0</v>
      </c>
      <c r="N305" s="41">
        <f>IFERROR(VLOOKUP(A305,Debt[],4,0),0)</f>
        <v>0</v>
      </c>
      <c r="O305" s="41">
        <f>IFERROR(VLOOKUP(A305,Debt[],5,0),0)</f>
        <v>0</v>
      </c>
      <c r="P305" s="41">
        <f>IFERROR(VLOOKUP(A305,Items[],3,0),0)</f>
        <v>30326.05</v>
      </c>
      <c r="Q305" s="41">
        <f>IFERROR(VLOOKUP($A305,Federal[],2,0),0)</f>
        <v>20097</v>
      </c>
      <c r="R305" s="41">
        <f>IFERROR(VLOOKUP($A305,Federal[],4,0),0)</f>
        <v>127603.92</v>
      </c>
      <c r="S305" s="41"/>
      <c r="T305" s="47">
        <f>IFERROR(VLOOKUP($A305,Program[],3,0),0)</f>
        <v>0</v>
      </c>
      <c r="U305" s="47"/>
      <c r="V305" s="41">
        <f>IFERROR(VLOOKUP($A305,Program[],4,0),0)</f>
        <v>0</v>
      </c>
      <c r="W305" s="41">
        <f>IFERROR(VLOOKUP($A305,Program[],5,0),0)</f>
        <v>0</v>
      </c>
      <c r="X305" s="41"/>
      <c r="Y305" s="41"/>
      <c r="Z305" s="41"/>
      <c r="AA305" s="41">
        <f>IFERROR(VLOOKUP($A305,Program[],6,0),0)</f>
        <v>0</v>
      </c>
      <c r="AB305" s="41"/>
      <c r="AC305" s="41"/>
      <c r="AD305" s="41">
        <f>IFERROR(VLOOKUP($A305,Program[],7,0),0)</f>
        <v>0</v>
      </c>
      <c r="AE305" s="41">
        <f>IFERROR(VLOOKUP($A305,Program[],8,0),0)</f>
        <v>0</v>
      </c>
      <c r="AF305" s="41">
        <f>IFERROR(VLOOKUP($A305,Program[],9,0),0)</f>
        <v>0</v>
      </c>
      <c r="AG305" s="41">
        <f>IFERROR(VLOOKUP($A305,Program[],10,0),0)</f>
        <v>0</v>
      </c>
      <c r="AH305" s="41">
        <f>IFERROR(VLOOKUP($A305,Program[],11,0),0)</f>
        <v>0</v>
      </c>
      <c r="AI305" s="41">
        <f>IFERROR(VLOOKUP($A305,Program[],12,0),0)</f>
        <v>0</v>
      </c>
      <c r="AJ305" s="41"/>
      <c r="AK305" s="41">
        <f>IFERROR(VLOOKUP($A305,Program[],13,0),0)</f>
        <v>0</v>
      </c>
      <c r="AL305" s="41"/>
      <c r="AM305" s="41"/>
      <c r="AN305" s="41"/>
      <c r="AO305" s="41"/>
      <c r="AP305" s="41"/>
      <c r="AQ305" s="41"/>
      <c r="AR305" s="41"/>
      <c r="AS305" s="41">
        <f>IFERROR(VLOOKUP($A305,Program[],14,0),0)</f>
        <v>0</v>
      </c>
      <c r="AT305" s="41"/>
      <c r="AU305" s="41"/>
      <c r="AV305" s="41">
        <f>IFERROR(VLOOKUP($A305,Program[],15,0),0)</f>
        <v>0</v>
      </c>
      <c r="AW305" s="41"/>
      <c r="AX305" s="41">
        <f>IFERROR(VLOOKUP($A305,Program[],16,0),0)</f>
        <v>0</v>
      </c>
      <c r="AY305" s="41">
        <f>IFERROR(VLOOKUP($A305,Program[],17,0),0)</f>
        <v>0</v>
      </c>
      <c r="AZ305" s="41">
        <f>IFERROR(VLOOKUP($A305,Program[],18,0),0)</f>
        <v>0</v>
      </c>
      <c r="BA305" s="41">
        <f>IFERROR(VLOOKUP($A305,Program[],19,0),0)</f>
        <v>4045.17</v>
      </c>
      <c r="BB305" s="77">
        <f t="shared" si="71"/>
        <v>54796.35000000002</v>
      </c>
      <c r="BC305" s="41">
        <f>IFERROR(VLOOKUP(A305,Food[],3,0),0)</f>
        <v>139184.64000000001</v>
      </c>
      <c r="BD305" s="41">
        <f>IFERROR(VLOOKUP($A305,FoodRev[],2,0),0)</f>
        <v>13425.67</v>
      </c>
      <c r="BE305" s="41">
        <f>IFERROR(VLOOKUP($A305,FoodRev[],3,0),0)</f>
        <v>31243.7</v>
      </c>
      <c r="BF305" s="41">
        <f>IFERROR(VLOOKUP($A305,FoodRev[],4,0),0)</f>
        <v>0</v>
      </c>
      <c r="BG305" s="41">
        <f>IFERROR(VLOOKUP($A305,FoodRev[],5,0),0)</f>
        <v>34722.449999999997</v>
      </c>
      <c r="BH305" s="41">
        <f>IFERROR(VLOOKUP($A305,FoodRev[],6,0),0)</f>
        <v>0</v>
      </c>
      <c r="BI305" s="41">
        <f>IFERROR(VLOOKUP($A305,FoodRev[],7,0),0)</f>
        <v>0</v>
      </c>
      <c r="BJ305" s="41">
        <f>IFERROR(VLOOKUP($A305,FoodRev[],8,0),0)</f>
        <v>4996.47</v>
      </c>
      <c r="BK305" s="41">
        <f>IFERROR(VLOOKUP($A305,FoodRev[],9,0),0)</f>
        <v>0</v>
      </c>
      <c r="BL305" s="41">
        <f>IFERROR(VLOOKUP($A305,FoodRev[],10,0),0)</f>
        <v>0</v>
      </c>
      <c r="BM305" s="41">
        <f t="shared" si="72"/>
        <v>84388.290000000008</v>
      </c>
      <c r="BN305" s="42">
        <f t="shared" si="66"/>
        <v>54796.35000000002</v>
      </c>
      <c r="BO305" s="78">
        <f t="shared" si="73"/>
        <v>54796.35000000002</v>
      </c>
      <c r="BP305" s="78">
        <f t="shared" si="74"/>
        <v>0</v>
      </c>
    </row>
    <row r="306" spans="1:68" x14ac:dyDescent="0.25">
      <c r="A306" s="40" t="s">
        <v>532</v>
      </c>
      <c r="B306" s="40" t="s">
        <v>971</v>
      </c>
      <c r="D306" s="203">
        <f t="shared" si="69"/>
        <v>-4.6566128730773926E-10</v>
      </c>
      <c r="E306" s="41">
        <f>IFERROR(VLOOKUP(A306,Items[],5,0),0)</f>
        <v>2888849.97</v>
      </c>
      <c r="F306" s="42">
        <f t="shared" si="70"/>
        <v>2888849.9700000007</v>
      </c>
      <c r="G306" s="41">
        <v>0</v>
      </c>
      <c r="H306" s="41">
        <f>IFERROR(VLOOKUP(A306,Items[],4,0),0)</f>
        <v>3133729.03</v>
      </c>
      <c r="I306" s="41">
        <f>IFERROR(VLOOKUP(A306,Community[],4,0),0)</f>
        <v>0</v>
      </c>
      <c r="J306" s="41">
        <f>IFERROR(VLOOKUP(A306,Community[],5,0),0)</f>
        <v>0</v>
      </c>
      <c r="K306" s="41">
        <f>IFERROR(VLOOKUP(A306,Community[],6,0),0)</f>
        <v>36207.03</v>
      </c>
      <c r="L306" s="41">
        <f>IFERROR(VLOOKUP(A306,Community[],7,0),0)</f>
        <v>0</v>
      </c>
      <c r="M306" s="41">
        <f>IFERROR(VLOOKUP(A306,Debt[],3,0),0)</f>
        <v>0</v>
      </c>
      <c r="N306" s="41">
        <f>IFERROR(VLOOKUP(A306,Debt[],4,0),0)</f>
        <v>0</v>
      </c>
      <c r="O306" s="41">
        <f>IFERROR(VLOOKUP(A306,Debt[],5,0),0)</f>
        <v>0</v>
      </c>
      <c r="P306" s="41">
        <f>IFERROR(VLOOKUP(A306,Items[],3,0),0)</f>
        <v>14792.18</v>
      </c>
      <c r="Q306" s="41">
        <f>IFERROR(VLOOKUP($A306,Federal[],2,0),0)</f>
        <v>0</v>
      </c>
      <c r="R306" s="41">
        <f>IFERROR(VLOOKUP($A306,Federal[],4,0),0)</f>
        <v>172669.11</v>
      </c>
      <c r="S306" s="41"/>
      <c r="T306" s="47">
        <f>IFERROR(VLOOKUP($A306,Program[],3,0),0)</f>
        <v>0</v>
      </c>
      <c r="U306" s="47"/>
      <c r="V306" s="41">
        <f>IFERROR(VLOOKUP($A306,Program[],4,0),0)</f>
        <v>0</v>
      </c>
      <c r="W306" s="41">
        <f>IFERROR(VLOOKUP($A306,Program[],5,0),0)</f>
        <v>0</v>
      </c>
      <c r="X306" s="41"/>
      <c r="Y306" s="41"/>
      <c r="Z306" s="41"/>
      <c r="AA306" s="41">
        <f>IFERROR(VLOOKUP($A306,Program[],6,0),0)</f>
        <v>0</v>
      </c>
      <c r="AB306" s="41"/>
      <c r="AC306" s="41"/>
      <c r="AD306" s="41">
        <f>IFERROR(VLOOKUP($A306,Program[],7,0),0)</f>
        <v>0</v>
      </c>
      <c r="AE306" s="41">
        <f>IFERROR(VLOOKUP($A306,Program[],8,0),0)</f>
        <v>0</v>
      </c>
      <c r="AF306" s="41">
        <f>IFERROR(VLOOKUP($A306,Program[],9,0),0)</f>
        <v>0</v>
      </c>
      <c r="AG306" s="41">
        <f>IFERROR(VLOOKUP($A306,Program[],10,0),0)</f>
        <v>0</v>
      </c>
      <c r="AH306" s="41">
        <f>IFERROR(VLOOKUP($A306,Program[],11,0),0)</f>
        <v>0</v>
      </c>
      <c r="AI306" s="41">
        <f>IFERROR(VLOOKUP($A306,Program[],12,0),0)</f>
        <v>0</v>
      </c>
      <c r="AJ306" s="41"/>
      <c r="AK306" s="41">
        <f>IFERROR(VLOOKUP($A306,Program[],13,0),0)</f>
        <v>0</v>
      </c>
      <c r="AL306" s="41"/>
      <c r="AM306" s="41"/>
      <c r="AN306" s="41"/>
      <c r="AO306" s="41"/>
      <c r="AP306" s="41"/>
      <c r="AQ306" s="41"/>
      <c r="AR306" s="41"/>
      <c r="AS306" s="41">
        <f>IFERROR(VLOOKUP($A306,Program[],14,0),0)</f>
        <v>0</v>
      </c>
      <c r="AT306" s="41"/>
      <c r="AU306" s="41"/>
      <c r="AV306" s="41">
        <f>IFERROR(VLOOKUP($A306,Program[],15,0),0)</f>
        <v>0</v>
      </c>
      <c r="AW306" s="41"/>
      <c r="AX306" s="41">
        <f>IFERROR(VLOOKUP($A306,Program[],16,0),0)</f>
        <v>0</v>
      </c>
      <c r="AY306" s="41">
        <f>IFERROR(VLOOKUP($A306,Program[],17,0),0)</f>
        <v>0</v>
      </c>
      <c r="AZ306" s="41">
        <f>IFERROR(VLOOKUP($A306,Program[],18,0),0)</f>
        <v>0</v>
      </c>
      <c r="BA306" s="41">
        <f>IFERROR(VLOOKUP($A306,Program[],19,0),0)</f>
        <v>0</v>
      </c>
      <c r="BB306" s="77">
        <f t="shared" si="71"/>
        <v>44993.659999999989</v>
      </c>
      <c r="BC306" s="41">
        <f>IFERROR(VLOOKUP(A306,Food[],3,0),0)</f>
        <v>130914.51</v>
      </c>
      <c r="BD306" s="41">
        <f>IFERROR(VLOOKUP($A306,FoodRev[],2,0),0)</f>
        <v>4527.75</v>
      </c>
      <c r="BE306" s="41">
        <f>IFERROR(VLOOKUP($A306,FoodRev[],3,0),0)</f>
        <v>16682.990000000002</v>
      </c>
      <c r="BF306" s="41">
        <f>IFERROR(VLOOKUP($A306,FoodRev[],4,0),0)</f>
        <v>0</v>
      </c>
      <c r="BG306" s="41">
        <f>IFERROR(VLOOKUP($A306,FoodRev[],5,0),0)</f>
        <v>55365.95</v>
      </c>
      <c r="BH306" s="41">
        <f>IFERROR(VLOOKUP($A306,FoodRev[],6,0),0)</f>
        <v>0</v>
      </c>
      <c r="BI306" s="41">
        <f>IFERROR(VLOOKUP($A306,FoodRev[],7,0),0)</f>
        <v>0</v>
      </c>
      <c r="BJ306" s="41">
        <f>IFERROR(VLOOKUP($A306,FoodRev[],8,0),0)</f>
        <v>9344.16</v>
      </c>
      <c r="BK306" s="41">
        <f>IFERROR(VLOOKUP($A306,FoodRev[],9,0),0)</f>
        <v>0</v>
      </c>
      <c r="BL306" s="41">
        <f>IFERROR(VLOOKUP($A306,FoodRev[],10,0),0)</f>
        <v>0</v>
      </c>
      <c r="BM306" s="41">
        <f t="shared" si="72"/>
        <v>85920.85</v>
      </c>
      <c r="BN306" s="42">
        <f t="shared" si="66"/>
        <v>44993.659999999989</v>
      </c>
      <c r="BO306" s="78">
        <f t="shared" si="73"/>
        <v>44993.659999999989</v>
      </c>
      <c r="BP306" s="78">
        <f t="shared" si="74"/>
        <v>0</v>
      </c>
    </row>
    <row r="307" spans="1:68" x14ac:dyDescent="0.25">
      <c r="A307" s="40" t="s">
        <v>486</v>
      </c>
      <c r="B307" s="40" t="s">
        <v>972</v>
      </c>
      <c r="D307" s="203">
        <f t="shared" si="69"/>
        <v>4.6566128730773926E-10</v>
      </c>
      <c r="E307" s="41">
        <f>IFERROR(VLOOKUP(A307,Items[],5,0),0)</f>
        <v>4139914.69</v>
      </c>
      <c r="F307" s="42">
        <f t="shared" si="70"/>
        <v>4139914.6899999995</v>
      </c>
      <c r="G307" s="41">
        <v>0</v>
      </c>
      <c r="H307" s="41">
        <f>IFERROR(VLOOKUP(A307,Items[],4,0),0)</f>
        <v>4570246.01</v>
      </c>
      <c r="I307" s="41">
        <f>IFERROR(VLOOKUP(A307,Community[],4,0),0)</f>
        <v>0</v>
      </c>
      <c r="J307" s="41">
        <f>IFERROR(VLOOKUP(A307,Community[],5,0),0)</f>
        <v>0</v>
      </c>
      <c r="K307" s="41">
        <f>IFERROR(VLOOKUP(A307,Community[],6,0),0)</f>
        <v>50437.229999999996</v>
      </c>
      <c r="L307" s="41">
        <f>IFERROR(VLOOKUP(A307,Community[],7,0),0)</f>
        <v>0</v>
      </c>
      <c r="M307" s="41">
        <f>IFERROR(VLOOKUP(A307,Debt[],3,0),0)</f>
        <v>0</v>
      </c>
      <c r="N307" s="41">
        <f>IFERROR(VLOOKUP(A307,Debt[],4,0),0)</f>
        <v>0</v>
      </c>
      <c r="O307" s="41">
        <f>IFERROR(VLOOKUP(A307,Debt[],5,0),0)</f>
        <v>0</v>
      </c>
      <c r="P307" s="41">
        <f>IFERROR(VLOOKUP(A307,Items[],3,0),0)</f>
        <v>1223.26</v>
      </c>
      <c r="Q307" s="41">
        <f>IFERROR(VLOOKUP($A307,Federal[],2,0),0)</f>
        <v>0</v>
      </c>
      <c r="R307" s="41">
        <f>IFERROR(VLOOKUP($A307,Federal[],4,0),0)</f>
        <v>337951.11</v>
      </c>
      <c r="S307" s="41"/>
      <c r="T307" s="47">
        <f>IFERROR(VLOOKUP($A307,Program[],3,0),0)</f>
        <v>0</v>
      </c>
      <c r="U307" s="47"/>
      <c r="V307" s="41">
        <f>IFERROR(VLOOKUP($A307,Program[],4,0),0)</f>
        <v>0</v>
      </c>
      <c r="W307" s="41">
        <f>IFERROR(VLOOKUP($A307,Program[],5,0),0)</f>
        <v>0</v>
      </c>
      <c r="X307" s="41"/>
      <c r="Y307" s="41"/>
      <c r="Z307" s="41"/>
      <c r="AA307" s="41">
        <f>IFERROR(VLOOKUP($A307,Program[],6,0),0)</f>
        <v>0</v>
      </c>
      <c r="AB307" s="41"/>
      <c r="AC307" s="41"/>
      <c r="AD307" s="41">
        <f>IFERROR(VLOOKUP($A307,Program[],7,0),0)</f>
        <v>0</v>
      </c>
      <c r="AE307" s="41">
        <f>IFERROR(VLOOKUP($A307,Program[],8,0),0)</f>
        <v>0</v>
      </c>
      <c r="AF307" s="41">
        <f>IFERROR(VLOOKUP($A307,Program[],9,0),0)</f>
        <v>0</v>
      </c>
      <c r="AG307" s="41">
        <f>IFERROR(VLOOKUP($A307,Program[],10,0),0)</f>
        <v>0</v>
      </c>
      <c r="AH307" s="41">
        <f>IFERROR(VLOOKUP($A307,Program[],11,0),0)</f>
        <v>0</v>
      </c>
      <c r="AI307" s="41">
        <f>IFERROR(VLOOKUP($A307,Program[],12,0),0)</f>
        <v>0</v>
      </c>
      <c r="AJ307" s="41"/>
      <c r="AK307" s="41">
        <f>IFERROR(VLOOKUP($A307,Program[],13,0),0)</f>
        <v>0</v>
      </c>
      <c r="AL307" s="41"/>
      <c r="AM307" s="41"/>
      <c r="AN307" s="41"/>
      <c r="AO307" s="41"/>
      <c r="AP307" s="41"/>
      <c r="AQ307" s="41"/>
      <c r="AR307" s="41"/>
      <c r="AS307" s="41">
        <f>IFERROR(VLOOKUP($A307,Program[],14,0),0)</f>
        <v>0</v>
      </c>
      <c r="AT307" s="41"/>
      <c r="AU307" s="41"/>
      <c r="AV307" s="41">
        <f>IFERROR(VLOOKUP($A307,Program[],15,0),0)</f>
        <v>0</v>
      </c>
      <c r="AW307" s="41"/>
      <c r="AX307" s="41">
        <f>IFERROR(VLOOKUP($A307,Program[],16,0),0)</f>
        <v>0</v>
      </c>
      <c r="AY307" s="41">
        <f>IFERROR(VLOOKUP($A307,Program[],17,0),0)</f>
        <v>0</v>
      </c>
      <c r="AZ307" s="41">
        <f>IFERROR(VLOOKUP($A307,Program[],18,0),0)</f>
        <v>0</v>
      </c>
      <c r="BA307" s="41">
        <f>IFERROR(VLOOKUP($A307,Program[],19,0),0)</f>
        <v>0</v>
      </c>
      <c r="BB307" s="77">
        <f t="shared" si="71"/>
        <v>10165.87000000001</v>
      </c>
      <c r="BC307" s="41">
        <f>IFERROR(VLOOKUP(A307,Food[],3,0),0)</f>
        <v>158752.26</v>
      </c>
      <c r="BD307" s="41">
        <f>IFERROR(VLOOKUP($A307,FoodRev[],2,0),0)</f>
        <v>8691.18</v>
      </c>
      <c r="BE307" s="41">
        <f>IFERROR(VLOOKUP($A307,FoodRev[],3,0),0)</f>
        <v>32028.54</v>
      </c>
      <c r="BF307" s="41">
        <f>IFERROR(VLOOKUP($A307,FoodRev[],4,0),0)</f>
        <v>0</v>
      </c>
      <c r="BG307" s="41">
        <f>IFERROR(VLOOKUP($A307,FoodRev[],5,0),0)</f>
        <v>102956.06</v>
      </c>
      <c r="BH307" s="41">
        <f>IFERROR(VLOOKUP($A307,FoodRev[],6,0),0)</f>
        <v>0</v>
      </c>
      <c r="BI307" s="41">
        <f>IFERROR(VLOOKUP($A307,FoodRev[],7,0),0)</f>
        <v>0</v>
      </c>
      <c r="BJ307" s="41">
        <f>IFERROR(VLOOKUP($A307,FoodRev[],8,0),0)</f>
        <v>4910.6099999999997</v>
      </c>
      <c r="BK307" s="41">
        <f>IFERROR(VLOOKUP($A307,FoodRev[],9,0),0)</f>
        <v>0</v>
      </c>
      <c r="BL307" s="41">
        <f>IFERROR(VLOOKUP($A307,FoodRev[],10,0),0)</f>
        <v>0</v>
      </c>
      <c r="BM307" s="41">
        <f t="shared" si="72"/>
        <v>148586.38999999998</v>
      </c>
      <c r="BN307" s="42">
        <f t="shared" si="66"/>
        <v>10165.87000000001</v>
      </c>
      <c r="BO307" s="78">
        <f t="shared" si="73"/>
        <v>10165.87000000001</v>
      </c>
      <c r="BP307" s="78">
        <f t="shared" si="74"/>
        <v>0</v>
      </c>
    </row>
    <row r="308" spans="1:68" x14ac:dyDescent="0.25">
      <c r="A308" s="40" t="s">
        <v>492</v>
      </c>
      <c r="B308" s="40" t="s">
        <v>1029</v>
      </c>
      <c r="D308" s="203">
        <f t="shared" si="69"/>
        <v>0</v>
      </c>
      <c r="E308" s="41">
        <f>IFERROR(VLOOKUP(A308,Items[],5,0),0)</f>
        <v>3672176.16</v>
      </c>
      <c r="F308" s="42">
        <f t="shared" si="70"/>
        <v>3672176.16</v>
      </c>
      <c r="G308" s="41">
        <v>0</v>
      </c>
      <c r="H308" s="41">
        <f>IFERROR(VLOOKUP(A308,Items[],4,0),0)</f>
        <v>4025397.04</v>
      </c>
      <c r="I308" s="41">
        <f>IFERROR(VLOOKUP(A308,Community[],4,0),0)</f>
        <v>0</v>
      </c>
      <c r="J308" s="41">
        <f>IFERROR(VLOOKUP(A308,Community[],5,0),0)</f>
        <v>0</v>
      </c>
      <c r="K308" s="41">
        <f>IFERROR(VLOOKUP(A308,Community[],6,0),0)</f>
        <v>34142.14</v>
      </c>
      <c r="L308" s="41">
        <f>IFERROR(VLOOKUP(A308,Community[],7,0),0)</f>
        <v>0</v>
      </c>
      <c r="M308" s="41">
        <f>IFERROR(VLOOKUP(A308,Debt[],3,0),0)</f>
        <v>0</v>
      </c>
      <c r="N308" s="41">
        <f>IFERROR(VLOOKUP(A308,Debt[],4,0),0)</f>
        <v>0</v>
      </c>
      <c r="O308" s="41">
        <f>IFERROR(VLOOKUP(A308,Debt[],5,0),0)</f>
        <v>0</v>
      </c>
      <c r="P308" s="41">
        <f>IFERROR(VLOOKUP(A308,Items[],3,0),0)</f>
        <v>52652.19</v>
      </c>
      <c r="Q308" s="41">
        <f>IFERROR(VLOOKUP($A308,Federal[],2,0),0)</f>
        <v>0</v>
      </c>
      <c r="R308" s="41">
        <f>IFERROR(VLOOKUP($A308,Federal[],4,0),0)</f>
        <v>228815.01</v>
      </c>
      <c r="S308" s="41"/>
      <c r="T308" s="47">
        <f>IFERROR(VLOOKUP($A308,Program[],3,0),0)</f>
        <v>0</v>
      </c>
      <c r="U308" s="47"/>
      <c r="V308" s="41">
        <f>IFERROR(VLOOKUP($A308,Program[],4,0),0)</f>
        <v>0</v>
      </c>
      <c r="W308" s="41">
        <f>IFERROR(VLOOKUP($A308,Program[],5,0),0)</f>
        <v>0</v>
      </c>
      <c r="X308" s="41"/>
      <c r="Y308" s="41"/>
      <c r="Z308" s="41"/>
      <c r="AA308" s="41">
        <f>IFERROR(VLOOKUP($A308,Program[],6,0),0)</f>
        <v>0</v>
      </c>
      <c r="AB308" s="41"/>
      <c r="AC308" s="41"/>
      <c r="AD308" s="41">
        <f>IFERROR(VLOOKUP($A308,Program[],7,0),0)</f>
        <v>0</v>
      </c>
      <c r="AE308" s="41">
        <f>IFERROR(VLOOKUP($A308,Program[],8,0),0)</f>
        <v>0</v>
      </c>
      <c r="AF308" s="41">
        <f>IFERROR(VLOOKUP($A308,Program[],9,0),0)</f>
        <v>0</v>
      </c>
      <c r="AG308" s="41">
        <f>IFERROR(VLOOKUP($A308,Program[],10,0),0)</f>
        <v>0</v>
      </c>
      <c r="AH308" s="41">
        <f>IFERROR(VLOOKUP($A308,Program[],11,0),0)</f>
        <v>0</v>
      </c>
      <c r="AI308" s="41">
        <f>IFERROR(VLOOKUP($A308,Program[],12,0),0)</f>
        <v>0</v>
      </c>
      <c r="AJ308" s="41"/>
      <c r="AK308" s="41">
        <f>IFERROR(VLOOKUP($A308,Program[],13,0),0)</f>
        <v>0</v>
      </c>
      <c r="AL308" s="41"/>
      <c r="AM308" s="41"/>
      <c r="AN308" s="41"/>
      <c r="AO308" s="41"/>
      <c r="AP308" s="41"/>
      <c r="AQ308" s="41"/>
      <c r="AR308" s="41"/>
      <c r="AS308" s="41">
        <f>IFERROR(VLOOKUP($A308,Program[],14,0),0)</f>
        <v>0</v>
      </c>
      <c r="AT308" s="41"/>
      <c r="AU308" s="41"/>
      <c r="AV308" s="41">
        <f>IFERROR(VLOOKUP($A308,Program[],15,0),0)</f>
        <v>0</v>
      </c>
      <c r="AW308" s="41"/>
      <c r="AX308" s="41">
        <f>IFERROR(VLOOKUP($A308,Program[],16,0),0)</f>
        <v>0</v>
      </c>
      <c r="AY308" s="41">
        <f>IFERROR(VLOOKUP($A308,Program[],17,0),0)</f>
        <v>0</v>
      </c>
      <c r="AZ308" s="41">
        <f>IFERROR(VLOOKUP($A308,Program[],18,0),0)</f>
        <v>0</v>
      </c>
      <c r="BA308" s="41">
        <f>IFERROR(VLOOKUP($A308,Program[],19,0),0)</f>
        <v>9058.1200000000008</v>
      </c>
      <c r="BB308" s="77">
        <f t="shared" si="71"/>
        <v>76100.930000000008</v>
      </c>
      <c r="BC308" s="41">
        <f>IFERROR(VLOOKUP(A308,Food[],3,0),0)</f>
        <v>179899.45</v>
      </c>
      <c r="BD308" s="41">
        <f>IFERROR(VLOOKUP($A308,FoodRev[],2,0),0)</f>
        <v>3902.15</v>
      </c>
      <c r="BE308" s="41">
        <f>IFERROR(VLOOKUP($A308,FoodRev[],3,0),0)</f>
        <v>42767.51</v>
      </c>
      <c r="BF308" s="41">
        <f>IFERROR(VLOOKUP($A308,FoodRev[],4,0),0)</f>
        <v>0</v>
      </c>
      <c r="BG308" s="41">
        <f>IFERROR(VLOOKUP($A308,FoodRev[],5,0),0)</f>
        <v>50723.59</v>
      </c>
      <c r="BH308" s="41">
        <f>IFERROR(VLOOKUP($A308,FoodRev[],6,0),0)</f>
        <v>0</v>
      </c>
      <c r="BI308" s="41">
        <f>IFERROR(VLOOKUP($A308,FoodRev[],7,0),0)</f>
        <v>0</v>
      </c>
      <c r="BJ308" s="41">
        <f>IFERROR(VLOOKUP($A308,FoodRev[],8,0),0)</f>
        <v>6405.27</v>
      </c>
      <c r="BK308" s="41">
        <f>IFERROR(VLOOKUP($A308,FoodRev[],9,0),0)</f>
        <v>0</v>
      </c>
      <c r="BL308" s="41">
        <f>IFERROR(VLOOKUP($A308,FoodRev[],10,0),0)</f>
        <v>0</v>
      </c>
      <c r="BM308" s="41">
        <f t="shared" si="72"/>
        <v>103798.52</v>
      </c>
      <c r="BN308" s="42">
        <f t="shared" si="66"/>
        <v>76100.930000000008</v>
      </c>
      <c r="BO308" s="78">
        <f t="shared" si="73"/>
        <v>76100.930000000008</v>
      </c>
      <c r="BP308" s="78">
        <f t="shared" si="74"/>
        <v>0</v>
      </c>
    </row>
    <row r="309" spans="1:68" x14ac:dyDescent="0.25">
      <c r="A309" s="40" t="s">
        <v>520</v>
      </c>
      <c r="B309" s="40" t="s">
        <v>973</v>
      </c>
      <c r="D309" s="203">
        <f t="shared" si="69"/>
        <v>4.6566128730773926E-10</v>
      </c>
      <c r="E309" s="41">
        <f>IFERROR(VLOOKUP(A309,Items[],5,0),0)</f>
        <v>3918899.32</v>
      </c>
      <c r="F309" s="42">
        <f t="shared" si="70"/>
        <v>3918899.3199999994</v>
      </c>
      <c r="G309" s="41">
        <v>0</v>
      </c>
      <c r="H309" s="41">
        <f>IFERROR(VLOOKUP(A309,Items[],4,0),0)</f>
        <v>4185270.84</v>
      </c>
      <c r="I309" s="41">
        <f>IFERROR(VLOOKUP(A309,Community[],4,0),0)</f>
        <v>0</v>
      </c>
      <c r="J309" s="41">
        <f>IFERROR(VLOOKUP(A309,Community[],5,0),0)</f>
        <v>0</v>
      </c>
      <c r="K309" s="41">
        <f>IFERROR(VLOOKUP(A309,Community[],6,0),0)</f>
        <v>3212.06</v>
      </c>
      <c r="L309" s="41">
        <f>IFERROR(VLOOKUP(A309,Community[],7,0),0)</f>
        <v>0</v>
      </c>
      <c r="M309" s="41">
        <f>IFERROR(VLOOKUP(A309,Debt[],3,0),0)</f>
        <v>5821.26</v>
      </c>
      <c r="N309" s="41">
        <f>IFERROR(VLOOKUP(A309,Debt[],4,0),0)</f>
        <v>0</v>
      </c>
      <c r="O309" s="41">
        <f>IFERROR(VLOOKUP(A309,Debt[],5,0),0)</f>
        <v>0</v>
      </c>
      <c r="P309" s="41">
        <f>IFERROR(VLOOKUP(A309,Items[],3,0),0)</f>
        <v>0</v>
      </c>
      <c r="Q309" s="41">
        <f>IFERROR(VLOOKUP($A309,Federal[],2,0),0)</f>
        <v>0</v>
      </c>
      <c r="R309" s="41">
        <f>IFERROR(VLOOKUP($A309,Federal[],4,0),0)</f>
        <v>199921.75</v>
      </c>
      <c r="S309" s="41"/>
      <c r="T309" s="47">
        <f>IFERROR(VLOOKUP($A309,Program[],3,0),0)</f>
        <v>0</v>
      </c>
      <c r="U309" s="47"/>
      <c r="V309" s="41">
        <f>IFERROR(VLOOKUP($A309,Program[],4,0),0)</f>
        <v>0</v>
      </c>
      <c r="W309" s="41">
        <f>IFERROR(VLOOKUP($A309,Program[],5,0),0)</f>
        <v>0</v>
      </c>
      <c r="X309" s="41"/>
      <c r="Y309" s="41"/>
      <c r="Z309" s="41"/>
      <c r="AA309" s="41">
        <f>IFERROR(VLOOKUP($A309,Program[],6,0),0)</f>
        <v>0</v>
      </c>
      <c r="AB309" s="41"/>
      <c r="AC309" s="41"/>
      <c r="AD309" s="41">
        <f>IFERROR(VLOOKUP($A309,Program[],7,0),0)</f>
        <v>0</v>
      </c>
      <c r="AE309" s="41">
        <f>IFERROR(VLOOKUP($A309,Program[],8,0),0)</f>
        <v>0</v>
      </c>
      <c r="AF309" s="41">
        <f>IFERROR(VLOOKUP($A309,Program[],9,0),0)</f>
        <v>0</v>
      </c>
      <c r="AG309" s="41">
        <f>IFERROR(VLOOKUP($A309,Program[],10,0),0)</f>
        <v>0</v>
      </c>
      <c r="AH309" s="41">
        <f>IFERROR(VLOOKUP($A309,Program[],11,0),0)</f>
        <v>0</v>
      </c>
      <c r="AI309" s="41">
        <f>IFERROR(VLOOKUP($A309,Program[],12,0),0)</f>
        <v>0</v>
      </c>
      <c r="AJ309" s="41"/>
      <c r="AK309" s="41">
        <f>IFERROR(VLOOKUP($A309,Program[],13,0),0)</f>
        <v>0</v>
      </c>
      <c r="AL309" s="41"/>
      <c r="AM309" s="41"/>
      <c r="AN309" s="41"/>
      <c r="AO309" s="41"/>
      <c r="AP309" s="41"/>
      <c r="AQ309" s="41"/>
      <c r="AR309" s="41"/>
      <c r="AS309" s="41">
        <f>IFERROR(VLOOKUP($A309,Program[],14,0),0)</f>
        <v>0</v>
      </c>
      <c r="AT309" s="41"/>
      <c r="AU309" s="41"/>
      <c r="AV309" s="41">
        <f>IFERROR(VLOOKUP($A309,Program[],15,0),0)</f>
        <v>0</v>
      </c>
      <c r="AW309" s="41"/>
      <c r="AX309" s="41">
        <f>IFERROR(VLOOKUP($A309,Program[],16,0),0)</f>
        <v>0</v>
      </c>
      <c r="AY309" s="41">
        <f>IFERROR(VLOOKUP($A309,Program[],17,0),0)</f>
        <v>0</v>
      </c>
      <c r="AZ309" s="41">
        <f>IFERROR(VLOOKUP($A309,Program[],18,0),0)</f>
        <v>0</v>
      </c>
      <c r="BA309" s="41">
        <f>IFERROR(VLOOKUP($A309,Program[],19,0),0)</f>
        <v>0</v>
      </c>
      <c r="BB309" s="77">
        <f t="shared" si="71"/>
        <v>105002.76</v>
      </c>
      <c r="BC309" s="41">
        <f>IFERROR(VLOOKUP(A309,Food[],3,0),0)</f>
        <v>212161.51</v>
      </c>
      <c r="BD309" s="41">
        <f>IFERROR(VLOOKUP($A309,FoodRev[],2,0),0)</f>
        <v>13807.6</v>
      </c>
      <c r="BE309" s="41">
        <f>IFERROR(VLOOKUP($A309,FoodRev[],3,0),0)</f>
        <v>43608.85</v>
      </c>
      <c r="BF309" s="41">
        <f>IFERROR(VLOOKUP($A309,FoodRev[],4,0),0)</f>
        <v>0</v>
      </c>
      <c r="BG309" s="41">
        <f>IFERROR(VLOOKUP($A309,FoodRev[],5,0),0)</f>
        <v>49742.3</v>
      </c>
      <c r="BH309" s="41">
        <f>IFERROR(VLOOKUP($A309,FoodRev[],6,0),0)</f>
        <v>0</v>
      </c>
      <c r="BI309" s="41">
        <f>IFERROR(VLOOKUP($A309,FoodRev[],7,0),0)</f>
        <v>0</v>
      </c>
      <c r="BJ309" s="41">
        <f>IFERROR(VLOOKUP($A309,FoodRev[],8,0),0)</f>
        <v>0</v>
      </c>
      <c r="BK309" s="41">
        <f>IFERROR(VLOOKUP($A309,FoodRev[],9,0),0)</f>
        <v>0</v>
      </c>
      <c r="BL309" s="41">
        <f>IFERROR(VLOOKUP($A309,FoodRev[],10,0),0)</f>
        <v>0</v>
      </c>
      <c r="BM309" s="41">
        <f t="shared" si="72"/>
        <v>107158.75</v>
      </c>
      <c r="BN309" s="42">
        <f t="shared" si="66"/>
        <v>105002.76</v>
      </c>
      <c r="BO309" s="78">
        <f t="shared" si="73"/>
        <v>105002.76</v>
      </c>
      <c r="BP309" s="78">
        <f t="shared" si="74"/>
        <v>0</v>
      </c>
    </row>
    <row r="310" spans="1:68" x14ac:dyDescent="0.25">
      <c r="A310" s="40" t="s">
        <v>1185</v>
      </c>
      <c r="B310" s="40" t="s">
        <v>1227</v>
      </c>
      <c r="D310" s="203">
        <f t="shared" si="69"/>
        <v>0</v>
      </c>
      <c r="E310" s="41">
        <f>IFERROR(VLOOKUP(A310,Items[],5,0),0)</f>
        <v>0</v>
      </c>
      <c r="F310" s="42">
        <f t="shared" si="70"/>
        <v>0</v>
      </c>
      <c r="G310" s="41">
        <v>0</v>
      </c>
      <c r="H310" s="41">
        <f>IFERROR(VLOOKUP(A310,Items[],4,0),0)</f>
        <v>0</v>
      </c>
      <c r="I310" s="41">
        <f>IFERROR(VLOOKUP(A310,Community[],4,0),0)</f>
        <v>0</v>
      </c>
      <c r="J310" s="41">
        <f>IFERROR(VLOOKUP(A310,Community[],5,0),0)</f>
        <v>0</v>
      </c>
      <c r="K310" s="41">
        <f>IFERROR(VLOOKUP(A310,Community[],6,0),0)</f>
        <v>0</v>
      </c>
      <c r="L310" s="41">
        <f>IFERROR(VLOOKUP(A310,Community[],7,0),0)</f>
        <v>0</v>
      </c>
      <c r="M310" s="41">
        <f>IFERROR(VLOOKUP(A310,Debt[],3,0),0)</f>
        <v>0</v>
      </c>
      <c r="N310" s="41">
        <f>IFERROR(VLOOKUP(A310,Debt[],4,0),0)</f>
        <v>0</v>
      </c>
      <c r="O310" s="41">
        <f>IFERROR(VLOOKUP(A310,Debt[],5,0),0)</f>
        <v>0</v>
      </c>
      <c r="P310" s="41">
        <f>IFERROR(VLOOKUP(A310,Items[],3,0),0)</f>
        <v>0</v>
      </c>
      <c r="Q310" s="41">
        <f>IFERROR(VLOOKUP($A310,Federal[],2,0),0)</f>
        <v>0</v>
      </c>
      <c r="R310" s="41">
        <f>IFERROR(VLOOKUP($A310,Federal[],4,0),0)</f>
        <v>0</v>
      </c>
      <c r="S310" s="41"/>
      <c r="T310" s="47">
        <f>IFERROR(VLOOKUP($A310,Program[],3,0),0)</f>
        <v>0</v>
      </c>
      <c r="U310" s="47"/>
      <c r="V310" s="41">
        <f>IFERROR(VLOOKUP($A310,Program[],4,0),0)</f>
        <v>0</v>
      </c>
      <c r="W310" s="41">
        <f>IFERROR(VLOOKUP($A310,Program[],5,0),0)</f>
        <v>0</v>
      </c>
      <c r="X310" s="41"/>
      <c r="Y310" s="41"/>
      <c r="Z310" s="41"/>
      <c r="AA310" s="41">
        <f>IFERROR(VLOOKUP($A310,Program[],6,0),0)</f>
        <v>0</v>
      </c>
      <c r="AB310" s="41"/>
      <c r="AC310" s="41"/>
      <c r="AD310" s="41">
        <f>IFERROR(VLOOKUP($A310,Program[],7,0),0)</f>
        <v>0</v>
      </c>
      <c r="AE310" s="41">
        <f>IFERROR(VLOOKUP($A310,Program[],8,0),0)</f>
        <v>0</v>
      </c>
      <c r="AF310" s="41">
        <f>IFERROR(VLOOKUP($A310,Program[],9,0),0)</f>
        <v>0</v>
      </c>
      <c r="AG310" s="41">
        <f>IFERROR(VLOOKUP($A310,Program[],10,0),0)</f>
        <v>0</v>
      </c>
      <c r="AH310" s="41">
        <f>IFERROR(VLOOKUP($A310,Program[],11,0),0)</f>
        <v>0</v>
      </c>
      <c r="AI310" s="41">
        <f>IFERROR(VLOOKUP($A310,Program[],12,0),0)</f>
        <v>0</v>
      </c>
      <c r="AJ310" s="41"/>
      <c r="AK310" s="41">
        <f>IFERROR(VLOOKUP($A310,Program[],13,0),0)</f>
        <v>0</v>
      </c>
      <c r="AL310" s="41"/>
      <c r="AM310" s="41"/>
      <c r="AN310" s="41"/>
      <c r="AO310" s="41"/>
      <c r="AP310" s="41"/>
      <c r="AQ310" s="41"/>
      <c r="AR310" s="41"/>
      <c r="AS310" s="41">
        <f>IFERROR(VLOOKUP($A310,Program[],14,0),0)</f>
        <v>0</v>
      </c>
      <c r="AT310" s="41"/>
      <c r="AU310" s="41"/>
      <c r="AV310" s="41">
        <f>IFERROR(VLOOKUP($A310,Program[],15,0),0)</f>
        <v>0</v>
      </c>
      <c r="AW310" s="41"/>
      <c r="AX310" s="41">
        <f>IFERROR(VLOOKUP($A310,Program[],16,0),0)</f>
        <v>0</v>
      </c>
      <c r="AY310" s="41">
        <f>IFERROR(VLOOKUP($A310,Program[],17,0),0)</f>
        <v>0</v>
      </c>
      <c r="AZ310" s="41">
        <f>IFERROR(VLOOKUP($A310,Program[],18,0),0)</f>
        <v>0</v>
      </c>
      <c r="BA310" s="41">
        <f>IFERROR(VLOOKUP($A310,Program[],19,0),0)</f>
        <v>0</v>
      </c>
      <c r="BB310" s="77">
        <f t="shared" si="71"/>
        <v>0</v>
      </c>
      <c r="BC310" s="41">
        <f>IFERROR(VLOOKUP(A310,Food[],3,0),0)</f>
        <v>0</v>
      </c>
      <c r="BD310" s="41">
        <f>IFERROR(VLOOKUP($A310,FoodRev[],2,0),0)</f>
        <v>0</v>
      </c>
      <c r="BE310" s="41">
        <f>IFERROR(VLOOKUP($A310,FoodRev[],3,0),0)</f>
        <v>0</v>
      </c>
      <c r="BF310" s="41">
        <f>IFERROR(VLOOKUP($A310,FoodRev[],4,0),0)</f>
        <v>0</v>
      </c>
      <c r="BG310" s="41">
        <f>IFERROR(VLOOKUP($A310,FoodRev[],5,0),0)</f>
        <v>0</v>
      </c>
      <c r="BH310" s="41">
        <f>IFERROR(VLOOKUP($A310,FoodRev[],6,0),0)</f>
        <v>0</v>
      </c>
      <c r="BI310" s="41">
        <f>IFERROR(VLOOKUP($A310,FoodRev[],7,0),0)</f>
        <v>0</v>
      </c>
      <c r="BJ310" s="41">
        <f>IFERROR(VLOOKUP($A310,FoodRev[],8,0),0)</f>
        <v>0</v>
      </c>
      <c r="BK310" s="41">
        <f>IFERROR(VLOOKUP($A310,FoodRev[],9,0),0)</f>
        <v>0</v>
      </c>
      <c r="BL310" s="41">
        <f>IFERROR(VLOOKUP($A310,FoodRev[],10,0),0)</f>
        <v>0</v>
      </c>
      <c r="BM310" s="41">
        <f t="shared" ref="BM310" si="78">SUM(BD310:BL310)</f>
        <v>0</v>
      </c>
      <c r="BN310" s="42">
        <f t="shared" si="66"/>
        <v>0</v>
      </c>
      <c r="BO310" s="78">
        <f t="shared" ref="BO310" si="79">IF(BN310&lt;0,0,BN310)</f>
        <v>0</v>
      </c>
      <c r="BP310" s="78">
        <f t="shared" ref="BP310" si="80">IF(BN310&lt;0,BN310,0)</f>
        <v>0</v>
      </c>
    </row>
    <row r="311" spans="1:68" x14ac:dyDescent="0.25">
      <c r="A311" s="40" t="s">
        <v>356</v>
      </c>
      <c r="B311" s="40" t="s">
        <v>974</v>
      </c>
      <c r="D311" s="203">
        <f t="shared" si="69"/>
        <v>-1.862645149230957E-9</v>
      </c>
      <c r="E311" s="41">
        <f>IFERROR(VLOOKUP(A311,Items[],5,0),0)</f>
        <v>9514999.5800000001</v>
      </c>
      <c r="F311" s="42">
        <f t="shared" si="70"/>
        <v>9514999.5800000019</v>
      </c>
      <c r="G311" s="41">
        <v>0</v>
      </c>
      <c r="H311" s="41">
        <f>IFERROR(VLOOKUP(A311,Items[],4,0),0)</f>
        <v>10993601.380000001</v>
      </c>
      <c r="I311" s="41">
        <f>IFERROR(VLOOKUP(A311,Community[],4,0),0)</f>
        <v>0</v>
      </c>
      <c r="J311" s="41">
        <f>IFERROR(VLOOKUP(A311,Community[],5,0),0)</f>
        <v>0</v>
      </c>
      <c r="K311" s="41">
        <f>IFERROR(VLOOKUP(A311,Community[],6,0),0)</f>
        <v>0</v>
      </c>
      <c r="L311" s="41">
        <f>IFERROR(VLOOKUP(A311,Community[],7,0),0)</f>
        <v>3634.61</v>
      </c>
      <c r="M311" s="41">
        <f>IFERROR(VLOOKUP(A311,Debt[],3,0),0)</f>
        <v>0</v>
      </c>
      <c r="N311" s="41">
        <f>IFERROR(VLOOKUP(A311,Debt[],4,0),0)</f>
        <v>0</v>
      </c>
      <c r="O311" s="41">
        <f>IFERROR(VLOOKUP(A311,Debt[],5,0),0)</f>
        <v>0</v>
      </c>
      <c r="P311" s="41">
        <f>IFERROR(VLOOKUP(A311,Items[],3,0),0)</f>
        <v>356684.29</v>
      </c>
      <c r="Q311" s="41">
        <f>IFERROR(VLOOKUP($A311,Federal[],2,0),0)</f>
        <v>2668.71</v>
      </c>
      <c r="R311" s="41">
        <f>IFERROR(VLOOKUP($A311,Federal[],4,0),0)</f>
        <v>1252577.3400000001</v>
      </c>
      <c r="S311" s="41"/>
      <c r="T311" s="47">
        <f>IFERROR(VLOOKUP($A311,Program[],3,0),0)</f>
        <v>0</v>
      </c>
      <c r="U311" s="47"/>
      <c r="V311" s="41">
        <f>IFERROR(VLOOKUP($A311,Program[],4,0),0)</f>
        <v>151177.57999999999</v>
      </c>
      <c r="W311" s="41">
        <f>IFERROR(VLOOKUP($A311,Program[],5,0),0)</f>
        <v>12322.14</v>
      </c>
      <c r="X311" s="41"/>
      <c r="Y311" s="41"/>
      <c r="Z311" s="41"/>
      <c r="AA311" s="41">
        <f>IFERROR(VLOOKUP($A311,Program[],6,0),0)</f>
        <v>0</v>
      </c>
      <c r="AB311" s="41"/>
      <c r="AC311" s="41"/>
      <c r="AD311" s="41">
        <f>IFERROR(VLOOKUP($A311,Program[],7,0),0)</f>
        <v>0</v>
      </c>
      <c r="AE311" s="41">
        <f>IFERROR(VLOOKUP($A311,Program[],8,0),0)</f>
        <v>0</v>
      </c>
      <c r="AF311" s="41">
        <f>IFERROR(VLOOKUP($A311,Program[],9,0),0)</f>
        <v>0</v>
      </c>
      <c r="AG311" s="41">
        <f>IFERROR(VLOOKUP($A311,Program[],10,0),0)</f>
        <v>0</v>
      </c>
      <c r="AH311" s="41">
        <f>IFERROR(VLOOKUP($A311,Program[],11,0),0)</f>
        <v>0</v>
      </c>
      <c r="AI311" s="41">
        <f>IFERROR(VLOOKUP($A311,Program[],12,0),0)</f>
        <v>0</v>
      </c>
      <c r="AJ311" s="41"/>
      <c r="AK311" s="41">
        <f>IFERROR(VLOOKUP($A311,Program[],13,0),0)</f>
        <v>0</v>
      </c>
      <c r="AL311" s="41"/>
      <c r="AM311" s="41"/>
      <c r="AN311" s="41"/>
      <c r="AO311" s="41"/>
      <c r="AP311" s="41"/>
      <c r="AQ311" s="41"/>
      <c r="AR311" s="41"/>
      <c r="AS311" s="41">
        <f>IFERROR(VLOOKUP($A311,Program[],14,0),0)</f>
        <v>0</v>
      </c>
      <c r="AT311" s="41"/>
      <c r="AU311" s="41"/>
      <c r="AV311" s="41">
        <f>IFERROR(VLOOKUP($A311,Program[],15,0),0)</f>
        <v>0</v>
      </c>
      <c r="AW311" s="41"/>
      <c r="AX311" s="41">
        <f>IFERROR(VLOOKUP($A311,Program[],16,0),0)</f>
        <v>0</v>
      </c>
      <c r="AY311" s="41">
        <f>IFERROR(VLOOKUP($A311,Program[],17,0),0)</f>
        <v>0</v>
      </c>
      <c r="AZ311" s="41">
        <f>IFERROR(VLOOKUP($A311,Program[],18,0),0)</f>
        <v>0</v>
      </c>
      <c r="BA311" s="41">
        <f>IFERROR(VLOOKUP($A311,Program[],19,0),0)</f>
        <v>0</v>
      </c>
      <c r="BB311" s="77">
        <f t="shared" si="71"/>
        <v>12247.160000000011</v>
      </c>
      <c r="BC311" s="41">
        <f>IFERROR(VLOOKUP(A311,Food[],3,0),0)</f>
        <v>632876.22</v>
      </c>
      <c r="BD311" s="41">
        <f>IFERROR(VLOOKUP($A311,FoodRev[],2,0),0)</f>
        <v>15298.1</v>
      </c>
      <c r="BE311" s="41">
        <f>IFERROR(VLOOKUP($A311,FoodRev[],3,0),0)</f>
        <v>11238.47</v>
      </c>
      <c r="BF311" s="41">
        <f>IFERROR(VLOOKUP($A311,FoodRev[],4,0),0)</f>
        <v>0</v>
      </c>
      <c r="BG311" s="41">
        <f>IFERROR(VLOOKUP($A311,FoodRev[],5,0),0)</f>
        <v>557336.76</v>
      </c>
      <c r="BH311" s="41">
        <f>IFERROR(VLOOKUP($A311,FoodRev[],6,0),0)</f>
        <v>0</v>
      </c>
      <c r="BI311" s="41">
        <f>IFERROR(VLOOKUP($A311,FoodRev[],7,0),0)</f>
        <v>0</v>
      </c>
      <c r="BJ311" s="41">
        <f>IFERROR(VLOOKUP($A311,FoodRev[],8,0),0)</f>
        <v>36755.730000000003</v>
      </c>
      <c r="BK311" s="41">
        <f>IFERROR(VLOOKUP($A311,FoodRev[],9,0),0)</f>
        <v>0</v>
      </c>
      <c r="BL311" s="41">
        <f>IFERROR(VLOOKUP($A311,FoodRev[],10,0),0)</f>
        <v>0</v>
      </c>
      <c r="BM311" s="41">
        <f t="shared" si="72"/>
        <v>620629.05999999994</v>
      </c>
      <c r="BN311" s="42">
        <f t="shared" si="66"/>
        <v>12247.160000000011</v>
      </c>
      <c r="BO311" s="78">
        <f t="shared" si="73"/>
        <v>12247.160000000011</v>
      </c>
      <c r="BP311" s="78">
        <f t="shared" si="74"/>
        <v>0</v>
      </c>
    </row>
    <row r="312" spans="1:68" x14ac:dyDescent="0.25">
      <c r="A312" s="40" t="s">
        <v>266</v>
      </c>
      <c r="B312" s="40" t="s">
        <v>975</v>
      </c>
      <c r="D312" s="203">
        <f t="shared" si="69"/>
        <v>3.7252902984619141E-9</v>
      </c>
      <c r="E312" s="41">
        <f>IFERROR(VLOOKUP(A312,Items[],5,0),0)</f>
        <v>22692053.579999998</v>
      </c>
      <c r="F312" s="42">
        <f t="shared" si="70"/>
        <v>22692053.579999994</v>
      </c>
      <c r="G312" s="41">
        <v>0</v>
      </c>
      <c r="H312" s="41">
        <f>IFERROR(VLOOKUP(A312,Items[],4,0),0)</f>
        <v>24806884.859999999</v>
      </c>
      <c r="I312" s="41">
        <f>IFERROR(VLOOKUP(A312,Community[],4,0),0)</f>
        <v>0</v>
      </c>
      <c r="J312" s="41">
        <f>IFERROR(VLOOKUP(A312,Community[],5,0),0)</f>
        <v>0</v>
      </c>
      <c r="K312" s="41">
        <f>IFERROR(VLOOKUP(A312,Community[],6,0),0)</f>
        <v>0</v>
      </c>
      <c r="L312" s="41">
        <f>IFERROR(VLOOKUP(A312,Community[],7,0),0)</f>
        <v>4166</v>
      </c>
      <c r="M312" s="41">
        <f>IFERROR(VLOOKUP(A312,Debt[],3,0),0)</f>
        <v>12180.59</v>
      </c>
      <c r="N312" s="41">
        <f>IFERROR(VLOOKUP(A312,Debt[],4,0),0)</f>
        <v>101925.93</v>
      </c>
      <c r="O312" s="41">
        <f>IFERROR(VLOOKUP(A312,Debt[],5,0),0)</f>
        <v>0</v>
      </c>
      <c r="P312" s="41">
        <f>IFERROR(VLOOKUP(A312,Items[],3,0),0)</f>
        <v>313590.12</v>
      </c>
      <c r="Q312" s="41">
        <f>IFERROR(VLOOKUP($A312,Federal[],2,0),0)</f>
        <v>6312.87</v>
      </c>
      <c r="R312" s="41">
        <f>IFERROR(VLOOKUP($A312,Federal[],4,0),0)</f>
        <v>1367530.31</v>
      </c>
      <c r="S312" s="41"/>
      <c r="T312" s="47">
        <f>IFERROR(VLOOKUP($A312,Program[],3,0),0)</f>
        <v>0</v>
      </c>
      <c r="U312" s="47"/>
      <c r="V312" s="41">
        <f>IFERROR(VLOOKUP($A312,Program[],4,0),0)</f>
        <v>0</v>
      </c>
      <c r="W312" s="41">
        <f>IFERROR(VLOOKUP($A312,Program[],5,0),0)</f>
        <v>0</v>
      </c>
      <c r="X312" s="41"/>
      <c r="Y312" s="41"/>
      <c r="Z312" s="41"/>
      <c r="AA312" s="41">
        <f>IFERROR(VLOOKUP($A312,Program[],6,0),0)</f>
        <v>0</v>
      </c>
      <c r="AB312" s="41"/>
      <c r="AC312" s="41"/>
      <c r="AD312" s="41">
        <f>IFERROR(VLOOKUP($A312,Program[],7,0),0)</f>
        <v>0</v>
      </c>
      <c r="AE312" s="41">
        <f>IFERROR(VLOOKUP($A312,Program[],8,0),0)</f>
        <v>0</v>
      </c>
      <c r="AF312" s="41">
        <f>IFERROR(VLOOKUP($A312,Program[],9,0),0)</f>
        <v>0</v>
      </c>
      <c r="AG312" s="41">
        <f>IFERROR(VLOOKUP($A312,Program[],10,0),0)</f>
        <v>0</v>
      </c>
      <c r="AH312" s="41">
        <f>IFERROR(VLOOKUP($A312,Program[],11,0),0)</f>
        <v>0</v>
      </c>
      <c r="AI312" s="41">
        <f>IFERROR(VLOOKUP($A312,Program[],12,0),0)</f>
        <v>0</v>
      </c>
      <c r="AJ312" s="41"/>
      <c r="AK312" s="41">
        <f>IFERROR(VLOOKUP($A312,Program[],13,0),0)</f>
        <v>0</v>
      </c>
      <c r="AL312" s="41"/>
      <c r="AM312" s="41"/>
      <c r="AN312" s="41"/>
      <c r="AO312" s="41"/>
      <c r="AP312" s="41"/>
      <c r="AQ312" s="41"/>
      <c r="AR312" s="41"/>
      <c r="AS312" s="41">
        <f>IFERROR(VLOOKUP($A312,Program[],14,0),0)</f>
        <v>0</v>
      </c>
      <c r="AT312" s="41"/>
      <c r="AU312" s="41"/>
      <c r="AV312" s="41">
        <f>IFERROR(VLOOKUP($A312,Program[],15,0),0)</f>
        <v>0</v>
      </c>
      <c r="AW312" s="41"/>
      <c r="AX312" s="41">
        <f>IFERROR(VLOOKUP($A312,Program[],16,0),0)</f>
        <v>0</v>
      </c>
      <c r="AY312" s="41">
        <f>IFERROR(VLOOKUP($A312,Program[],17,0),0)</f>
        <v>0</v>
      </c>
      <c r="AZ312" s="41">
        <f>IFERROR(VLOOKUP($A312,Program[],18,0),0)</f>
        <v>0</v>
      </c>
      <c r="BA312" s="41">
        <f>IFERROR(VLOOKUP($A312,Program[],19,0),0)</f>
        <v>0</v>
      </c>
      <c r="BB312" s="77">
        <f t="shared" si="71"/>
        <v>134281.94999999972</v>
      </c>
      <c r="BC312" s="41">
        <f>IFERROR(VLOOKUP(A312,Food[],3,0),0)</f>
        <v>1047013.9399999998</v>
      </c>
      <c r="BD312" s="41">
        <f>IFERROR(VLOOKUP($A312,FoodRev[],2,0),0)</f>
        <v>37726.53</v>
      </c>
      <c r="BE312" s="41">
        <f>IFERROR(VLOOKUP($A312,FoodRev[],3,0),0)</f>
        <v>271398.93</v>
      </c>
      <c r="BF312" s="41">
        <f>IFERROR(VLOOKUP($A312,FoodRev[],4,0),0)</f>
        <v>0</v>
      </c>
      <c r="BG312" s="41">
        <f>IFERROR(VLOOKUP($A312,FoodRev[],5,0),0)</f>
        <v>559430.9</v>
      </c>
      <c r="BH312" s="41">
        <f>IFERROR(VLOOKUP($A312,FoodRev[],6,0),0)</f>
        <v>0</v>
      </c>
      <c r="BI312" s="41">
        <f>IFERROR(VLOOKUP($A312,FoodRev[],7,0),0)</f>
        <v>0</v>
      </c>
      <c r="BJ312" s="41">
        <f>IFERROR(VLOOKUP($A312,FoodRev[],8,0),0)</f>
        <v>44175.63</v>
      </c>
      <c r="BK312" s="41">
        <f>IFERROR(VLOOKUP($A312,FoodRev[],9,0),0)</f>
        <v>0</v>
      </c>
      <c r="BL312" s="41">
        <f>IFERROR(VLOOKUP($A312,FoodRev[],10,0),0)</f>
        <v>0</v>
      </c>
      <c r="BM312" s="41">
        <f t="shared" si="72"/>
        <v>912731.99</v>
      </c>
      <c r="BN312" s="42">
        <f t="shared" si="66"/>
        <v>134281.94999999972</v>
      </c>
      <c r="BO312" s="78">
        <f t="shared" si="73"/>
        <v>134281.94999999972</v>
      </c>
      <c r="BP312" s="78">
        <f t="shared" si="74"/>
        <v>0</v>
      </c>
    </row>
    <row r="313" spans="1:68" x14ac:dyDescent="0.25">
      <c r="A313" s="40" t="s">
        <v>40</v>
      </c>
      <c r="B313" s="40" t="s">
        <v>976</v>
      </c>
      <c r="D313" s="203">
        <f t="shared" si="69"/>
        <v>0</v>
      </c>
      <c r="E313" s="41">
        <f>IFERROR(VLOOKUP(A313,Items[],5,0),0)</f>
        <v>249272016.18000001</v>
      </c>
      <c r="F313" s="42">
        <f t="shared" si="70"/>
        <v>249272016.18000001</v>
      </c>
      <c r="G313" s="41">
        <v>0</v>
      </c>
      <c r="H313" s="41">
        <f>IFERROR(VLOOKUP(A313,Items[],4,0),0)</f>
        <v>279868231.69999999</v>
      </c>
      <c r="I313" s="41">
        <f>IFERROR(VLOOKUP(A313,Community[],4,0),0)</f>
        <v>0</v>
      </c>
      <c r="J313" s="41">
        <f>IFERROR(VLOOKUP(A313,Community[],5,0),0)</f>
        <v>0</v>
      </c>
      <c r="K313" s="41">
        <f>IFERROR(VLOOKUP(A313,Community[],6,0),0)</f>
        <v>457585.80000000005</v>
      </c>
      <c r="L313" s="41">
        <f>IFERROR(VLOOKUP(A313,Community[],7,0),0)</f>
        <v>65949.78</v>
      </c>
      <c r="M313" s="41">
        <f>IFERROR(VLOOKUP(A313,Debt[],3,0),0)</f>
        <v>0</v>
      </c>
      <c r="N313" s="41">
        <f>IFERROR(VLOOKUP(A313,Debt[],4,0),0)</f>
        <v>0</v>
      </c>
      <c r="O313" s="41">
        <f>IFERROR(VLOOKUP(A313,Debt[],5,0),0)</f>
        <v>0</v>
      </c>
      <c r="P313" s="41">
        <f>IFERROR(VLOOKUP(A313,Items[],3,0),0)</f>
        <v>556956.56000000006</v>
      </c>
      <c r="Q313" s="41">
        <f>IFERROR(VLOOKUP($A313,Federal[],2,0),0)</f>
        <v>76235.199999999997</v>
      </c>
      <c r="R313" s="41">
        <f>IFERROR(VLOOKUP($A313,Federal[],4,0),0)</f>
        <v>30210975.289999999</v>
      </c>
      <c r="S313" s="41"/>
      <c r="T313" s="47">
        <f>IFERROR(VLOOKUP($A313,Program[],3,0),0)</f>
        <v>0</v>
      </c>
      <c r="U313" s="47"/>
      <c r="V313" s="41">
        <f>IFERROR(VLOOKUP($A313,Program[],4,0),0)</f>
        <v>0</v>
      </c>
      <c r="W313" s="41">
        <f>IFERROR(VLOOKUP($A313,Program[],5,0),0)</f>
        <v>0</v>
      </c>
      <c r="X313" s="41"/>
      <c r="Y313" s="41"/>
      <c r="Z313" s="41"/>
      <c r="AA313" s="41">
        <f>IFERROR(VLOOKUP($A313,Program[],6,0),0)</f>
        <v>0</v>
      </c>
      <c r="AB313" s="41"/>
      <c r="AC313" s="41"/>
      <c r="AD313" s="41">
        <f>IFERROR(VLOOKUP($A313,Program[],7,0),0)</f>
        <v>12746.92</v>
      </c>
      <c r="AE313" s="41">
        <f>IFERROR(VLOOKUP($A313,Program[],8,0),0)</f>
        <v>0</v>
      </c>
      <c r="AF313" s="41">
        <f>IFERROR(VLOOKUP($A313,Program[],9,0),0)</f>
        <v>0</v>
      </c>
      <c r="AG313" s="41">
        <f>IFERROR(VLOOKUP($A313,Program[],10,0),0)</f>
        <v>0</v>
      </c>
      <c r="AH313" s="41">
        <f>IFERROR(VLOOKUP($A313,Program[],11,0),0)</f>
        <v>0</v>
      </c>
      <c r="AI313" s="41">
        <f>IFERROR(VLOOKUP($A313,Program[],12,0),0)</f>
        <v>0</v>
      </c>
      <c r="AJ313" s="41"/>
      <c r="AK313" s="41">
        <f>IFERROR(VLOOKUP($A313,Program[],13,0),0)</f>
        <v>0</v>
      </c>
      <c r="AL313" s="41"/>
      <c r="AM313" s="41"/>
      <c r="AN313" s="41"/>
      <c r="AO313" s="41"/>
      <c r="AP313" s="41"/>
      <c r="AQ313" s="41"/>
      <c r="AR313" s="41"/>
      <c r="AS313" s="41">
        <f>IFERROR(VLOOKUP($A313,Program[],14,0),0)</f>
        <v>0</v>
      </c>
      <c r="AT313" s="41"/>
      <c r="AU313" s="41"/>
      <c r="AV313" s="41">
        <f>IFERROR(VLOOKUP($A313,Program[],15,0),0)</f>
        <v>0</v>
      </c>
      <c r="AW313" s="41"/>
      <c r="AX313" s="41">
        <f>IFERROR(VLOOKUP($A313,Program[],16,0),0)</f>
        <v>0</v>
      </c>
      <c r="AY313" s="41">
        <f>IFERROR(VLOOKUP($A313,Program[],17,0),0)</f>
        <v>0</v>
      </c>
      <c r="AZ313" s="41">
        <f>IFERROR(VLOOKUP($A313,Program[],18,0),0)</f>
        <v>0</v>
      </c>
      <c r="BA313" s="41">
        <f>IFERROR(VLOOKUP($A313,Program[],19,0),0)</f>
        <v>59391.45</v>
      </c>
      <c r="BB313" s="77">
        <f t="shared" si="71"/>
        <v>0</v>
      </c>
      <c r="BC313" s="41">
        <f>IFERROR(VLOOKUP(A313,Food[],3,0),0)</f>
        <v>10703136.950000001</v>
      </c>
      <c r="BD313" s="41">
        <f>IFERROR(VLOOKUP($A313,FoodRev[],2,0),0)</f>
        <v>133109.62</v>
      </c>
      <c r="BE313" s="41">
        <f>IFERROR(VLOOKUP($A313,FoodRev[],3,0),0)</f>
        <v>358265.4</v>
      </c>
      <c r="BF313" s="41">
        <f>IFERROR(VLOOKUP($A313,FoodRev[],4,0),0)</f>
        <v>0</v>
      </c>
      <c r="BG313" s="41">
        <f>IFERROR(VLOOKUP($A313,FoodRev[],5,0),0)</f>
        <v>10662698.23</v>
      </c>
      <c r="BH313" s="41">
        <f>IFERROR(VLOOKUP($A313,FoodRev[],6,0),0)</f>
        <v>0</v>
      </c>
      <c r="BI313" s="41">
        <f>IFERROR(VLOOKUP($A313,FoodRev[],7,0),0)</f>
        <v>0</v>
      </c>
      <c r="BJ313" s="41">
        <f>IFERROR(VLOOKUP($A313,FoodRev[],8,0),0)</f>
        <v>739787.46</v>
      </c>
      <c r="BK313" s="41">
        <f>IFERROR(VLOOKUP($A313,FoodRev[],9,0),0)</f>
        <v>0</v>
      </c>
      <c r="BL313" s="41">
        <f>IFERROR(VLOOKUP($A313,FoodRev[],10,0),0)</f>
        <v>0</v>
      </c>
      <c r="BM313" s="41">
        <f t="shared" si="72"/>
        <v>11893860.710000001</v>
      </c>
      <c r="BN313" s="42">
        <f t="shared" si="66"/>
        <v>-1190723.7599999988</v>
      </c>
      <c r="BO313" s="78">
        <f t="shared" si="73"/>
        <v>0</v>
      </c>
      <c r="BP313" s="78">
        <f t="shared" si="74"/>
        <v>-1190723.7599999988</v>
      </c>
    </row>
    <row r="314" spans="1:68" x14ac:dyDescent="0.25">
      <c r="A314" s="40" t="s">
        <v>176</v>
      </c>
      <c r="B314" s="40" t="s">
        <v>1030</v>
      </c>
      <c r="D314" s="203">
        <f t="shared" si="69"/>
        <v>-1.4901161193847656E-8</v>
      </c>
      <c r="E314" s="41">
        <f>IFERROR(VLOOKUP(A314,Items[],5,0),0)</f>
        <v>51780237.479999997</v>
      </c>
      <c r="F314" s="42">
        <f t="shared" si="70"/>
        <v>51780237.480000012</v>
      </c>
      <c r="G314" s="41">
        <v>0</v>
      </c>
      <c r="H314" s="41">
        <f>IFERROR(VLOOKUP(A314,Items[],4,0),0)</f>
        <v>57329799.310000002</v>
      </c>
      <c r="I314" s="41">
        <f>IFERROR(VLOOKUP(A314,Community[],4,0),0)</f>
        <v>0</v>
      </c>
      <c r="J314" s="41">
        <f>IFERROR(VLOOKUP(A314,Community[],5,0),0)</f>
        <v>0</v>
      </c>
      <c r="K314" s="41">
        <f>IFERROR(VLOOKUP(A314,Community[],6,0),0)</f>
        <v>0</v>
      </c>
      <c r="L314" s="41">
        <f>IFERROR(VLOOKUP(A314,Community[],7,0),0)</f>
        <v>0</v>
      </c>
      <c r="M314" s="41">
        <f>IFERROR(VLOOKUP(A314,Debt[],3,0),0)</f>
        <v>7702.99</v>
      </c>
      <c r="N314" s="41">
        <f>IFERROR(VLOOKUP(A314,Debt[],4,0),0)</f>
        <v>142429.79999999999</v>
      </c>
      <c r="O314" s="41">
        <f>IFERROR(VLOOKUP(A314,Debt[],5,0),0)</f>
        <v>0</v>
      </c>
      <c r="P314" s="41">
        <f>IFERROR(VLOOKUP(A314,Items[],3,0),0)</f>
        <v>551654.03</v>
      </c>
      <c r="Q314" s="41">
        <f>IFERROR(VLOOKUP($A314,Federal[],2,0),0)</f>
        <v>16135.51</v>
      </c>
      <c r="R314" s="41">
        <f>IFERROR(VLOOKUP($A314,Federal[],4,0),0)</f>
        <v>5039934.5599999996</v>
      </c>
      <c r="S314" s="41"/>
      <c r="T314" s="47">
        <f>IFERROR(VLOOKUP($A314,Program[],3,0),0)</f>
        <v>0</v>
      </c>
      <c r="U314" s="47"/>
      <c r="V314" s="41">
        <f>IFERROR(VLOOKUP($A314,Program[],4,0),0)</f>
        <v>0</v>
      </c>
      <c r="W314" s="41">
        <f>IFERROR(VLOOKUP($A314,Program[],5,0),0)</f>
        <v>0</v>
      </c>
      <c r="X314" s="41"/>
      <c r="Y314" s="41"/>
      <c r="Z314" s="41"/>
      <c r="AA314" s="41">
        <f>IFERROR(VLOOKUP($A314,Program[],6,0),0)</f>
        <v>0</v>
      </c>
      <c r="AB314" s="41"/>
      <c r="AC314" s="41"/>
      <c r="AD314" s="41">
        <f>IFERROR(VLOOKUP($A314,Program[],7,0),0)</f>
        <v>0</v>
      </c>
      <c r="AE314" s="41">
        <f>IFERROR(VLOOKUP($A314,Program[],8,0),0)</f>
        <v>0</v>
      </c>
      <c r="AF314" s="41">
        <f>IFERROR(VLOOKUP($A314,Program[],9,0),0)</f>
        <v>0</v>
      </c>
      <c r="AG314" s="41">
        <f>IFERROR(VLOOKUP($A314,Program[],10,0),0)</f>
        <v>0</v>
      </c>
      <c r="AH314" s="41">
        <f>IFERROR(VLOOKUP($A314,Program[],11,0),0)</f>
        <v>0</v>
      </c>
      <c r="AI314" s="41">
        <f>IFERROR(VLOOKUP($A314,Program[],12,0),0)</f>
        <v>0</v>
      </c>
      <c r="AJ314" s="41"/>
      <c r="AK314" s="41">
        <f>IFERROR(VLOOKUP($A314,Program[],13,0),0)</f>
        <v>0</v>
      </c>
      <c r="AL314" s="41"/>
      <c r="AM314" s="41"/>
      <c r="AN314" s="41"/>
      <c r="AO314" s="41"/>
      <c r="AP314" s="41"/>
      <c r="AQ314" s="41"/>
      <c r="AR314" s="41"/>
      <c r="AS314" s="41">
        <f>IFERROR(VLOOKUP($A314,Program[],14,0),0)</f>
        <v>0</v>
      </c>
      <c r="AT314" s="41"/>
      <c r="AU314" s="41"/>
      <c r="AV314" s="41">
        <f>IFERROR(VLOOKUP($A314,Program[],15,0),0)</f>
        <v>304746.43</v>
      </c>
      <c r="AW314" s="41"/>
      <c r="AX314" s="41">
        <f>IFERROR(VLOOKUP($A314,Program[],16,0),0)</f>
        <v>0</v>
      </c>
      <c r="AY314" s="41">
        <f>IFERROR(VLOOKUP($A314,Program[],17,0),0)</f>
        <v>0</v>
      </c>
      <c r="AZ314" s="41">
        <f>IFERROR(VLOOKUP($A314,Program[],18,0),0)</f>
        <v>0</v>
      </c>
      <c r="BA314" s="41">
        <f>IFERROR(VLOOKUP($A314,Program[],19,0),0)</f>
        <v>73844.2</v>
      </c>
      <c r="BB314" s="77">
        <f t="shared" si="71"/>
        <v>0</v>
      </c>
      <c r="BC314" s="41">
        <f>IFERROR(VLOOKUP(A314,Food[],3,0),0)</f>
        <v>2523578.8000000003</v>
      </c>
      <c r="BD314" s="41">
        <f>IFERROR(VLOOKUP($A314,FoodRev[],2,0),0)</f>
        <v>61330.48</v>
      </c>
      <c r="BE314" s="41">
        <f>IFERROR(VLOOKUP($A314,FoodRev[],3,0),0)</f>
        <v>653461.55000000005</v>
      </c>
      <c r="BF314" s="41">
        <f>IFERROR(VLOOKUP($A314,FoodRev[],4,0),0)</f>
        <v>8240</v>
      </c>
      <c r="BG314" s="41">
        <f>IFERROR(VLOOKUP($A314,FoodRev[],5,0),0)</f>
        <v>2037091.31</v>
      </c>
      <c r="BH314" s="41">
        <f>IFERROR(VLOOKUP($A314,FoodRev[],6,0),0)</f>
        <v>0</v>
      </c>
      <c r="BI314" s="41">
        <f>IFERROR(VLOOKUP($A314,FoodRev[],7,0),0)</f>
        <v>16888.32</v>
      </c>
      <c r="BJ314" s="41">
        <f>IFERROR(VLOOKUP($A314,FoodRev[],8,0),0)</f>
        <v>299303.59999999998</v>
      </c>
      <c r="BK314" s="41">
        <f>IFERROR(VLOOKUP($A314,FoodRev[],9,0),0)</f>
        <v>0</v>
      </c>
      <c r="BL314" s="41">
        <f>IFERROR(VLOOKUP($A314,FoodRev[],10,0),0)</f>
        <v>0</v>
      </c>
      <c r="BM314" s="41">
        <f t="shared" si="72"/>
        <v>3076315.26</v>
      </c>
      <c r="BN314" s="42">
        <f t="shared" si="66"/>
        <v>-552736.45999999973</v>
      </c>
      <c r="BO314" s="78">
        <f t="shared" si="73"/>
        <v>0</v>
      </c>
      <c r="BP314" s="78">
        <f t="shared" si="74"/>
        <v>-552736.45999999973</v>
      </c>
    </row>
    <row r="315" spans="1:68" x14ac:dyDescent="0.25">
      <c r="A315" s="40" t="s">
        <v>160</v>
      </c>
      <c r="B315" s="40" t="s">
        <v>977</v>
      </c>
      <c r="D315" s="203">
        <f t="shared" si="69"/>
        <v>7.4505805969238281E-9</v>
      </c>
      <c r="E315" s="41">
        <f>IFERROR(VLOOKUP(A315,Items[],5,0),0)</f>
        <v>59934961.100000001</v>
      </c>
      <c r="F315" s="42">
        <f t="shared" si="70"/>
        <v>59934961.099999994</v>
      </c>
      <c r="G315" s="41">
        <v>0</v>
      </c>
      <c r="H315" s="41">
        <f>IFERROR(VLOOKUP(A315,Items[],4,0),0)</f>
        <v>65654415.140000001</v>
      </c>
      <c r="I315" s="41">
        <f>IFERROR(VLOOKUP(A315,Community[],4,0),0)</f>
        <v>0</v>
      </c>
      <c r="J315" s="41">
        <f>IFERROR(VLOOKUP(A315,Community[],5,0),0)</f>
        <v>36607.97</v>
      </c>
      <c r="K315" s="41">
        <f>IFERROR(VLOOKUP(A315,Community[],6,0),0)</f>
        <v>0</v>
      </c>
      <c r="L315" s="41">
        <f>IFERROR(VLOOKUP(A315,Community[],7,0),0)</f>
        <v>21965.19</v>
      </c>
      <c r="M315" s="41">
        <f>IFERROR(VLOOKUP(A315,Debt[],3,0),0)</f>
        <v>41073.31</v>
      </c>
      <c r="N315" s="41">
        <f>IFERROR(VLOOKUP(A315,Debt[],4,0),0)</f>
        <v>0</v>
      </c>
      <c r="O315" s="41">
        <f>IFERROR(VLOOKUP(A315,Debt[],5,0),0)</f>
        <v>0</v>
      </c>
      <c r="P315" s="41">
        <f>IFERROR(VLOOKUP(A315,Items[],3,0),0)</f>
        <v>553017.13</v>
      </c>
      <c r="Q315" s="41">
        <f>IFERROR(VLOOKUP($A315,Federal[],2,0),0)</f>
        <v>17978.14</v>
      </c>
      <c r="R315" s="41">
        <f>IFERROR(VLOOKUP($A315,Federal[],4,0),0)</f>
        <v>4628025.21</v>
      </c>
      <c r="S315" s="41"/>
      <c r="T315" s="47">
        <f>IFERROR(VLOOKUP($A315,Program[],3,0),0)</f>
        <v>0</v>
      </c>
      <c r="U315" s="47"/>
      <c r="V315" s="41">
        <f>IFERROR(VLOOKUP($A315,Program[],4,0),0)</f>
        <v>0</v>
      </c>
      <c r="W315" s="41">
        <f>IFERROR(VLOOKUP($A315,Program[],5,0),0)</f>
        <v>0</v>
      </c>
      <c r="X315" s="41"/>
      <c r="Y315" s="41"/>
      <c r="Z315" s="41"/>
      <c r="AA315" s="41">
        <f>IFERROR(VLOOKUP($A315,Program[],6,0),0)</f>
        <v>0</v>
      </c>
      <c r="AB315" s="41"/>
      <c r="AC315" s="41"/>
      <c r="AD315" s="41">
        <f>IFERROR(VLOOKUP($A315,Program[],7,0),0)</f>
        <v>0</v>
      </c>
      <c r="AE315" s="41">
        <f>IFERROR(VLOOKUP($A315,Program[],8,0),0)</f>
        <v>0</v>
      </c>
      <c r="AF315" s="41">
        <f>IFERROR(VLOOKUP($A315,Program[],9,0),0)</f>
        <v>0</v>
      </c>
      <c r="AG315" s="41">
        <f>IFERROR(VLOOKUP($A315,Program[],10,0),0)</f>
        <v>0</v>
      </c>
      <c r="AH315" s="41">
        <f>IFERROR(VLOOKUP($A315,Program[],11,0),0)</f>
        <v>0</v>
      </c>
      <c r="AI315" s="41">
        <f>IFERROR(VLOOKUP($A315,Program[],12,0),0)</f>
        <v>0</v>
      </c>
      <c r="AJ315" s="41"/>
      <c r="AK315" s="41">
        <f>IFERROR(VLOOKUP($A315,Program[],13,0),0)</f>
        <v>0</v>
      </c>
      <c r="AL315" s="41"/>
      <c r="AM315" s="41"/>
      <c r="AN315" s="41"/>
      <c r="AO315" s="41"/>
      <c r="AP315" s="41"/>
      <c r="AQ315" s="41"/>
      <c r="AR315" s="41"/>
      <c r="AS315" s="41">
        <f>IFERROR(VLOOKUP($A315,Program[],14,0),0)</f>
        <v>0</v>
      </c>
      <c r="AT315" s="41"/>
      <c r="AU315" s="41"/>
      <c r="AV315" s="41">
        <f>IFERROR(VLOOKUP($A315,Program[],15,0),0)</f>
        <v>0</v>
      </c>
      <c r="AW315" s="41"/>
      <c r="AX315" s="41">
        <f>IFERROR(VLOOKUP($A315,Program[],16,0),0)</f>
        <v>0</v>
      </c>
      <c r="AY315" s="41">
        <f>IFERROR(VLOOKUP($A315,Program[],17,0),0)</f>
        <v>0</v>
      </c>
      <c r="AZ315" s="41">
        <f>IFERROR(VLOOKUP($A315,Program[],18,0),0)</f>
        <v>0</v>
      </c>
      <c r="BA315" s="41">
        <f>IFERROR(VLOOKUP($A315,Program[],19,0),0)</f>
        <v>385033.57</v>
      </c>
      <c r="BB315" s="77">
        <f t="shared" si="71"/>
        <v>48535.159999999625</v>
      </c>
      <c r="BC315" s="41">
        <f>IFERROR(VLOOKUP(A315,Food[],3,0),0)</f>
        <v>3177871.2399999998</v>
      </c>
      <c r="BD315" s="41">
        <f>IFERROR(VLOOKUP($A315,FoodRev[],2,0),0)</f>
        <v>13244.91</v>
      </c>
      <c r="BE315" s="41">
        <f>IFERROR(VLOOKUP($A315,FoodRev[],3,0),0)</f>
        <v>792575.75</v>
      </c>
      <c r="BF315" s="41">
        <f>IFERROR(VLOOKUP($A315,FoodRev[],4,0),0)</f>
        <v>0</v>
      </c>
      <c r="BG315" s="41">
        <f>IFERROR(VLOOKUP($A315,FoodRev[],5,0),0)</f>
        <v>2051309.74</v>
      </c>
      <c r="BH315" s="41">
        <f>IFERROR(VLOOKUP($A315,FoodRev[],6,0),0)</f>
        <v>0</v>
      </c>
      <c r="BI315" s="41">
        <f>IFERROR(VLOOKUP($A315,FoodRev[],7,0),0)</f>
        <v>0</v>
      </c>
      <c r="BJ315" s="41">
        <f>IFERROR(VLOOKUP($A315,FoodRev[],8,0),0)</f>
        <v>272205.68</v>
      </c>
      <c r="BK315" s="41">
        <f>IFERROR(VLOOKUP($A315,FoodRev[],9,0),0)</f>
        <v>0</v>
      </c>
      <c r="BL315" s="41">
        <f>IFERROR(VLOOKUP($A315,FoodRev[],10,0),0)</f>
        <v>0</v>
      </c>
      <c r="BM315" s="41">
        <f t="shared" si="72"/>
        <v>3129336.08</v>
      </c>
      <c r="BN315" s="42">
        <f t="shared" si="66"/>
        <v>48535.159999999625</v>
      </c>
      <c r="BO315" s="78">
        <f t="shared" si="73"/>
        <v>48535.159999999625</v>
      </c>
      <c r="BP315" s="78">
        <f t="shared" si="74"/>
        <v>0</v>
      </c>
    </row>
    <row r="316" spans="1:68" x14ac:dyDescent="0.25">
      <c r="A316" s="40" t="s">
        <v>310</v>
      </c>
      <c r="B316" s="40" t="s">
        <v>978</v>
      </c>
      <c r="D316" s="203">
        <f t="shared" si="69"/>
        <v>1.862645149230957E-9</v>
      </c>
      <c r="E316" s="41">
        <f>IFERROR(VLOOKUP(A316,Items[],5,0),0)</f>
        <v>12174252.289999999</v>
      </c>
      <c r="F316" s="42">
        <f t="shared" si="70"/>
        <v>12174252.289999997</v>
      </c>
      <c r="G316" s="41">
        <v>0</v>
      </c>
      <c r="H316" s="41">
        <f>IFERROR(VLOOKUP(A316,Items[],4,0),0)</f>
        <v>14420430.699999999</v>
      </c>
      <c r="I316" s="41">
        <f>IFERROR(VLOOKUP(A316,Community[],4,0),0)</f>
        <v>0</v>
      </c>
      <c r="J316" s="41">
        <f>IFERROR(VLOOKUP(A316,Community[],5,0),0)</f>
        <v>0</v>
      </c>
      <c r="K316" s="41">
        <f>IFERROR(VLOOKUP(A316,Community[],6,0),0)</f>
        <v>0</v>
      </c>
      <c r="L316" s="41">
        <f>IFERROR(VLOOKUP(A316,Community[],7,0),0)</f>
        <v>59987.24</v>
      </c>
      <c r="M316" s="41">
        <f>IFERROR(VLOOKUP(A316,Debt[],3,0),0)</f>
        <v>0</v>
      </c>
      <c r="N316" s="41">
        <f>IFERROR(VLOOKUP(A316,Debt[],4,0),0)</f>
        <v>0</v>
      </c>
      <c r="O316" s="41">
        <f>IFERROR(VLOOKUP(A316,Debt[],5,0),0)</f>
        <v>0</v>
      </c>
      <c r="P316" s="41">
        <f>IFERROR(VLOOKUP(A316,Items[],3,0),0)</f>
        <v>33901.06</v>
      </c>
      <c r="Q316" s="41">
        <f>IFERROR(VLOOKUP($A316,Federal[],2,0),0)</f>
        <v>3357.73</v>
      </c>
      <c r="R316" s="41">
        <f>IFERROR(VLOOKUP($A316,Federal[],4,0),0)</f>
        <v>2163231.21</v>
      </c>
      <c r="S316" s="41"/>
      <c r="T316" s="47">
        <f>IFERROR(VLOOKUP($A316,Program[],3,0),0)</f>
        <v>0</v>
      </c>
      <c r="U316" s="47"/>
      <c r="V316" s="41">
        <f>IFERROR(VLOOKUP($A316,Program[],4,0),0)</f>
        <v>0</v>
      </c>
      <c r="W316" s="41">
        <f>IFERROR(VLOOKUP($A316,Program[],5,0),0)</f>
        <v>0</v>
      </c>
      <c r="X316" s="41"/>
      <c r="Y316" s="41"/>
      <c r="Z316" s="41"/>
      <c r="AA316" s="41">
        <f>IFERROR(VLOOKUP($A316,Program[],6,0),0)</f>
        <v>0</v>
      </c>
      <c r="AB316" s="41"/>
      <c r="AC316" s="41"/>
      <c r="AD316" s="41">
        <f>IFERROR(VLOOKUP($A316,Program[],7,0),0)</f>
        <v>0</v>
      </c>
      <c r="AE316" s="41">
        <f>IFERROR(VLOOKUP($A316,Program[],8,0),0)</f>
        <v>0</v>
      </c>
      <c r="AF316" s="41">
        <f>IFERROR(VLOOKUP($A316,Program[],9,0),0)</f>
        <v>0</v>
      </c>
      <c r="AG316" s="41">
        <f>IFERROR(VLOOKUP($A316,Program[],10,0),0)</f>
        <v>0</v>
      </c>
      <c r="AH316" s="41">
        <f>IFERROR(VLOOKUP($A316,Program[],11,0),0)</f>
        <v>0</v>
      </c>
      <c r="AI316" s="41">
        <f>IFERROR(VLOOKUP($A316,Program[],12,0),0)</f>
        <v>0</v>
      </c>
      <c r="AJ316" s="41"/>
      <c r="AK316" s="41">
        <f>IFERROR(VLOOKUP($A316,Program[],13,0),0)</f>
        <v>0</v>
      </c>
      <c r="AL316" s="41"/>
      <c r="AM316" s="41"/>
      <c r="AN316" s="41"/>
      <c r="AO316" s="41"/>
      <c r="AP316" s="41"/>
      <c r="AQ316" s="41"/>
      <c r="AR316" s="41"/>
      <c r="AS316" s="41">
        <f>IFERROR(VLOOKUP($A316,Program[],14,0),0)</f>
        <v>0</v>
      </c>
      <c r="AT316" s="41"/>
      <c r="AU316" s="41"/>
      <c r="AV316" s="41">
        <f>IFERROR(VLOOKUP($A316,Program[],15,0),0)</f>
        <v>0</v>
      </c>
      <c r="AW316" s="41"/>
      <c r="AX316" s="41">
        <f>IFERROR(VLOOKUP($A316,Program[],16,0),0)</f>
        <v>0</v>
      </c>
      <c r="AY316" s="41">
        <f>IFERROR(VLOOKUP($A316,Program[],17,0),0)</f>
        <v>0</v>
      </c>
      <c r="AZ316" s="41">
        <f>IFERROR(VLOOKUP($A316,Program[],18,0),0)</f>
        <v>29547.15</v>
      </c>
      <c r="BA316" s="41">
        <f>IFERROR(VLOOKUP($A316,Program[],19,0),0)</f>
        <v>0</v>
      </c>
      <c r="BB316" s="77">
        <f t="shared" si="71"/>
        <v>13540.300000000134</v>
      </c>
      <c r="BC316" s="41">
        <f>IFERROR(VLOOKUP(A316,Food[],3,0),0)</f>
        <v>612722.55000000005</v>
      </c>
      <c r="BD316" s="41">
        <f>IFERROR(VLOOKUP($A316,FoodRev[],2,0),0)</f>
        <v>2843</v>
      </c>
      <c r="BE316" s="41">
        <f>IFERROR(VLOOKUP($A316,FoodRev[],3,0),0)</f>
        <v>12405.32</v>
      </c>
      <c r="BF316" s="41">
        <f>IFERROR(VLOOKUP($A316,FoodRev[],4,0),0)</f>
        <v>0</v>
      </c>
      <c r="BG316" s="41">
        <f>IFERROR(VLOOKUP($A316,FoodRev[],5,0),0)</f>
        <v>545473.84</v>
      </c>
      <c r="BH316" s="41">
        <f>IFERROR(VLOOKUP($A316,FoodRev[],6,0),0)</f>
        <v>0</v>
      </c>
      <c r="BI316" s="41">
        <f>IFERROR(VLOOKUP($A316,FoodRev[],7,0),0)</f>
        <v>0</v>
      </c>
      <c r="BJ316" s="41">
        <f>IFERROR(VLOOKUP($A316,FoodRev[],8,0),0)</f>
        <v>38460.089999999997</v>
      </c>
      <c r="BK316" s="41">
        <f>IFERROR(VLOOKUP($A316,FoodRev[],9,0),0)</f>
        <v>0</v>
      </c>
      <c r="BL316" s="41">
        <f>IFERROR(VLOOKUP($A316,FoodRev[],10,0),0)</f>
        <v>0</v>
      </c>
      <c r="BM316" s="41">
        <f t="shared" si="72"/>
        <v>599182.24999999988</v>
      </c>
      <c r="BN316" s="42">
        <f t="shared" si="66"/>
        <v>13540.300000000134</v>
      </c>
      <c r="BO316" s="78">
        <f t="shared" si="73"/>
        <v>13540.300000000134</v>
      </c>
      <c r="BP316" s="78">
        <f t="shared" si="74"/>
        <v>0</v>
      </c>
    </row>
    <row r="317" spans="1:68" x14ac:dyDescent="0.25">
      <c r="A317" s="40" t="s">
        <v>148</v>
      </c>
      <c r="B317" s="40" t="s">
        <v>979</v>
      </c>
      <c r="D317" s="203">
        <f t="shared" si="69"/>
        <v>-7.4505805969238281E-9</v>
      </c>
      <c r="E317" s="41">
        <f>IFERROR(VLOOKUP(A317,Items[],5,0),0)</f>
        <v>56286958.979999997</v>
      </c>
      <c r="F317" s="42">
        <f t="shared" si="70"/>
        <v>56286958.980000004</v>
      </c>
      <c r="G317" s="41">
        <v>0</v>
      </c>
      <c r="H317" s="41">
        <f>IFERROR(VLOOKUP(A317,Items[],4,0),0)</f>
        <v>64461331.420000002</v>
      </c>
      <c r="I317" s="41">
        <f>IFERROR(VLOOKUP(A317,Community[],4,0),0)</f>
        <v>0</v>
      </c>
      <c r="J317" s="41">
        <f>IFERROR(VLOOKUP(A317,Community[],5,0),0)</f>
        <v>0</v>
      </c>
      <c r="K317" s="41">
        <f>IFERROR(VLOOKUP(A317,Community[],6,0),0)</f>
        <v>0</v>
      </c>
      <c r="L317" s="41">
        <f>IFERROR(VLOOKUP(A317,Community[],7,0),0)</f>
        <v>3818.62</v>
      </c>
      <c r="M317" s="41">
        <f>IFERROR(VLOOKUP(A317,Debt[],3,0),0)</f>
        <v>7218.4</v>
      </c>
      <c r="N317" s="41">
        <f>IFERROR(VLOOKUP(A317,Debt[],4,0),0)</f>
        <v>139136.6</v>
      </c>
      <c r="O317" s="41">
        <f>IFERROR(VLOOKUP(A317,Debt[],5,0),0)</f>
        <v>0</v>
      </c>
      <c r="P317" s="41">
        <f>IFERROR(VLOOKUP(A317,Items[],3,0),0)</f>
        <v>502263.8</v>
      </c>
      <c r="Q317" s="41">
        <f>IFERROR(VLOOKUP($A317,Federal[],2,0),0)</f>
        <v>17082.09</v>
      </c>
      <c r="R317" s="41">
        <f>IFERROR(VLOOKUP($A317,Federal[],4,0),0)</f>
        <v>7449100.5599999996</v>
      </c>
      <c r="S317" s="41"/>
      <c r="T317" s="47">
        <f>IFERROR(VLOOKUP($A317,Program[],3,0),0)</f>
        <v>0</v>
      </c>
      <c r="U317" s="47"/>
      <c r="V317" s="41">
        <f>IFERROR(VLOOKUP($A317,Program[],4,0),0)</f>
        <v>0</v>
      </c>
      <c r="W317" s="41">
        <f>IFERROR(VLOOKUP($A317,Program[],5,0),0)</f>
        <v>0</v>
      </c>
      <c r="X317" s="41"/>
      <c r="Y317" s="41"/>
      <c r="Z317" s="41"/>
      <c r="AA317" s="41">
        <f>IFERROR(VLOOKUP($A317,Program[],6,0),0)</f>
        <v>0</v>
      </c>
      <c r="AB317" s="41"/>
      <c r="AC317" s="41"/>
      <c r="AD317" s="41">
        <f>IFERROR(VLOOKUP($A317,Program[],7,0),0)</f>
        <v>14112.7</v>
      </c>
      <c r="AE317" s="41">
        <f>IFERROR(VLOOKUP($A317,Program[],8,0),0)</f>
        <v>0</v>
      </c>
      <c r="AF317" s="41">
        <f>IFERROR(VLOOKUP($A317,Program[],9,0),0)</f>
        <v>0</v>
      </c>
      <c r="AG317" s="41">
        <f>IFERROR(VLOOKUP($A317,Program[],10,0),0)</f>
        <v>0</v>
      </c>
      <c r="AH317" s="41">
        <f>IFERROR(VLOOKUP($A317,Program[],11,0),0)</f>
        <v>0</v>
      </c>
      <c r="AI317" s="41">
        <f>IFERROR(VLOOKUP($A317,Program[],12,0),0)</f>
        <v>0</v>
      </c>
      <c r="AJ317" s="41"/>
      <c r="AK317" s="41">
        <f>IFERROR(VLOOKUP($A317,Program[],13,0),0)</f>
        <v>0</v>
      </c>
      <c r="AL317" s="41"/>
      <c r="AM317" s="41"/>
      <c r="AN317" s="41"/>
      <c r="AO317" s="41"/>
      <c r="AP317" s="41"/>
      <c r="AQ317" s="41"/>
      <c r="AR317" s="41"/>
      <c r="AS317" s="41">
        <f>IFERROR(VLOOKUP($A317,Program[],14,0),0)</f>
        <v>12283.24</v>
      </c>
      <c r="AT317" s="41"/>
      <c r="AU317" s="41"/>
      <c r="AV317" s="41">
        <f>IFERROR(VLOOKUP($A317,Program[],15,0),0)</f>
        <v>0</v>
      </c>
      <c r="AW317" s="41"/>
      <c r="AX317" s="41">
        <f>IFERROR(VLOOKUP($A317,Program[],16,0),0)</f>
        <v>0</v>
      </c>
      <c r="AY317" s="41">
        <f>IFERROR(VLOOKUP($A317,Program[],17,0),0)</f>
        <v>0</v>
      </c>
      <c r="AZ317" s="41">
        <f>IFERROR(VLOOKUP($A317,Program[],18,0),0)</f>
        <v>0</v>
      </c>
      <c r="BA317" s="41">
        <f>IFERROR(VLOOKUP($A317,Program[],19,0),0)</f>
        <v>0</v>
      </c>
      <c r="BB317" s="77">
        <f t="shared" si="71"/>
        <v>0</v>
      </c>
      <c r="BC317" s="41">
        <f>IFERROR(VLOOKUP(A317,Food[],3,0),0)</f>
        <v>2959093.0900000003</v>
      </c>
      <c r="BD317" s="41">
        <f>IFERROR(VLOOKUP($A317,FoodRev[],2,0),0)</f>
        <v>14621.15</v>
      </c>
      <c r="BE317" s="41">
        <f>IFERROR(VLOOKUP($A317,FoodRev[],3,0),0)</f>
        <v>153926.65</v>
      </c>
      <c r="BF317" s="41">
        <f>IFERROR(VLOOKUP($A317,FoodRev[],4,0),0)</f>
        <v>0</v>
      </c>
      <c r="BG317" s="41">
        <f>IFERROR(VLOOKUP($A317,FoodRev[],5,0),0)</f>
        <v>2739662.24</v>
      </c>
      <c r="BH317" s="41">
        <f>IFERROR(VLOOKUP($A317,FoodRev[],6,0),0)</f>
        <v>0</v>
      </c>
      <c r="BI317" s="41">
        <f>IFERROR(VLOOKUP($A317,FoodRev[],7,0),0)</f>
        <v>0</v>
      </c>
      <c r="BJ317" s="41">
        <f>IFERROR(VLOOKUP($A317,FoodRev[],8,0),0)</f>
        <v>137282.54</v>
      </c>
      <c r="BK317" s="41">
        <f>IFERROR(VLOOKUP($A317,FoodRev[],9,0),0)</f>
        <v>0</v>
      </c>
      <c r="BL317" s="41">
        <f>IFERROR(VLOOKUP($A317,FoodRev[],10,0),0)</f>
        <v>0</v>
      </c>
      <c r="BM317" s="41">
        <f t="shared" si="72"/>
        <v>3045492.58</v>
      </c>
      <c r="BN317" s="42">
        <f t="shared" ref="BN317:BN326" si="81">BC317-BD317-BE317-BF317-BG317-BH317-BI317-BJ317-BK317-BL317</f>
        <v>-86399.489999999729</v>
      </c>
      <c r="BO317" s="78">
        <f t="shared" si="73"/>
        <v>0</v>
      </c>
      <c r="BP317" s="78">
        <f t="shared" si="74"/>
        <v>-86399.489999999729</v>
      </c>
    </row>
    <row r="318" spans="1:68" x14ac:dyDescent="0.25">
      <c r="A318" s="40" t="s">
        <v>98</v>
      </c>
      <c r="B318" s="40" t="s">
        <v>980</v>
      </c>
      <c r="D318" s="203">
        <f t="shared" si="69"/>
        <v>-1.4901161193847656E-8</v>
      </c>
      <c r="E318" s="41">
        <f>IFERROR(VLOOKUP(A318,Items[],5,0),0)</f>
        <v>97353317.739999995</v>
      </c>
      <c r="F318" s="42">
        <f t="shared" si="70"/>
        <v>97353317.74000001</v>
      </c>
      <c r="G318" s="41">
        <v>0</v>
      </c>
      <c r="H318" s="41">
        <f>IFERROR(VLOOKUP(A318,Items[],4,0),0)</f>
        <v>113554723</v>
      </c>
      <c r="I318" s="41">
        <f>IFERROR(VLOOKUP(A318,Community[],4,0),0)</f>
        <v>0</v>
      </c>
      <c r="J318" s="41">
        <f>IFERROR(VLOOKUP(A318,Community[],5,0),0)</f>
        <v>0</v>
      </c>
      <c r="K318" s="41">
        <f>IFERROR(VLOOKUP(A318,Community[],6,0),0)</f>
        <v>0</v>
      </c>
      <c r="L318" s="41">
        <f>IFERROR(VLOOKUP(A318,Community[],7,0),0)</f>
        <v>15440.19</v>
      </c>
      <c r="M318" s="41">
        <f>IFERROR(VLOOKUP(A318,Debt[],3,0),0)</f>
        <v>7623.77</v>
      </c>
      <c r="N318" s="41">
        <f>IFERROR(VLOOKUP(A318,Debt[],4,0),0)</f>
        <v>169947.7</v>
      </c>
      <c r="O318" s="41">
        <f>IFERROR(VLOOKUP(A318,Debt[],5,0),0)</f>
        <v>0</v>
      </c>
      <c r="P318" s="41">
        <f>IFERROR(VLOOKUP(A318,Items[],3,0),0)</f>
        <v>519425.68</v>
      </c>
      <c r="Q318" s="41">
        <f>IFERROR(VLOOKUP($A318,Federal[],2,0),0)</f>
        <v>29633.69</v>
      </c>
      <c r="R318" s="41">
        <f>IFERROR(VLOOKUP($A318,Federal[],4,0),0)</f>
        <v>15649691.07</v>
      </c>
      <c r="S318" s="41"/>
      <c r="T318" s="47">
        <f>IFERROR(VLOOKUP($A318,Program[],3,0),0)</f>
        <v>0</v>
      </c>
      <c r="U318" s="47"/>
      <c r="V318" s="41">
        <f>IFERROR(VLOOKUP($A318,Program[],4,0),0)</f>
        <v>291894.74</v>
      </c>
      <c r="W318" s="41">
        <f>IFERROR(VLOOKUP($A318,Program[],5,0),0)</f>
        <v>0</v>
      </c>
      <c r="X318" s="41"/>
      <c r="Y318" s="41"/>
      <c r="Z318" s="41"/>
      <c r="AA318" s="41">
        <f>IFERROR(VLOOKUP($A318,Program[],6,0),0)</f>
        <v>0</v>
      </c>
      <c r="AB318" s="41"/>
      <c r="AC318" s="41"/>
      <c r="AD318" s="41">
        <f>IFERROR(VLOOKUP($A318,Program[],7,0),0)</f>
        <v>5576.29</v>
      </c>
      <c r="AE318" s="41">
        <f>IFERROR(VLOOKUP($A318,Program[],8,0),0)</f>
        <v>0</v>
      </c>
      <c r="AF318" s="41">
        <f>IFERROR(VLOOKUP($A318,Program[],9,0),0)</f>
        <v>0</v>
      </c>
      <c r="AG318" s="41">
        <f>IFERROR(VLOOKUP($A318,Program[],10,0),0)</f>
        <v>0</v>
      </c>
      <c r="AH318" s="41">
        <f>IFERROR(VLOOKUP($A318,Program[],11,0),0)</f>
        <v>0</v>
      </c>
      <c r="AI318" s="41">
        <f>IFERROR(VLOOKUP($A318,Program[],12,0),0)</f>
        <v>0</v>
      </c>
      <c r="AJ318" s="41"/>
      <c r="AK318" s="41">
        <f>IFERROR(VLOOKUP($A318,Program[],13,0),0)</f>
        <v>0</v>
      </c>
      <c r="AL318" s="41"/>
      <c r="AM318" s="41"/>
      <c r="AN318" s="41"/>
      <c r="AO318" s="41"/>
      <c r="AP318" s="41"/>
      <c r="AQ318" s="41"/>
      <c r="AR318" s="41"/>
      <c r="AS318" s="41">
        <f>IFERROR(VLOOKUP($A318,Program[],14,0),0)</f>
        <v>0</v>
      </c>
      <c r="AT318" s="41"/>
      <c r="AU318" s="41"/>
      <c r="AV318" s="41">
        <f>IFERROR(VLOOKUP($A318,Program[],15,0),0)</f>
        <v>0</v>
      </c>
      <c r="AW318" s="41"/>
      <c r="AX318" s="41">
        <f>IFERROR(VLOOKUP($A318,Program[],16,0),0)</f>
        <v>0</v>
      </c>
      <c r="AY318" s="41">
        <f>IFERROR(VLOOKUP($A318,Program[],17,0),0)</f>
        <v>0</v>
      </c>
      <c r="AZ318" s="41">
        <f>IFERROR(VLOOKUP($A318,Program[],18,0),0)</f>
        <v>0</v>
      </c>
      <c r="BA318" s="41">
        <f>IFERROR(VLOOKUP($A318,Program[],19,0),0)</f>
        <v>47360.43</v>
      </c>
      <c r="BB318" s="77">
        <f t="shared" si="71"/>
        <v>552709.66000000038</v>
      </c>
      <c r="BC318" s="41">
        <f>IFERROR(VLOOKUP(A318,Food[],3,0),0)</f>
        <v>5695087.5700000003</v>
      </c>
      <c r="BD318" s="41">
        <f>IFERROR(VLOOKUP($A318,FoodRev[],2,0),0)</f>
        <v>50504.42</v>
      </c>
      <c r="BE318" s="41">
        <f>IFERROR(VLOOKUP($A318,FoodRev[],3,0),0)</f>
        <v>103970.2</v>
      </c>
      <c r="BF318" s="41">
        <f>IFERROR(VLOOKUP($A318,FoodRev[],4,0),0)</f>
        <v>0</v>
      </c>
      <c r="BG318" s="41">
        <f>IFERROR(VLOOKUP($A318,FoodRev[],5,0),0)</f>
        <v>4692424.72</v>
      </c>
      <c r="BH318" s="41">
        <f>IFERROR(VLOOKUP($A318,FoodRev[],6,0),0)</f>
        <v>0</v>
      </c>
      <c r="BI318" s="41">
        <f>IFERROR(VLOOKUP($A318,FoodRev[],7,0),0)</f>
        <v>0</v>
      </c>
      <c r="BJ318" s="41">
        <f>IFERROR(VLOOKUP($A318,FoodRev[],8,0),0)</f>
        <v>295478.57</v>
      </c>
      <c r="BK318" s="41">
        <f>IFERROR(VLOOKUP($A318,FoodRev[],9,0),0)</f>
        <v>0</v>
      </c>
      <c r="BL318" s="41">
        <f>IFERROR(VLOOKUP($A318,FoodRev[],10,0),0)</f>
        <v>0</v>
      </c>
      <c r="BM318" s="41">
        <f t="shared" si="72"/>
        <v>5142377.91</v>
      </c>
      <c r="BN318" s="42">
        <f t="shared" si="81"/>
        <v>552709.66000000038</v>
      </c>
      <c r="BO318" s="78">
        <f t="shared" si="73"/>
        <v>552709.66000000038</v>
      </c>
      <c r="BP318" s="78">
        <f t="shared" si="74"/>
        <v>0</v>
      </c>
    </row>
    <row r="319" spans="1:68" x14ac:dyDescent="0.25">
      <c r="A319" s="40" t="s">
        <v>138</v>
      </c>
      <c r="B319" s="40" t="s">
        <v>981</v>
      </c>
      <c r="D319" s="203">
        <f t="shared" si="69"/>
        <v>-7.4505805969238281E-9</v>
      </c>
      <c r="E319" s="41">
        <f>IFERROR(VLOOKUP(A319,Items[],5,0),0)</f>
        <v>60552164.32</v>
      </c>
      <c r="F319" s="42">
        <f t="shared" si="70"/>
        <v>60552164.320000008</v>
      </c>
      <c r="G319" s="41">
        <v>0</v>
      </c>
      <c r="H319" s="41">
        <f>IFERROR(VLOOKUP(A319,Items[],4,0),0)</f>
        <v>71693433.969999999</v>
      </c>
      <c r="I319" s="41">
        <f>IFERROR(VLOOKUP(A319,Community[],4,0),0)</f>
        <v>0</v>
      </c>
      <c r="J319" s="41">
        <f>IFERROR(VLOOKUP(A319,Community[],5,0),0)</f>
        <v>0</v>
      </c>
      <c r="K319" s="41">
        <f>IFERROR(VLOOKUP(A319,Community[],6,0),0)</f>
        <v>2275723.5700000003</v>
      </c>
      <c r="L319" s="41">
        <f>IFERROR(VLOOKUP(A319,Community[],7,0),0)</f>
        <v>77474.97</v>
      </c>
      <c r="M319" s="41">
        <f>IFERROR(VLOOKUP(A319,Debt[],3,0),0)</f>
        <v>0</v>
      </c>
      <c r="N319" s="41">
        <f>IFERROR(VLOOKUP(A319,Debt[],4,0),0)</f>
        <v>0</v>
      </c>
      <c r="O319" s="41">
        <f>IFERROR(VLOOKUP(A319,Debt[],5,0),0)</f>
        <v>1549.71</v>
      </c>
      <c r="P319" s="41">
        <f>IFERROR(VLOOKUP(A319,Items[],3,0),0)</f>
        <v>207422.22</v>
      </c>
      <c r="Q319" s="41">
        <f>IFERROR(VLOOKUP($A319,Federal[],2,0),0)</f>
        <v>342591.62</v>
      </c>
      <c r="R319" s="41">
        <f>IFERROR(VLOOKUP($A319,Federal[],4,0),0)</f>
        <v>8639077.0999999996</v>
      </c>
      <c r="S319" s="41"/>
      <c r="T319" s="47">
        <f>IFERROR(VLOOKUP($A319,Program[],3,0),0)</f>
        <v>0</v>
      </c>
      <c r="U319" s="47"/>
      <c r="V319" s="41">
        <f>IFERROR(VLOOKUP($A319,Program[],4,0),0)</f>
        <v>0</v>
      </c>
      <c r="W319" s="41">
        <f>IFERROR(VLOOKUP($A319,Program[],5,0),0)</f>
        <v>0</v>
      </c>
      <c r="X319" s="41"/>
      <c r="Y319" s="41"/>
      <c r="Z319" s="41"/>
      <c r="AA319" s="41">
        <f>IFERROR(VLOOKUP($A319,Program[],6,0),0)</f>
        <v>0</v>
      </c>
      <c r="AB319" s="41"/>
      <c r="AC319" s="41"/>
      <c r="AD319" s="41">
        <f>IFERROR(VLOOKUP($A319,Program[],7,0),0)</f>
        <v>0</v>
      </c>
      <c r="AE319" s="41">
        <f>IFERROR(VLOOKUP($A319,Program[],8,0),0)</f>
        <v>0</v>
      </c>
      <c r="AF319" s="41">
        <f>IFERROR(VLOOKUP($A319,Program[],9,0),0)</f>
        <v>0</v>
      </c>
      <c r="AG319" s="41">
        <f>IFERROR(VLOOKUP($A319,Program[],10,0),0)</f>
        <v>0</v>
      </c>
      <c r="AH319" s="41">
        <f>IFERROR(VLOOKUP($A319,Program[],11,0),0)</f>
        <v>0</v>
      </c>
      <c r="AI319" s="41">
        <f>IFERROR(VLOOKUP($A319,Program[],12,0),0)</f>
        <v>0</v>
      </c>
      <c r="AJ319" s="41"/>
      <c r="AK319" s="41">
        <f>IFERROR(VLOOKUP($A319,Program[],13,0),0)</f>
        <v>0</v>
      </c>
      <c r="AL319" s="41"/>
      <c r="AM319" s="41"/>
      <c r="AN319" s="41"/>
      <c r="AO319" s="41"/>
      <c r="AP319" s="41"/>
      <c r="AQ319" s="41"/>
      <c r="AR319" s="41"/>
      <c r="AS319" s="41">
        <f>IFERROR(VLOOKUP($A319,Program[],14,0),0)</f>
        <v>0</v>
      </c>
      <c r="AT319" s="41"/>
      <c r="AU319" s="41"/>
      <c r="AV319" s="41">
        <f>IFERROR(VLOOKUP($A319,Program[],15,0),0)</f>
        <v>0</v>
      </c>
      <c r="AW319" s="41"/>
      <c r="AX319" s="41">
        <f>IFERROR(VLOOKUP($A319,Program[],16,0),0)</f>
        <v>0</v>
      </c>
      <c r="AY319" s="41">
        <f>IFERROR(VLOOKUP($A319,Program[],17,0),0)</f>
        <v>37988.559999999998</v>
      </c>
      <c r="AZ319" s="41">
        <f>IFERROR(VLOOKUP($A319,Program[],18,0),0)</f>
        <v>0</v>
      </c>
      <c r="BA319" s="41">
        <f>IFERROR(VLOOKUP($A319,Program[],19,0),0)</f>
        <v>0</v>
      </c>
      <c r="BB319" s="77">
        <f t="shared" si="71"/>
        <v>0</v>
      </c>
      <c r="BC319" s="41">
        <f>IFERROR(VLOOKUP(A319,Food[],3,0),0)</f>
        <v>3056453.17</v>
      </c>
      <c r="BD319" s="41">
        <f>IFERROR(VLOOKUP($A319,FoodRev[],2,0),0)</f>
        <v>13684.13</v>
      </c>
      <c r="BE319" s="41">
        <f>IFERROR(VLOOKUP($A319,FoodRev[],3,0),0)</f>
        <v>90300.2</v>
      </c>
      <c r="BF319" s="41">
        <f>IFERROR(VLOOKUP($A319,FoodRev[],4,0),0)</f>
        <v>0</v>
      </c>
      <c r="BG319" s="41">
        <f>IFERROR(VLOOKUP($A319,FoodRev[],5,0),0)</f>
        <v>3202485.62</v>
      </c>
      <c r="BH319" s="41">
        <f>IFERROR(VLOOKUP($A319,FoodRev[],6,0),0)</f>
        <v>0</v>
      </c>
      <c r="BI319" s="41">
        <f>IFERROR(VLOOKUP($A319,FoodRev[],7,0),0)</f>
        <v>13225</v>
      </c>
      <c r="BJ319" s="41">
        <f>IFERROR(VLOOKUP($A319,FoodRev[],8,0),0)</f>
        <v>205323.53</v>
      </c>
      <c r="BK319" s="41">
        <f>IFERROR(VLOOKUP($A319,FoodRev[],9,0),0)</f>
        <v>0</v>
      </c>
      <c r="BL319" s="41">
        <f>IFERROR(VLOOKUP($A319,FoodRev[],10,0),0)</f>
        <v>0</v>
      </c>
      <c r="BM319" s="41">
        <f t="shared" si="72"/>
        <v>3525018.48</v>
      </c>
      <c r="BN319" s="42">
        <f t="shared" si="81"/>
        <v>-468565.31000000029</v>
      </c>
      <c r="BO319" s="78">
        <f t="shared" si="73"/>
        <v>0</v>
      </c>
      <c r="BP319" s="78">
        <f t="shared" si="74"/>
        <v>-468565.31000000029</v>
      </c>
    </row>
    <row r="320" spans="1:68" x14ac:dyDescent="0.25">
      <c r="A320" s="40" t="s">
        <v>280</v>
      </c>
      <c r="B320" s="40" t="s">
        <v>982</v>
      </c>
      <c r="D320" s="203">
        <f t="shared" si="69"/>
        <v>3.7252902984619141E-9</v>
      </c>
      <c r="E320" s="41">
        <f>IFERROR(VLOOKUP(A320,Items[],5,0),0)</f>
        <v>17497360.850000001</v>
      </c>
      <c r="F320" s="42">
        <f t="shared" si="70"/>
        <v>17497360.849999998</v>
      </c>
      <c r="G320" s="41">
        <v>0</v>
      </c>
      <c r="H320" s="41">
        <f>IFERROR(VLOOKUP(A320,Items[],4,0),0)</f>
        <v>19309626.739999998</v>
      </c>
      <c r="I320" s="41">
        <f>IFERROR(VLOOKUP(A320,Community[],4,0),0)</f>
        <v>0</v>
      </c>
      <c r="J320" s="41">
        <f>IFERROR(VLOOKUP(A320,Community[],5,0),0)</f>
        <v>0</v>
      </c>
      <c r="K320" s="41">
        <f>IFERROR(VLOOKUP(A320,Community[],6,0),0)</f>
        <v>0</v>
      </c>
      <c r="L320" s="41">
        <f>IFERROR(VLOOKUP(A320,Community[],7,0),0)</f>
        <v>0</v>
      </c>
      <c r="M320" s="41">
        <f>IFERROR(VLOOKUP(A320,Debt[],3,0),0)</f>
        <v>0</v>
      </c>
      <c r="N320" s="41">
        <f>IFERROR(VLOOKUP(A320,Debt[],4,0),0)</f>
        <v>0</v>
      </c>
      <c r="O320" s="41">
        <f>IFERROR(VLOOKUP(A320,Debt[],5,0),0)</f>
        <v>0</v>
      </c>
      <c r="P320" s="41">
        <f>IFERROR(VLOOKUP(A320,Items[],3,0),0)</f>
        <v>0</v>
      </c>
      <c r="Q320" s="41">
        <f>IFERROR(VLOOKUP($A320,Federal[],2,0),0)</f>
        <v>4906.1400000000003</v>
      </c>
      <c r="R320" s="41">
        <f>IFERROR(VLOOKUP($A320,Federal[],4,0),0)</f>
        <v>1704615.88</v>
      </c>
      <c r="S320" s="41"/>
      <c r="T320" s="47">
        <f>IFERROR(VLOOKUP($A320,Program[],3,0),0)</f>
        <v>0</v>
      </c>
      <c r="U320" s="47"/>
      <c r="V320" s="41">
        <f>IFERROR(VLOOKUP($A320,Program[],4,0),0)</f>
        <v>0</v>
      </c>
      <c r="W320" s="41">
        <f>IFERROR(VLOOKUP($A320,Program[],5,0),0)</f>
        <v>0</v>
      </c>
      <c r="X320" s="41"/>
      <c r="Y320" s="41"/>
      <c r="Z320" s="41"/>
      <c r="AA320" s="41">
        <f>IFERROR(VLOOKUP($A320,Program[],6,0),0)</f>
        <v>0</v>
      </c>
      <c r="AB320" s="41"/>
      <c r="AC320" s="41"/>
      <c r="AD320" s="41">
        <f>IFERROR(VLOOKUP($A320,Program[],7,0),0)</f>
        <v>0</v>
      </c>
      <c r="AE320" s="41">
        <f>IFERROR(VLOOKUP($A320,Program[],8,0),0)</f>
        <v>0</v>
      </c>
      <c r="AF320" s="41">
        <f>IFERROR(VLOOKUP($A320,Program[],9,0),0)</f>
        <v>0</v>
      </c>
      <c r="AG320" s="41">
        <f>IFERROR(VLOOKUP($A320,Program[],10,0),0)</f>
        <v>0</v>
      </c>
      <c r="AH320" s="41">
        <f>IFERROR(VLOOKUP($A320,Program[],11,0),0)</f>
        <v>0</v>
      </c>
      <c r="AI320" s="41">
        <f>IFERROR(VLOOKUP($A320,Program[],12,0),0)</f>
        <v>0</v>
      </c>
      <c r="AJ320" s="41"/>
      <c r="AK320" s="41">
        <f>IFERROR(VLOOKUP($A320,Program[],13,0),0)</f>
        <v>0</v>
      </c>
      <c r="AL320" s="41"/>
      <c r="AM320" s="41"/>
      <c r="AN320" s="41"/>
      <c r="AO320" s="41"/>
      <c r="AP320" s="41"/>
      <c r="AQ320" s="41"/>
      <c r="AR320" s="41"/>
      <c r="AS320" s="41">
        <f>IFERROR(VLOOKUP($A320,Program[],14,0),0)</f>
        <v>0</v>
      </c>
      <c r="AT320" s="41"/>
      <c r="AU320" s="41"/>
      <c r="AV320" s="41">
        <f>IFERROR(VLOOKUP($A320,Program[],15,0),0)</f>
        <v>0</v>
      </c>
      <c r="AW320" s="41"/>
      <c r="AX320" s="41">
        <f>IFERROR(VLOOKUP($A320,Program[],16,0),0)</f>
        <v>0</v>
      </c>
      <c r="AY320" s="41">
        <f>IFERROR(VLOOKUP($A320,Program[],17,0),0)</f>
        <v>0</v>
      </c>
      <c r="AZ320" s="41">
        <f>IFERROR(VLOOKUP($A320,Program[],18,0),0)</f>
        <v>0</v>
      </c>
      <c r="BA320" s="41">
        <f>IFERROR(VLOOKUP($A320,Program[],19,0),0)</f>
        <v>0</v>
      </c>
      <c r="BB320" s="77">
        <f t="shared" si="71"/>
        <v>139.52000000009866</v>
      </c>
      <c r="BC320" s="41">
        <f>IFERROR(VLOOKUP(A320,Food[],3,0),0)</f>
        <v>869877.92</v>
      </c>
      <c r="BD320" s="41">
        <f>IFERROR(VLOOKUP($A320,FoodRev[],2,0),0)</f>
        <v>3355.09</v>
      </c>
      <c r="BE320" s="41">
        <f>IFERROR(VLOOKUP($A320,FoodRev[],3,0),0)</f>
        <v>99388.78</v>
      </c>
      <c r="BF320" s="41">
        <f>IFERROR(VLOOKUP($A320,FoodRev[],4,0),0)</f>
        <v>0</v>
      </c>
      <c r="BG320" s="41">
        <f>IFERROR(VLOOKUP($A320,FoodRev[],5,0),0)</f>
        <v>714018.32</v>
      </c>
      <c r="BH320" s="41">
        <f>IFERROR(VLOOKUP($A320,FoodRev[],6,0),0)</f>
        <v>0</v>
      </c>
      <c r="BI320" s="41">
        <f>IFERROR(VLOOKUP($A320,FoodRev[],7,0),0)</f>
        <v>0</v>
      </c>
      <c r="BJ320" s="41">
        <f>IFERROR(VLOOKUP($A320,FoodRev[],8,0),0)</f>
        <v>52976.21</v>
      </c>
      <c r="BK320" s="41">
        <f>IFERROR(VLOOKUP($A320,FoodRev[],9,0),0)</f>
        <v>0</v>
      </c>
      <c r="BL320" s="41">
        <f>IFERROR(VLOOKUP($A320,FoodRev[],10,0),0)</f>
        <v>0</v>
      </c>
      <c r="BM320" s="41">
        <f t="shared" si="72"/>
        <v>869738.39999999991</v>
      </c>
      <c r="BN320" s="42">
        <f t="shared" si="81"/>
        <v>139.52000000009866</v>
      </c>
      <c r="BO320" s="78">
        <f t="shared" si="73"/>
        <v>139.52000000009866</v>
      </c>
      <c r="BP320" s="78">
        <f t="shared" si="74"/>
        <v>0</v>
      </c>
    </row>
    <row r="321" spans="1:68" x14ac:dyDescent="0.25">
      <c r="A321" s="40" t="s">
        <v>246</v>
      </c>
      <c r="B321" s="40" t="s">
        <v>983</v>
      </c>
      <c r="D321" s="203">
        <f t="shared" si="69"/>
        <v>3.7252902984619141E-9</v>
      </c>
      <c r="E321" s="41">
        <f>IFERROR(VLOOKUP(A321,Items[],5,0),0)</f>
        <v>23043650.809999999</v>
      </c>
      <c r="F321" s="42">
        <f t="shared" si="70"/>
        <v>23043650.809999995</v>
      </c>
      <c r="G321" s="41">
        <v>0</v>
      </c>
      <c r="H321" s="41">
        <f>IFERROR(VLOOKUP(A321,Items[],4,0),0)</f>
        <v>27858394.59</v>
      </c>
      <c r="I321" s="41">
        <f>IFERROR(VLOOKUP(A321,Community[],4,0),0)</f>
        <v>0</v>
      </c>
      <c r="J321" s="41">
        <f>IFERROR(VLOOKUP(A321,Community[],5,0),0)</f>
        <v>0</v>
      </c>
      <c r="K321" s="41">
        <f>IFERROR(VLOOKUP(A321,Community[],6,0),0)</f>
        <v>869339.73</v>
      </c>
      <c r="L321" s="41">
        <f>IFERROR(VLOOKUP(A321,Community[],7,0),0)</f>
        <v>11579.26</v>
      </c>
      <c r="M321" s="41">
        <f>IFERROR(VLOOKUP(A321,Debt[],3,0),0)</f>
        <v>5912.05</v>
      </c>
      <c r="N321" s="41">
        <f>IFERROR(VLOOKUP(A321,Debt[],4,0),0)</f>
        <v>46754.87</v>
      </c>
      <c r="O321" s="41">
        <f>IFERROR(VLOOKUP(A321,Debt[],5,0),0)</f>
        <v>0</v>
      </c>
      <c r="P321" s="41">
        <f>IFERROR(VLOOKUP(A321,Items[],3,0),0)</f>
        <v>50737.03</v>
      </c>
      <c r="Q321" s="41">
        <f>IFERROR(VLOOKUP($A321,Federal[],2,0),0)</f>
        <v>74748.03</v>
      </c>
      <c r="R321" s="41">
        <f>IFERROR(VLOOKUP($A321,Federal[],4,0),0)</f>
        <v>3809344.19</v>
      </c>
      <c r="S321" s="41"/>
      <c r="T321" s="47">
        <f>IFERROR(VLOOKUP($A321,Program[],3,0),0)</f>
        <v>0</v>
      </c>
      <c r="U321" s="47"/>
      <c r="V321" s="41">
        <f>IFERROR(VLOOKUP($A321,Program[],4,0),0)</f>
        <v>0</v>
      </c>
      <c r="W321" s="41">
        <f>IFERROR(VLOOKUP($A321,Program[],5,0),0)</f>
        <v>0</v>
      </c>
      <c r="X321" s="41"/>
      <c r="Y321" s="41"/>
      <c r="Z321" s="41"/>
      <c r="AA321" s="41">
        <f>IFERROR(VLOOKUP($A321,Program[],6,0),0)</f>
        <v>0</v>
      </c>
      <c r="AB321" s="41"/>
      <c r="AC321" s="41"/>
      <c r="AD321" s="41">
        <f>IFERROR(VLOOKUP($A321,Program[],7,0),0)</f>
        <v>0</v>
      </c>
      <c r="AE321" s="41">
        <f>IFERROR(VLOOKUP($A321,Program[],8,0),0)</f>
        <v>0</v>
      </c>
      <c r="AF321" s="41">
        <f>IFERROR(VLOOKUP($A321,Program[],9,0),0)</f>
        <v>0</v>
      </c>
      <c r="AG321" s="41">
        <f>IFERROR(VLOOKUP($A321,Program[],10,0),0)</f>
        <v>0</v>
      </c>
      <c r="AH321" s="41">
        <f>IFERROR(VLOOKUP($A321,Program[],11,0),0)</f>
        <v>0</v>
      </c>
      <c r="AI321" s="41">
        <f>IFERROR(VLOOKUP($A321,Program[],12,0),0)</f>
        <v>0</v>
      </c>
      <c r="AJ321" s="41"/>
      <c r="AK321" s="41">
        <f>IFERROR(VLOOKUP($A321,Program[],13,0),0)</f>
        <v>0</v>
      </c>
      <c r="AL321" s="41"/>
      <c r="AM321" s="41"/>
      <c r="AN321" s="41"/>
      <c r="AO321" s="41"/>
      <c r="AP321" s="41"/>
      <c r="AQ321" s="41"/>
      <c r="AR321" s="41"/>
      <c r="AS321" s="41">
        <f>IFERROR(VLOOKUP($A321,Program[],14,0),0)</f>
        <v>0</v>
      </c>
      <c r="AT321" s="41"/>
      <c r="AU321" s="41"/>
      <c r="AV321" s="41">
        <f>IFERROR(VLOOKUP($A321,Program[],15,0),0)</f>
        <v>0</v>
      </c>
      <c r="AW321" s="41"/>
      <c r="AX321" s="41">
        <f>IFERROR(VLOOKUP($A321,Program[],16,0),0)</f>
        <v>0</v>
      </c>
      <c r="AY321" s="41">
        <f>IFERROR(VLOOKUP($A321,Program[],17,0),0)</f>
        <v>0</v>
      </c>
      <c r="AZ321" s="41">
        <f>IFERROR(VLOOKUP($A321,Program[],18,0),0)</f>
        <v>0</v>
      </c>
      <c r="BA321" s="41">
        <f>IFERROR(VLOOKUP($A321,Program[],19,0),0)</f>
        <v>0</v>
      </c>
      <c r="BB321" s="77">
        <f t="shared" si="71"/>
        <v>0</v>
      </c>
      <c r="BC321" s="41">
        <f>IFERROR(VLOOKUP(A321,Food[],3,0),0)</f>
        <v>1178550.0899999999</v>
      </c>
      <c r="BD321" s="41">
        <f>IFERROR(VLOOKUP($A321,FoodRev[],2,0),0)</f>
        <v>8937.85</v>
      </c>
      <c r="BE321" s="41">
        <f>IFERROR(VLOOKUP($A321,FoodRev[],3,0),0)</f>
        <v>23807.7</v>
      </c>
      <c r="BF321" s="41">
        <f>IFERROR(VLOOKUP($A321,FoodRev[],4,0),0)</f>
        <v>0</v>
      </c>
      <c r="BG321" s="41">
        <f>IFERROR(VLOOKUP($A321,FoodRev[],5,0),0)</f>
        <v>1136142.6000000001</v>
      </c>
      <c r="BH321" s="41">
        <f>IFERROR(VLOOKUP($A321,FoodRev[],6,0),0)</f>
        <v>0</v>
      </c>
      <c r="BI321" s="41">
        <f>IFERROR(VLOOKUP($A321,FoodRev[],7,0),0)</f>
        <v>0</v>
      </c>
      <c r="BJ321" s="41">
        <f>IFERROR(VLOOKUP($A321,FoodRev[],8,0),0)</f>
        <v>96078.87</v>
      </c>
      <c r="BK321" s="41">
        <f>IFERROR(VLOOKUP($A321,FoodRev[],9,0),0)</f>
        <v>0</v>
      </c>
      <c r="BL321" s="41">
        <f>IFERROR(VLOOKUP($A321,FoodRev[],10,0),0)</f>
        <v>0</v>
      </c>
      <c r="BM321" s="41">
        <f t="shared" si="72"/>
        <v>1264967.02</v>
      </c>
      <c r="BN321" s="42">
        <f t="shared" si="81"/>
        <v>-86416.930000000284</v>
      </c>
      <c r="BO321" s="78">
        <f t="shared" si="73"/>
        <v>0</v>
      </c>
      <c r="BP321" s="78">
        <f t="shared" si="74"/>
        <v>-86416.930000000284</v>
      </c>
    </row>
    <row r="322" spans="1:68" x14ac:dyDescent="0.25">
      <c r="A322" s="40" t="s">
        <v>270</v>
      </c>
      <c r="B322" s="40" t="s">
        <v>984</v>
      </c>
      <c r="D322" s="203">
        <f t="shared" si="69"/>
        <v>3.7252902984619141E-9</v>
      </c>
      <c r="E322" s="41">
        <f>IFERROR(VLOOKUP(A322,Items[],5,0),0)</f>
        <v>21038789.07</v>
      </c>
      <c r="F322" s="42">
        <f t="shared" si="70"/>
        <v>21038789.069999997</v>
      </c>
      <c r="G322" s="41">
        <v>0</v>
      </c>
      <c r="H322" s="41">
        <f>IFERROR(VLOOKUP(A322,Items[],4,0),0)</f>
        <v>23261359.16</v>
      </c>
      <c r="I322" s="41">
        <f>IFERROR(VLOOKUP(A322,Community[],4,0),0)</f>
        <v>0</v>
      </c>
      <c r="J322" s="41">
        <f>IFERROR(VLOOKUP(A322,Community[],5,0),0)</f>
        <v>0</v>
      </c>
      <c r="K322" s="41">
        <f>IFERROR(VLOOKUP(A322,Community[],6,0),0)</f>
        <v>0</v>
      </c>
      <c r="L322" s="41">
        <f>IFERROR(VLOOKUP(A322,Community[],7,0),0)</f>
        <v>0</v>
      </c>
      <c r="M322" s="41">
        <f>IFERROR(VLOOKUP(A322,Debt[],3,0),0)</f>
        <v>0</v>
      </c>
      <c r="N322" s="41">
        <f>IFERROR(VLOOKUP(A322,Debt[],4,0),0)</f>
        <v>0</v>
      </c>
      <c r="O322" s="41">
        <f>IFERROR(VLOOKUP(A322,Debt[],5,0),0)</f>
        <v>0</v>
      </c>
      <c r="P322" s="41">
        <f>IFERROR(VLOOKUP(A322,Items[],3,0),0)</f>
        <v>0</v>
      </c>
      <c r="Q322" s="41">
        <f>IFERROR(VLOOKUP($A322,Federal[],2,0),0)</f>
        <v>6420.94</v>
      </c>
      <c r="R322" s="41">
        <f>IFERROR(VLOOKUP($A322,Federal[],4,0),0)</f>
        <v>1919082.73</v>
      </c>
      <c r="S322" s="41"/>
      <c r="T322" s="47">
        <f>IFERROR(VLOOKUP($A322,Program[],3,0),0)</f>
        <v>0</v>
      </c>
      <c r="U322" s="47"/>
      <c r="V322" s="41">
        <f>IFERROR(VLOOKUP($A322,Program[],4,0),0)</f>
        <v>0</v>
      </c>
      <c r="W322" s="41">
        <f>IFERROR(VLOOKUP($A322,Program[],5,0),0)</f>
        <v>0</v>
      </c>
      <c r="X322" s="41"/>
      <c r="Y322" s="41"/>
      <c r="Z322" s="41"/>
      <c r="AA322" s="41">
        <f>IFERROR(VLOOKUP($A322,Program[],6,0),0)</f>
        <v>0</v>
      </c>
      <c r="AB322" s="41"/>
      <c r="AC322" s="41"/>
      <c r="AD322" s="41">
        <f>IFERROR(VLOOKUP($A322,Program[],7,0),0)</f>
        <v>0</v>
      </c>
      <c r="AE322" s="41">
        <f>IFERROR(VLOOKUP($A322,Program[],8,0),0)</f>
        <v>0</v>
      </c>
      <c r="AF322" s="41">
        <f>IFERROR(VLOOKUP($A322,Program[],9,0),0)</f>
        <v>0</v>
      </c>
      <c r="AG322" s="41">
        <f>IFERROR(VLOOKUP($A322,Program[],10,0),0)</f>
        <v>0</v>
      </c>
      <c r="AH322" s="41">
        <f>IFERROR(VLOOKUP($A322,Program[],11,0),0)</f>
        <v>0</v>
      </c>
      <c r="AI322" s="41">
        <f>IFERROR(VLOOKUP($A322,Program[],12,0),0)</f>
        <v>0</v>
      </c>
      <c r="AJ322" s="41"/>
      <c r="AK322" s="41">
        <f>IFERROR(VLOOKUP($A322,Program[],13,0),0)</f>
        <v>0</v>
      </c>
      <c r="AL322" s="41"/>
      <c r="AM322" s="41"/>
      <c r="AN322" s="41"/>
      <c r="AO322" s="41"/>
      <c r="AP322" s="41"/>
      <c r="AQ322" s="41"/>
      <c r="AR322" s="41"/>
      <c r="AS322" s="41">
        <f>IFERROR(VLOOKUP($A322,Program[],14,0),0)</f>
        <v>0</v>
      </c>
      <c r="AT322" s="41"/>
      <c r="AU322" s="41"/>
      <c r="AV322" s="41">
        <f>IFERROR(VLOOKUP($A322,Program[],15,0),0)</f>
        <v>0</v>
      </c>
      <c r="AW322" s="41"/>
      <c r="AX322" s="41">
        <f>IFERROR(VLOOKUP($A322,Program[],16,0),0)</f>
        <v>0</v>
      </c>
      <c r="AY322" s="41">
        <f>IFERROR(VLOOKUP($A322,Program[],17,0),0)</f>
        <v>0</v>
      </c>
      <c r="AZ322" s="41">
        <f>IFERROR(VLOOKUP($A322,Program[],18,0),0)</f>
        <v>0</v>
      </c>
      <c r="BA322" s="41">
        <f>IFERROR(VLOOKUP($A322,Program[],19,0),0)</f>
        <v>0</v>
      </c>
      <c r="BB322" s="77">
        <f t="shared" si="71"/>
        <v>0</v>
      </c>
      <c r="BC322" s="41">
        <f>IFERROR(VLOOKUP(A322,Food[],3,0),0)</f>
        <v>1091175.48</v>
      </c>
      <c r="BD322" s="41">
        <f>IFERROR(VLOOKUP($A322,FoodRev[],2,0),0)</f>
        <v>-950.36</v>
      </c>
      <c r="BE322" s="41">
        <f>IFERROR(VLOOKUP($A322,FoodRev[],3,0),0)</f>
        <v>337341.94</v>
      </c>
      <c r="BF322" s="41">
        <f>IFERROR(VLOOKUP($A322,FoodRev[],4,0),0)</f>
        <v>0</v>
      </c>
      <c r="BG322" s="41">
        <f>IFERROR(VLOOKUP($A322,FoodRev[],5,0),0)</f>
        <v>742039.38</v>
      </c>
      <c r="BH322" s="41">
        <f>IFERROR(VLOOKUP($A322,FoodRev[],6,0),0)</f>
        <v>0</v>
      </c>
      <c r="BI322" s="41">
        <f>IFERROR(VLOOKUP($A322,FoodRev[],7,0),0)</f>
        <v>0</v>
      </c>
      <c r="BJ322" s="41">
        <f>IFERROR(VLOOKUP($A322,FoodRev[],8,0),0)</f>
        <v>52069.68</v>
      </c>
      <c r="BK322" s="41">
        <f>IFERROR(VLOOKUP($A322,FoodRev[],9,0),0)</f>
        <v>0</v>
      </c>
      <c r="BL322" s="41">
        <f>IFERROR(VLOOKUP($A322,FoodRev[],10,0),0)</f>
        <v>0</v>
      </c>
      <c r="BM322" s="41">
        <f t="shared" si="72"/>
        <v>1130500.6399999999</v>
      </c>
      <c r="BN322" s="42">
        <f t="shared" si="81"/>
        <v>-39325.159999999865</v>
      </c>
      <c r="BO322" s="78">
        <f t="shared" si="73"/>
        <v>0</v>
      </c>
      <c r="BP322" s="78">
        <f t="shared" si="74"/>
        <v>-39325.159999999865</v>
      </c>
    </row>
    <row r="323" spans="1:68" x14ac:dyDescent="0.25">
      <c r="A323" s="40" t="s">
        <v>164</v>
      </c>
      <c r="B323" s="40" t="s">
        <v>985</v>
      </c>
      <c r="D323" s="203">
        <f t="shared" si="69"/>
        <v>1.4901161193847656E-8</v>
      </c>
      <c r="E323" s="41">
        <f>IFERROR(VLOOKUP(A323,Items[],5,0),0)</f>
        <v>52151856.060000002</v>
      </c>
      <c r="F323" s="42">
        <f t="shared" si="70"/>
        <v>52151856.059999987</v>
      </c>
      <c r="G323" s="41">
        <v>0</v>
      </c>
      <c r="H323" s="41">
        <f>IFERROR(VLOOKUP(A323,Items[],4,0),0)</f>
        <v>62884942.479999997</v>
      </c>
      <c r="I323" s="41">
        <f>IFERROR(VLOOKUP(A323,Community[],4,0),0)</f>
        <v>0</v>
      </c>
      <c r="J323" s="41">
        <f>IFERROR(VLOOKUP(A323,Community[],5,0),0)</f>
        <v>0</v>
      </c>
      <c r="K323" s="41">
        <f>IFERROR(VLOOKUP(A323,Community[],6,0),0)</f>
        <v>0</v>
      </c>
      <c r="L323" s="41">
        <f>IFERROR(VLOOKUP(A323,Community[],7,0),0)</f>
        <v>0</v>
      </c>
      <c r="M323" s="41">
        <f>IFERROR(VLOOKUP(A323,Debt[],3,0),0)</f>
        <v>3305.93</v>
      </c>
      <c r="N323" s="41">
        <f>IFERROR(VLOOKUP(A323,Debt[],4,0),0)</f>
        <v>39952.720000000001</v>
      </c>
      <c r="O323" s="41">
        <f>IFERROR(VLOOKUP(A323,Debt[],5,0),0)</f>
        <v>550</v>
      </c>
      <c r="P323" s="41">
        <f>IFERROR(VLOOKUP(A323,Items[],3,0),0)</f>
        <v>154958.78</v>
      </c>
      <c r="Q323" s="41">
        <f>IFERROR(VLOOKUP($A323,Federal[],2,0),0)</f>
        <v>3010322.95</v>
      </c>
      <c r="R323" s="41">
        <f>IFERROR(VLOOKUP($A323,Federal[],4,0),0)</f>
        <v>7474923.8099999996</v>
      </c>
      <c r="S323" s="41"/>
      <c r="T323" s="47">
        <f>IFERROR(VLOOKUP($A323,Program[],3,0),0)</f>
        <v>0</v>
      </c>
      <c r="U323" s="47"/>
      <c r="V323" s="41">
        <f>IFERROR(VLOOKUP($A323,Program[],4,0),0)</f>
        <v>0</v>
      </c>
      <c r="W323" s="41">
        <f>IFERROR(VLOOKUP($A323,Program[],5,0),0)</f>
        <v>0</v>
      </c>
      <c r="X323" s="41"/>
      <c r="Y323" s="41"/>
      <c r="Z323" s="41"/>
      <c r="AA323" s="41">
        <f>IFERROR(VLOOKUP($A323,Program[],6,0),0)</f>
        <v>0</v>
      </c>
      <c r="AB323" s="41"/>
      <c r="AC323" s="41"/>
      <c r="AD323" s="41">
        <f>IFERROR(VLOOKUP($A323,Program[],7,0),0)</f>
        <v>0</v>
      </c>
      <c r="AE323" s="41">
        <f>IFERROR(VLOOKUP($A323,Program[],8,0),0)</f>
        <v>0</v>
      </c>
      <c r="AF323" s="41">
        <f>IFERROR(VLOOKUP($A323,Program[],9,0),0)</f>
        <v>0</v>
      </c>
      <c r="AG323" s="41">
        <f>IFERROR(VLOOKUP($A323,Program[],10,0),0)</f>
        <v>0</v>
      </c>
      <c r="AH323" s="41">
        <f>IFERROR(VLOOKUP($A323,Program[],11,0),0)</f>
        <v>0</v>
      </c>
      <c r="AI323" s="41">
        <f>IFERROR(VLOOKUP($A323,Program[],12,0),0)</f>
        <v>0</v>
      </c>
      <c r="AJ323" s="41"/>
      <c r="AK323" s="41">
        <f>IFERROR(VLOOKUP($A323,Program[],13,0),0)</f>
        <v>0</v>
      </c>
      <c r="AL323" s="41"/>
      <c r="AM323" s="41"/>
      <c r="AN323" s="41"/>
      <c r="AO323" s="41"/>
      <c r="AP323" s="41"/>
      <c r="AQ323" s="41"/>
      <c r="AR323" s="41"/>
      <c r="AS323" s="41">
        <f>IFERROR(VLOOKUP($A323,Program[],14,0),0)</f>
        <v>0</v>
      </c>
      <c r="AT323" s="41"/>
      <c r="AU323" s="41"/>
      <c r="AV323" s="41">
        <f>IFERROR(VLOOKUP($A323,Program[],15,0),0)</f>
        <v>0</v>
      </c>
      <c r="AW323" s="41"/>
      <c r="AX323" s="41">
        <f>IFERROR(VLOOKUP($A323,Program[],16,0),0)</f>
        <v>0</v>
      </c>
      <c r="AY323" s="41">
        <f>IFERROR(VLOOKUP($A323,Program[],17,0),0)</f>
        <v>0</v>
      </c>
      <c r="AZ323" s="41">
        <f>IFERROR(VLOOKUP($A323,Program[],18,0),0)</f>
        <v>0</v>
      </c>
      <c r="BA323" s="41">
        <f>IFERROR(VLOOKUP($A323,Program[],19,0),0)</f>
        <v>76786.98</v>
      </c>
      <c r="BB323" s="77">
        <f t="shared" si="71"/>
        <v>0</v>
      </c>
      <c r="BC323" s="41">
        <f>IFERROR(VLOOKUP(A323,Food[],3,0),0)</f>
        <v>2834302.88</v>
      </c>
      <c r="BD323" s="41">
        <f>IFERROR(VLOOKUP($A323,FoodRev[],2,0),0)</f>
        <v>17685.98</v>
      </c>
      <c r="BE323" s="41">
        <f>IFERROR(VLOOKUP($A323,FoodRev[],3,0),0)</f>
        <v>55464.63</v>
      </c>
      <c r="BF323" s="41">
        <f>IFERROR(VLOOKUP($A323,FoodRev[],4,0),0)</f>
        <v>0</v>
      </c>
      <c r="BG323" s="41">
        <f>IFERROR(VLOOKUP($A323,FoodRev[],5,0),0)</f>
        <v>2568884.13</v>
      </c>
      <c r="BH323" s="41">
        <f>IFERROR(VLOOKUP($A323,FoodRev[],6,0),0)</f>
        <v>0</v>
      </c>
      <c r="BI323" s="41">
        <f>IFERROR(VLOOKUP($A323,FoodRev[],7,0),0)</f>
        <v>0</v>
      </c>
      <c r="BJ323" s="41">
        <f>IFERROR(VLOOKUP($A323,FoodRev[],8,0),0)</f>
        <v>139559.54</v>
      </c>
      <c r="BK323" s="41">
        <f>IFERROR(VLOOKUP($A323,FoodRev[],9,0),0)</f>
        <v>0</v>
      </c>
      <c r="BL323" s="41">
        <f>IFERROR(VLOOKUP($A323,FoodRev[],10,0),0)</f>
        <v>66959.09</v>
      </c>
      <c r="BM323" s="41">
        <f t="shared" si="72"/>
        <v>2848553.3699999996</v>
      </c>
      <c r="BN323" s="42">
        <f t="shared" si="81"/>
        <v>-14250.489999999874</v>
      </c>
      <c r="BO323" s="78">
        <f t="shared" ref="BO323:BO326" si="82">IF(BN323&lt;0,0,BN323)</f>
        <v>0</v>
      </c>
      <c r="BP323" s="78">
        <f t="shared" si="74"/>
        <v>-14250.489999999874</v>
      </c>
    </row>
    <row r="324" spans="1:68" x14ac:dyDescent="0.25">
      <c r="A324" s="40" t="s">
        <v>116</v>
      </c>
      <c r="B324" s="40" t="s">
        <v>1031</v>
      </c>
      <c r="D324" s="203">
        <f t="shared" si="69"/>
        <v>1.4901161193847656E-8</v>
      </c>
      <c r="E324" s="41">
        <f>IFERROR(VLOOKUP(A324,Items[],5,0),0)</f>
        <v>80893390.689999998</v>
      </c>
      <c r="F324" s="42">
        <f t="shared" si="70"/>
        <v>80893390.689999983</v>
      </c>
      <c r="G324" s="41">
        <v>0</v>
      </c>
      <c r="H324" s="41">
        <f>IFERROR(VLOOKUP(A324,Items[],4,0),0)</f>
        <v>88361795.170000002</v>
      </c>
      <c r="I324" s="41">
        <f>IFERROR(VLOOKUP(A324,Community[],4,0),0)</f>
        <v>0</v>
      </c>
      <c r="J324" s="41">
        <f>IFERROR(VLOOKUP(A324,Community[],5,0),0)</f>
        <v>0</v>
      </c>
      <c r="K324" s="41">
        <f>IFERROR(VLOOKUP(A324,Community[],6,0),0)</f>
        <v>94867.5</v>
      </c>
      <c r="L324" s="41">
        <f>IFERROR(VLOOKUP(A324,Community[],7,0),0)</f>
        <v>50096.789999999994</v>
      </c>
      <c r="M324" s="41">
        <f>IFERROR(VLOOKUP(A324,Debt[],3,0),0)</f>
        <v>0</v>
      </c>
      <c r="N324" s="41">
        <f>IFERROR(VLOOKUP(A324,Debt[],4,0),0)</f>
        <v>0</v>
      </c>
      <c r="O324" s="41">
        <f>IFERROR(VLOOKUP(A324,Debt[],5,0),0)</f>
        <v>0</v>
      </c>
      <c r="P324" s="41">
        <f>IFERROR(VLOOKUP(A324,Items[],3,0),0)</f>
        <v>1109159.6499999999</v>
      </c>
      <c r="Q324" s="41">
        <f>IFERROR(VLOOKUP($A324,Federal[],2,0),0)</f>
        <v>26067.93</v>
      </c>
      <c r="R324" s="41">
        <f>IFERROR(VLOOKUP($A324,Federal[],4,0),0)</f>
        <v>5874877.0199999996</v>
      </c>
      <c r="S324" s="41"/>
      <c r="T324" s="47">
        <f>IFERROR(VLOOKUP($A324,Program[],3,0),0)</f>
        <v>0</v>
      </c>
      <c r="U324" s="47"/>
      <c r="V324" s="41">
        <f>IFERROR(VLOOKUP($A324,Program[],4,0),0)</f>
        <v>0</v>
      </c>
      <c r="W324" s="41">
        <f>IFERROR(VLOOKUP($A324,Program[],5,0),0)</f>
        <v>0</v>
      </c>
      <c r="X324" s="41"/>
      <c r="Y324" s="41"/>
      <c r="Z324" s="41"/>
      <c r="AA324" s="41">
        <f>IFERROR(VLOOKUP($A324,Program[],6,0),0)</f>
        <v>0</v>
      </c>
      <c r="AB324" s="41"/>
      <c r="AC324" s="41"/>
      <c r="AD324" s="41">
        <f>IFERROR(VLOOKUP($A324,Program[],7,0),0)</f>
        <v>0</v>
      </c>
      <c r="AE324" s="41">
        <f>IFERROR(VLOOKUP($A324,Program[],8,0),0)</f>
        <v>0</v>
      </c>
      <c r="AF324" s="41">
        <f>IFERROR(VLOOKUP($A324,Program[],9,0),0)</f>
        <v>0</v>
      </c>
      <c r="AG324" s="41">
        <f>IFERROR(VLOOKUP($A324,Program[],10,0),0)</f>
        <v>0</v>
      </c>
      <c r="AH324" s="41">
        <f>IFERROR(VLOOKUP($A324,Program[],11,0),0)</f>
        <v>0</v>
      </c>
      <c r="AI324" s="41">
        <f>IFERROR(VLOOKUP($A324,Program[],12,0),0)</f>
        <v>0</v>
      </c>
      <c r="AJ324" s="41"/>
      <c r="AK324" s="41">
        <f>IFERROR(VLOOKUP($A324,Program[],13,0),0)</f>
        <v>0</v>
      </c>
      <c r="AL324" s="41"/>
      <c r="AM324" s="41"/>
      <c r="AN324" s="41"/>
      <c r="AO324" s="41"/>
      <c r="AP324" s="41"/>
      <c r="AQ324" s="41"/>
      <c r="AR324" s="41"/>
      <c r="AS324" s="41">
        <f>IFERROR(VLOOKUP($A324,Program[],14,0),0)</f>
        <v>0</v>
      </c>
      <c r="AT324" s="41"/>
      <c r="AU324" s="41"/>
      <c r="AV324" s="41">
        <f>IFERROR(VLOOKUP($A324,Program[],15,0),0)</f>
        <v>501644.01999999996</v>
      </c>
      <c r="AW324" s="41"/>
      <c r="AX324" s="41">
        <f>IFERROR(VLOOKUP($A324,Program[],16,0),0)</f>
        <v>0</v>
      </c>
      <c r="AY324" s="41">
        <f>IFERROR(VLOOKUP($A324,Program[],17,0),0)</f>
        <v>0</v>
      </c>
      <c r="AZ324" s="41">
        <f>IFERROR(VLOOKUP($A324,Program[],18,0),0)</f>
        <v>0</v>
      </c>
      <c r="BA324" s="41">
        <f>IFERROR(VLOOKUP($A324,Program[],19,0),0)</f>
        <v>114055.7</v>
      </c>
      <c r="BB324" s="77">
        <f t="shared" si="71"/>
        <v>0</v>
      </c>
      <c r="BC324" s="41">
        <f>IFERROR(VLOOKUP(A324,Food[],3,0),0)</f>
        <v>3049507.7800000003</v>
      </c>
      <c r="BD324" s="41">
        <f>IFERROR(VLOOKUP($A324,FoodRev[],2,0),0)</f>
        <v>175420.74</v>
      </c>
      <c r="BE324" s="41">
        <f>IFERROR(VLOOKUP($A324,FoodRev[],3,0),0)</f>
        <v>879298.27</v>
      </c>
      <c r="BF324" s="41">
        <f>IFERROR(VLOOKUP($A324,FoodRev[],4,0),0)</f>
        <v>0</v>
      </c>
      <c r="BG324" s="41">
        <f>IFERROR(VLOOKUP($A324,FoodRev[],5,0),0)</f>
        <v>1831146.8</v>
      </c>
      <c r="BH324" s="41">
        <f>IFERROR(VLOOKUP($A324,FoodRev[],6,0),0)</f>
        <v>0</v>
      </c>
      <c r="BI324" s="41">
        <f>IFERROR(VLOOKUP($A324,FoodRev[],7,0),0)</f>
        <v>0</v>
      </c>
      <c r="BJ324" s="41">
        <f>IFERROR(VLOOKUP($A324,FoodRev[],8,0),0)</f>
        <v>289325.67</v>
      </c>
      <c r="BK324" s="41">
        <f>IFERROR(VLOOKUP($A324,FoodRev[],9,0),0)</f>
        <v>0</v>
      </c>
      <c r="BL324" s="41">
        <f>IFERROR(VLOOKUP($A324,FoodRev[],10,0),0)</f>
        <v>0</v>
      </c>
      <c r="BM324" s="41">
        <f t="shared" si="72"/>
        <v>3175191.48</v>
      </c>
      <c r="BN324" s="42">
        <f t="shared" si="81"/>
        <v>-125683.70000000001</v>
      </c>
      <c r="BO324" s="78">
        <f t="shared" si="82"/>
        <v>0</v>
      </c>
      <c r="BP324" s="78">
        <f t="shared" si="74"/>
        <v>-125683.70000000001</v>
      </c>
    </row>
    <row r="325" spans="1:68" x14ac:dyDescent="0.25">
      <c r="A325" s="40" t="s">
        <v>302</v>
      </c>
      <c r="B325" s="40" t="s">
        <v>986</v>
      </c>
      <c r="D325" s="203">
        <f t="shared" si="69"/>
        <v>-1.862645149230957E-9</v>
      </c>
      <c r="E325" s="41">
        <f>IFERROR(VLOOKUP(A325,Items[],5,0),0)</f>
        <v>14091054.33</v>
      </c>
      <c r="F325" s="42">
        <f t="shared" si="70"/>
        <v>14091054.330000002</v>
      </c>
      <c r="G325" s="41">
        <v>0</v>
      </c>
      <c r="H325" s="41">
        <f>IFERROR(VLOOKUP(A325,Items[],4,0),0)</f>
        <v>21749128.260000002</v>
      </c>
      <c r="I325" s="41">
        <f>IFERROR(VLOOKUP(A325,Community[],4,0),0)</f>
        <v>0</v>
      </c>
      <c r="J325" s="41">
        <f>IFERROR(VLOOKUP(A325,Community[],5,0),0)</f>
        <v>0</v>
      </c>
      <c r="K325" s="41">
        <f>IFERROR(VLOOKUP(A325,Community[],6,0),0)</f>
        <v>60631.759999999995</v>
      </c>
      <c r="L325" s="41">
        <f>IFERROR(VLOOKUP(A325,Community[],7,0),0)</f>
        <v>4941.6500000000005</v>
      </c>
      <c r="M325" s="41">
        <f>IFERROR(VLOOKUP(A325,Debt[],3,0),0)</f>
        <v>0</v>
      </c>
      <c r="N325" s="41">
        <f>IFERROR(VLOOKUP(A325,Debt[],4,0),0)</f>
        <v>0</v>
      </c>
      <c r="O325" s="41">
        <f>IFERROR(VLOOKUP(A325,Debt[],5,0),0)</f>
        <v>0</v>
      </c>
      <c r="P325" s="41">
        <f>IFERROR(VLOOKUP(A325,Items[],3,0),0)</f>
        <v>27698.83</v>
      </c>
      <c r="Q325" s="41">
        <f>IFERROR(VLOOKUP($A325,Federal[],2,0),0)</f>
        <v>4964671</v>
      </c>
      <c r="R325" s="41">
        <f>IFERROR(VLOOKUP($A325,Federal[],4,0),0)</f>
        <v>2580399.06</v>
      </c>
      <c r="S325" s="41"/>
      <c r="T325" s="47">
        <f>IFERROR(VLOOKUP($A325,Program[],3,0),0)</f>
        <v>0</v>
      </c>
      <c r="U325" s="47"/>
      <c r="V325" s="41">
        <f>IFERROR(VLOOKUP($A325,Program[],4,0),0)</f>
        <v>0</v>
      </c>
      <c r="W325" s="41">
        <f>IFERROR(VLOOKUP($A325,Program[],5,0),0)</f>
        <v>0</v>
      </c>
      <c r="X325" s="41"/>
      <c r="Y325" s="41"/>
      <c r="Z325" s="41"/>
      <c r="AA325" s="41">
        <f>IFERROR(VLOOKUP($A325,Program[],6,0),0)</f>
        <v>0</v>
      </c>
      <c r="AB325" s="41"/>
      <c r="AC325" s="41"/>
      <c r="AD325" s="41">
        <f>IFERROR(VLOOKUP($A325,Program[],7,0),0)</f>
        <v>0</v>
      </c>
      <c r="AE325" s="41">
        <f>IFERROR(VLOOKUP($A325,Program[],8,0),0)</f>
        <v>0</v>
      </c>
      <c r="AF325" s="41">
        <f>IFERROR(VLOOKUP($A325,Program[],9,0),0)</f>
        <v>0</v>
      </c>
      <c r="AG325" s="41">
        <f>IFERROR(VLOOKUP($A325,Program[],10,0),0)</f>
        <v>0</v>
      </c>
      <c r="AH325" s="41">
        <f>IFERROR(VLOOKUP($A325,Program[],11,0),0)</f>
        <v>0</v>
      </c>
      <c r="AI325" s="41">
        <f>IFERROR(VLOOKUP($A325,Program[],12,0),0)</f>
        <v>0</v>
      </c>
      <c r="AJ325" s="41"/>
      <c r="AK325" s="41">
        <f>IFERROR(VLOOKUP($A325,Program[],13,0),0)</f>
        <v>0</v>
      </c>
      <c r="AL325" s="41"/>
      <c r="AM325" s="41"/>
      <c r="AN325" s="41"/>
      <c r="AO325" s="41"/>
      <c r="AP325" s="41"/>
      <c r="AQ325" s="41"/>
      <c r="AR325" s="41"/>
      <c r="AS325" s="41">
        <f>IFERROR(VLOOKUP($A325,Program[],14,0),0)</f>
        <v>0</v>
      </c>
      <c r="AT325" s="41"/>
      <c r="AU325" s="41"/>
      <c r="AV325" s="41">
        <f>IFERROR(VLOOKUP($A325,Program[],15,0),0)</f>
        <v>0</v>
      </c>
      <c r="AW325" s="41"/>
      <c r="AX325" s="41">
        <f>IFERROR(VLOOKUP($A325,Program[],16,0),0)</f>
        <v>0</v>
      </c>
      <c r="AY325" s="41">
        <f>IFERROR(VLOOKUP($A325,Program[],17,0),0)</f>
        <v>0</v>
      </c>
      <c r="AZ325" s="41">
        <f>IFERROR(VLOOKUP($A325,Program[],18,0),0)</f>
        <v>0</v>
      </c>
      <c r="BA325" s="41">
        <f>IFERROR(VLOOKUP($A325,Program[],19,0),0)</f>
        <v>0</v>
      </c>
      <c r="BB325" s="77">
        <f t="shared" si="71"/>
        <v>222637.25999999998</v>
      </c>
      <c r="BC325" s="41">
        <f>IFERROR(VLOOKUP(A325,Food[],3,0),0)</f>
        <v>932284.9</v>
      </c>
      <c r="BD325" s="41">
        <f>IFERROR(VLOOKUP($A325,FoodRev[],2,0),0)</f>
        <v>5563.25</v>
      </c>
      <c r="BE325" s="41">
        <f>IFERROR(VLOOKUP($A325,FoodRev[],3,0),0)</f>
        <v>14168.38</v>
      </c>
      <c r="BF325" s="41">
        <f>IFERROR(VLOOKUP($A325,FoodRev[],4,0),0)</f>
        <v>0</v>
      </c>
      <c r="BG325" s="41">
        <f>IFERROR(VLOOKUP($A325,FoodRev[],5,0),0)</f>
        <v>645106.16</v>
      </c>
      <c r="BH325" s="41">
        <f>IFERROR(VLOOKUP($A325,FoodRev[],6,0),0)</f>
        <v>0</v>
      </c>
      <c r="BI325" s="41">
        <f>IFERROR(VLOOKUP($A325,FoodRev[],7,0),0)</f>
        <v>0</v>
      </c>
      <c r="BJ325" s="41">
        <f>IFERROR(VLOOKUP($A325,FoodRev[],8,0),0)</f>
        <v>44809.85</v>
      </c>
      <c r="BK325" s="41">
        <f>IFERROR(VLOOKUP($A325,FoodRev[],9,0),0)</f>
        <v>0</v>
      </c>
      <c r="BL325" s="41">
        <f>IFERROR(VLOOKUP($A325,FoodRev[],10,0),0)</f>
        <v>0</v>
      </c>
      <c r="BM325" s="41">
        <f t="shared" si="72"/>
        <v>709647.64</v>
      </c>
      <c r="BN325" s="42">
        <f t="shared" si="81"/>
        <v>222637.25999999998</v>
      </c>
      <c r="BO325" s="78">
        <f t="shared" si="82"/>
        <v>222637.25999999998</v>
      </c>
      <c r="BP325" s="78">
        <f t="shared" si="74"/>
        <v>0</v>
      </c>
    </row>
    <row r="326" spans="1:68" x14ac:dyDescent="0.25">
      <c r="A326" s="45" t="s">
        <v>1165</v>
      </c>
      <c r="B326" s="40" t="s">
        <v>1166</v>
      </c>
      <c r="D326" s="203">
        <f t="shared" si="69"/>
        <v>0</v>
      </c>
      <c r="E326" s="41">
        <f>IFERROR(VLOOKUP(A326,Items[],5,0),0)</f>
        <v>1104631.29</v>
      </c>
      <c r="F326" s="42">
        <f t="shared" si="70"/>
        <v>1104631.29</v>
      </c>
      <c r="G326" s="41">
        <v>0</v>
      </c>
      <c r="H326" s="41">
        <f>IFERROR(VLOOKUP(A326,Items[],4,0),0)</f>
        <v>1119164.81</v>
      </c>
      <c r="I326" s="41">
        <f>IFERROR(VLOOKUP(A326,Community[],4,0),0)</f>
        <v>0</v>
      </c>
      <c r="J326" s="41">
        <f>IFERROR(VLOOKUP(A326,Community[],5,0),0)</f>
        <v>0</v>
      </c>
      <c r="K326" s="41">
        <f>IFERROR(VLOOKUP(A326,Community[],6,0),0)</f>
        <v>0</v>
      </c>
      <c r="L326" s="41">
        <f>IFERROR(VLOOKUP(A326,Community[],7,0),0)</f>
        <v>0</v>
      </c>
      <c r="M326" s="41">
        <f>IFERROR(VLOOKUP(A326,Debt[],3,0),0)</f>
        <v>0</v>
      </c>
      <c r="N326" s="41">
        <f>IFERROR(VLOOKUP(A326,Debt[],4,0),0)</f>
        <v>0</v>
      </c>
      <c r="O326" s="41">
        <f>IFERROR(VLOOKUP(A326,Debt[],5,0),0)</f>
        <v>0</v>
      </c>
      <c r="P326" s="41">
        <f>IFERROR(VLOOKUP(A326,Items[],3,0),0)</f>
        <v>14533.52</v>
      </c>
      <c r="Q326" s="41">
        <f>IFERROR(VLOOKUP($A326,Federal[],2,0),0)</f>
        <v>0</v>
      </c>
      <c r="R326" s="41">
        <f>IFERROR(VLOOKUP($A326,Federal[],4,0),0)</f>
        <v>0</v>
      </c>
      <c r="S326" s="81"/>
      <c r="T326" s="47">
        <f>IFERROR(VLOOKUP($A326,Program[],3,0),0)</f>
        <v>0</v>
      </c>
      <c r="U326" s="47"/>
      <c r="V326" s="41">
        <f>IFERROR(VLOOKUP($A326,Program[],4,0),0)</f>
        <v>0</v>
      </c>
      <c r="W326" s="41">
        <f>IFERROR(VLOOKUP($A326,Program[],5,0),0)</f>
        <v>0</v>
      </c>
      <c r="X326" s="41"/>
      <c r="Y326" s="41"/>
      <c r="Z326" s="41"/>
      <c r="AA326" s="41">
        <f>IFERROR(VLOOKUP($A326,Program[],6,0),0)</f>
        <v>0</v>
      </c>
      <c r="AB326" s="41"/>
      <c r="AC326" s="41"/>
      <c r="AD326" s="41">
        <f>IFERROR(VLOOKUP($A326,Program[],7,0),0)</f>
        <v>0</v>
      </c>
      <c r="AE326" s="41">
        <f>IFERROR(VLOOKUP($A326,Program[],8,0),0)</f>
        <v>0</v>
      </c>
      <c r="AF326" s="41">
        <f>IFERROR(VLOOKUP($A326,Program[],9,0),0)</f>
        <v>0</v>
      </c>
      <c r="AG326" s="41">
        <f>IFERROR(VLOOKUP($A326,Program[],10,0),0)</f>
        <v>0</v>
      </c>
      <c r="AH326" s="41">
        <f>IFERROR(VLOOKUP($A326,Program[],11,0),0)</f>
        <v>0</v>
      </c>
      <c r="AI326" s="41">
        <f>IFERROR(VLOOKUP($A326,Program[],12,0),0)</f>
        <v>0</v>
      </c>
      <c r="AJ326" s="41"/>
      <c r="AK326" s="41">
        <f>IFERROR(VLOOKUP($A326,Program[],13,0),0)</f>
        <v>0</v>
      </c>
      <c r="AL326" s="41"/>
      <c r="AM326" s="41"/>
      <c r="AN326" s="41"/>
      <c r="AO326" s="41"/>
      <c r="AP326" s="41"/>
      <c r="AQ326" s="41"/>
      <c r="AR326" s="41"/>
      <c r="AS326" s="41">
        <f>IFERROR(VLOOKUP($A326,Program[],14,0),0)</f>
        <v>0</v>
      </c>
      <c r="AT326" s="41"/>
      <c r="AU326" s="41"/>
      <c r="AV326" s="41">
        <f>IFERROR(VLOOKUP($A326,Program[],15,0),0)</f>
        <v>0</v>
      </c>
      <c r="AW326" s="41"/>
      <c r="AX326" s="41">
        <f>IFERROR(VLOOKUP($A326,Program[],16,0),0)</f>
        <v>0</v>
      </c>
      <c r="AY326" s="41">
        <f>IFERROR(VLOOKUP($A326,Program[],17,0),0)</f>
        <v>0</v>
      </c>
      <c r="AZ326" s="41">
        <f>IFERROR(VLOOKUP($A326,Program[],18,0),0)</f>
        <v>0</v>
      </c>
      <c r="BA326" s="41">
        <f>IFERROR(VLOOKUP($A326,Program[],19,0),0)</f>
        <v>0</v>
      </c>
      <c r="BB326" s="77">
        <f t="shared" si="71"/>
        <v>0</v>
      </c>
      <c r="BC326" s="41">
        <f>IFERROR(VLOOKUP(A326,Food[],3,0),0)</f>
        <v>0</v>
      </c>
      <c r="BD326" s="41">
        <f>IFERROR(VLOOKUP($A326,FoodRev[],2,0),0)</f>
        <v>0</v>
      </c>
      <c r="BE326" s="41">
        <f>IFERROR(VLOOKUP($A326,FoodRev[],3,0),0)</f>
        <v>0</v>
      </c>
      <c r="BF326" s="41">
        <f>IFERROR(VLOOKUP($A326,FoodRev[],4,0),0)</f>
        <v>0</v>
      </c>
      <c r="BG326" s="41">
        <f>IFERROR(VLOOKUP($A326,FoodRev[],5,0),0)</f>
        <v>0</v>
      </c>
      <c r="BH326" s="41">
        <f>IFERROR(VLOOKUP($A326,FoodRev[],6,0),0)</f>
        <v>0</v>
      </c>
      <c r="BI326" s="41">
        <f>IFERROR(VLOOKUP($A326,FoodRev[],7,0),0)</f>
        <v>0</v>
      </c>
      <c r="BJ326" s="41">
        <f>IFERROR(VLOOKUP($A326,FoodRev[],8,0),0)</f>
        <v>0</v>
      </c>
      <c r="BK326" s="41">
        <f>IFERROR(VLOOKUP($A326,FoodRev[],9,0),0)</f>
        <v>0</v>
      </c>
      <c r="BL326" s="41">
        <f>IFERROR(VLOOKUP($A326,FoodRev[],10,0),0)</f>
        <v>0</v>
      </c>
      <c r="BM326" s="81">
        <f t="shared" si="72"/>
        <v>0</v>
      </c>
      <c r="BN326" s="42">
        <f t="shared" si="81"/>
        <v>0</v>
      </c>
      <c r="BO326" s="82">
        <f t="shared" si="82"/>
        <v>0</v>
      </c>
      <c r="BP326" s="82">
        <f t="shared" si="74"/>
        <v>0</v>
      </c>
    </row>
    <row r="327" spans="1:68" x14ac:dyDescent="0.25">
      <c r="I327" s="41"/>
    </row>
  </sheetData>
  <sortState xmlns:xlrd2="http://schemas.microsoft.com/office/spreadsheetml/2017/richdata2" ref="A6:BP326">
    <sortCondition ref="A6:A326"/>
  </sortState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20FB2-0627-4755-8377-E70652299B90}">
  <sheetPr>
    <tabColor theme="7" tint="0.79998168889431442"/>
  </sheetPr>
  <dimension ref="B2:F326"/>
  <sheetViews>
    <sheetView workbookViewId="0">
      <selection activeCell="E2" sqref="E2"/>
    </sheetView>
  </sheetViews>
  <sheetFormatPr defaultRowHeight="15" x14ac:dyDescent="0.25"/>
  <cols>
    <col min="2" max="2" width="16.7109375" bestFit="1" customWidth="1"/>
    <col min="3" max="3" width="26" style="174" bestFit="1" customWidth="1"/>
    <col min="4" max="6" width="24.7109375" style="174" customWidth="1"/>
  </cols>
  <sheetData>
    <row r="2" spans="2:6" x14ac:dyDescent="0.25">
      <c r="B2" s="194" t="s">
        <v>1287</v>
      </c>
    </row>
    <row r="3" spans="2:6" s="98" customFormat="1" x14ac:dyDescent="0.25">
      <c r="B3" s="99">
        <v>1</v>
      </c>
      <c r="C3" s="99">
        <v>2</v>
      </c>
      <c r="D3" s="99">
        <v>3</v>
      </c>
      <c r="E3" s="99">
        <v>4</v>
      </c>
      <c r="F3" s="99">
        <v>5</v>
      </c>
    </row>
    <row r="4" spans="2:6" x14ac:dyDescent="0.25">
      <c r="B4" s="95"/>
      <c r="C4" s="175"/>
      <c r="D4" s="176" t="s">
        <v>620</v>
      </c>
      <c r="E4" s="176" t="s">
        <v>613</v>
      </c>
      <c r="F4" s="176" t="s">
        <v>621</v>
      </c>
    </row>
    <row r="5" spans="2:6" s="93" customFormat="1" ht="37.9" customHeight="1" x14ac:dyDescent="0.25">
      <c r="B5" s="94"/>
      <c r="C5" s="177"/>
      <c r="D5" s="178" t="s">
        <v>1204</v>
      </c>
      <c r="E5" s="178" t="s">
        <v>1203</v>
      </c>
      <c r="F5" s="178" t="s">
        <v>1202</v>
      </c>
    </row>
    <row r="6" spans="2:6" x14ac:dyDescent="0.25">
      <c r="B6" s="204" t="s">
        <v>1268</v>
      </c>
      <c r="C6" s="205" t="s">
        <v>1269</v>
      </c>
      <c r="D6" s="206" t="s">
        <v>1270</v>
      </c>
      <c r="E6" s="207" t="s">
        <v>1271</v>
      </c>
      <c r="F6" s="207" t="s">
        <v>1272</v>
      </c>
    </row>
    <row r="7" spans="2:6" x14ac:dyDescent="0.25">
      <c r="B7" s="90" t="s">
        <v>619</v>
      </c>
      <c r="C7" s="179"/>
      <c r="D7" s="174">
        <v>95143715.599999934</v>
      </c>
      <c r="E7" s="180">
        <v>21081063857.939999</v>
      </c>
      <c r="F7" s="180">
        <v>19290114013.360016</v>
      </c>
    </row>
    <row r="8" spans="2:6" x14ac:dyDescent="0.25">
      <c r="B8" s="90" t="s">
        <v>574</v>
      </c>
      <c r="C8" s="179" t="s">
        <v>575</v>
      </c>
      <c r="D8" s="180">
        <v>26438.400000000001</v>
      </c>
      <c r="E8" s="180">
        <v>2940519.66</v>
      </c>
      <c r="F8" s="180">
        <v>2753912.82</v>
      </c>
    </row>
    <row r="9" spans="2:6" x14ac:dyDescent="0.25">
      <c r="B9" s="90" t="s">
        <v>604</v>
      </c>
      <c r="C9" s="179" t="s">
        <v>605</v>
      </c>
      <c r="D9" s="180">
        <v>14639.65</v>
      </c>
      <c r="E9" s="180">
        <v>559913.15</v>
      </c>
      <c r="F9" s="180">
        <v>526327.53</v>
      </c>
    </row>
    <row r="10" spans="2:6" x14ac:dyDescent="0.25">
      <c r="B10" s="90" t="s">
        <v>134</v>
      </c>
      <c r="C10" s="179" t="s">
        <v>135</v>
      </c>
      <c r="D10" s="180">
        <v>717712.6</v>
      </c>
      <c r="E10" s="180">
        <v>81567922.599999994</v>
      </c>
      <c r="F10" s="180">
        <v>71986146.400000006</v>
      </c>
    </row>
    <row r="11" spans="2:6" x14ac:dyDescent="0.25">
      <c r="B11" s="90" t="s">
        <v>478</v>
      </c>
      <c r="C11" s="179" t="s">
        <v>479</v>
      </c>
      <c r="D11" s="180">
        <v>15359.28</v>
      </c>
      <c r="E11" s="180">
        <v>5852340.6500000004</v>
      </c>
      <c r="F11" s="180">
        <v>5301864.28</v>
      </c>
    </row>
    <row r="12" spans="2:6" x14ac:dyDescent="0.25">
      <c r="B12" s="90" t="s">
        <v>410</v>
      </c>
      <c r="C12" s="179" t="s">
        <v>411</v>
      </c>
      <c r="D12" s="180"/>
      <c r="E12" s="180">
        <v>6899270.2699999996</v>
      </c>
      <c r="F12" s="180">
        <v>6398285.7199999997</v>
      </c>
    </row>
    <row r="13" spans="2:6" x14ac:dyDescent="0.25">
      <c r="B13" s="90" t="s">
        <v>196</v>
      </c>
      <c r="C13" s="179" t="s">
        <v>197</v>
      </c>
      <c r="D13" s="180">
        <v>109806.89</v>
      </c>
      <c r="E13" s="180">
        <v>44774173.579999998</v>
      </c>
      <c r="F13" s="180">
        <v>40261219.039999999</v>
      </c>
    </row>
    <row r="14" spans="2:6" x14ac:dyDescent="0.25">
      <c r="B14" s="90" t="s">
        <v>346</v>
      </c>
      <c r="C14" s="179" t="s">
        <v>347</v>
      </c>
      <c r="D14" s="180">
        <v>81936.639999999999</v>
      </c>
      <c r="E14" s="180">
        <v>11460156.470000001</v>
      </c>
      <c r="F14" s="180">
        <v>10593771.460000001</v>
      </c>
    </row>
    <row r="15" spans="2:6" x14ac:dyDescent="0.25">
      <c r="B15" s="90" t="s">
        <v>36</v>
      </c>
      <c r="C15" s="179" t="s">
        <v>37</v>
      </c>
      <c r="D15" s="180">
        <v>1308312.6200000001</v>
      </c>
      <c r="E15" s="180">
        <v>320010497.24000001</v>
      </c>
      <c r="F15" s="180">
        <v>288143568.54000002</v>
      </c>
    </row>
    <row r="16" spans="2:6" x14ac:dyDescent="0.25">
      <c r="B16" s="90" t="s">
        <v>510</v>
      </c>
      <c r="C16" s="179" t="s">
        <v>511</v>
      </c>
      <c r="E16" s="180">
        <v>3002412.54</v>
      </c>
      <c r="F16" s="180">
        <v>2765650.73</v>
      </c>
    </row>
    <row r="17" spans="2:6" x14ac:dyDescent="0.25">
      <c r="B17" s="90" t="s">
        <v>254</v>
      </c>
      <c r="C17" s="179" t="s">
        <v>255</v>
      </c>
      <c r="D17" s="180">
        <v>20907.38</v>
      </c>
      <c r="E17" s="180">
        <v>24866510.640000001</v>
      </c>
      <c r="F17" s="180">
        <v>22295697.77</v>
      </c>
    </row>
    <row r="18" spans="2:6" x14ac:dyDescent="0.25">
      <c r="B18" s="90" t="s">
        <v>308</v>
      </c>
      <c r="C18" s="179" t="s">
        <v>309</v>
      </c>
      <c r="D18" s="180">
        <v>109748.22</v>
      </c>
      <c r="E18" s="180">
        <v>15508160.41</v>
      </c>
      <c r="F18" s="180">
        <v>13840983.130000001</v>
      </c>
    </row>
    <row r="19" spans="2:6" x14ac:dyDescent="0.25">
      <c r="B19" s="90" t="s">
        <v>194</v>
      </c>
      <c r="C19" s="179" t="s">
        <v>195</v>
      </c>
      <c r="D19" s="180">
        <v>27503.46</v>
      </c>
      <c r="E19" s="180">
        <v>46910769.259999998</v>
      </c>
      <c r="F19" s="180">
        <v>42162347.210000001</v>
      </c>
    </row>
    <row r="20" spans="2:6" x14ac:dyDescent="0.25">
      <c r="B20" s="90" t="s">
        <v>52</v>
      </c>
      <c r="C20" s="179" t="s">
        <v>53</v>
      </c>
      <c r="D20" s="174">
        <v>306944.78000000003</v>
      </c>
      <c r="E20" s="180">
        <v>234413680.72999999</v>
      </c>
      <c r="F20" s="180">
        <v>216542487.34</v>
      </c>
    </row>
    <row r="21" spans="2:6" x14ac:dyDescent="0.25">
      <c r="B21" s="90" t="s">
        <v>344</v>
      </c>
      <c r="C21" s="179" t="s">
        <v>345</v>
      </c>
      <c r="D21" s="180">
        <v>51692.95</v>
      </c>
      <c r="E21" s="180">
        <v>13312431.27</v>
      </c>
      <c r="F21" s="180">
        <v>11679383.65</v>
      </c>
    </row>
    <row r="22" spans="2:6" x14ac:dyDescent="0.25">
      <c r="B22" s="90" t="s">
        <v>610</v>
      </c>
      <c r="C22" s="179" t="s">
        <v>611</v>
      </c>
      <c r="D22" s="180"/>
      <c r="E22" s="180">
        <v>364949.12</v>
      </c>
      <c r="F22" s="180">
        <v>364900.14</v>
      </c>
    </row>
    <row r="23" spans="2:6" x14ac:dyDescent="0.25">
      <c r="B23" s="90" t="s">
        <v>412</v>
      </c>
      <c r="C23" s="179" t="s">
        <v>413</v>
      </c>
      <c r="D23" s="180"/>
      <c r="E23" s="180">
        <v>8439629.7899999991</v>
      </c>
      <c r="F23" s="180">
        <v>7790301.5999999996</v>
      </c>
    </row>
    <row r="24" spans="2:6" x14ac:dyDescent="0.25">
      <c r="B24" s="90" t="s">
        <v>252</v>
      </c>
      <c r="C24" s="179" t="s">
        <v>253</v>
      </c>
      <c r="D24" s="180">
        <v>54645.32</v>
      </c>
      <c r="E24" s="180">
        <v>23830975.710000001</v>
      </c>
      <c r="F24" s="180">
        <v>21485865.289999999</v>
      </c>
    </row>
    <row r="25" spans="2:6" x14ac:dyDescent="0.25">
      <c r="B25" s="90" t="s">
        <v>244</v>
      </c>
      <c r="C25" s="179" t="s">
        <v>245</v>
      </c>
      <c r="D25" s="180">
        <v>288316.06</v>
      </c>
      <c r="E25" s="180">
        <v>26847596.32</v>
      </c>
      <c r="F25" s="180">
        <v>24632901.059999999</v>
      </c>
    </row>
    <row r="26" spans="2:6" x14ac:dyDescent="0.25">
      <c r="B26" s="90" t="s">
        <v>268</v>
      </c>
      <c r="C26" s="179" t="s">
        <v>269</v>
      </c>
      <c r="D26" s="180">
        <v>29622.82</v>
      </c>
      <c r="E26" s="180">
        <v>21631630.140000001</v>
      </c>
      <c r="F26" s="180">
        <v>20551260.329999998</v>
      </c>
    </row>
    <row r="27" spans="2:6" x14ac:dyDescent="0.25">
      <c r="B27" s="90" t="s">
        <v>86</v>
      </c>
      <c r="C27" s="179" t="s">
        <v>87</v>
      </c>
      <c r="D27" s="180">
        <v>1329223.26</v>
      </c>
      <c r="E27" s="180">
        <v>128601993.23</v>
      </c>
      <c r="F27" s="180">
        <v>114799068.67</v>
      </c>
    </row>
    <row r="28" spans="2:6" x14ac:dyDescent="0.25">
      <c r="B28" s="90" t="s">
        <v>1200</v>
      </c>
      <c r="C28" s="179" t="s">
        <v>1199</v>
      </c>
      <c r="D28" s="180">
        <v>78223.86</v>
      </c>
      <c r="E28" s="180">
        <v>4752040.6399999997</v>
      </c>
      <c r="F28" s="180">
        <v>4264571.68</v>
      </c>
    </row>
    <row r="29" spans="2:6" x14ac:dyDescent="0.25">
      <c r="B29" s="90" t="s">
        <v>146</v>
      </c>
      <c r="C29" s="179" t="s">
        <v>147</v>
      </c>
      <c r="D29" s="180">
        <v>55288.25</v>
      </c>
      <c r="E29" s="180">
        <v>59818936.890000001</v>
      </c>
      <c r="F29" s="180">
        <v>54453978.700000003</v>
      </c>
    </row>
    <row r="30" spans="2:6" x14ac:dyDescent="0.25">
      <c r="B30" s="90" t="s">
        <v>422</v>
      </c>
      <c r="C30" s="179" t="s">
        <v>423</v>
      </c>
      <c r="D30" s="180">
        <v>83256.240000000005</v>
      </c>
      <c r="E30" s="180">
        <v>7586005.79</v>
      </c>
      <c r="F30" s="180">
        <v>7052330.79</v>
      </c>
    </row>
    <row r="31" spans="2:6" x14ac:dyDescent="0.25">
      <c r="B31" s="90" t="s">
        <v>188</v>
      </c>
      <c r="C31" s="179" t="s">
        <v>189</v>
      </c>
      <c r="D31" s="180">
        <v>128171.13</v>
      </c>
      <c r="E31" s="180">
        <v>46824696.859999999</v>
      </c>
      <c r="F31" s="180">
        <v>43590456.619999997</v>
      </c>
    </row>
    <row r="32" spans="2:6" x14ac:dyDescent="0.25">
      <c r="B32" s="90" t="s">
        <v>388</v>
      </c>
      <c r="C32" s="179" t="s">
        <v>389</v>
      </c>
      <c r="D32" s="180"/>
      <c r="E32" s="180">
        <v>14547278.699999999</v>
      </c>
      <c r="F32" s="180">
        <v>9320767.5600000005</v>
      </c>
    </row>
    <row r="33" spans="2:6" x14ac:dyDescent="0.25">
      <c r="B33" s="90" t="s">
        <v>184</v>
      </c>
      <c r="C33" s="179" t="s">
        <v>185</v>
      </c>
      <c r="D33" s="180">
        <v>269906.49</v>
      </c>
      <c r="E33" s="180">
        <v>60432934.439999998</v>
      </c>
      <c r="F33" s="180">
        <v>56678074.390000001</v>
      </c>
    </row>
    <row r="34" spans="2:6" x14ac:dyDescent="0.25">
      <c r="B34" s="90" t="s">
        <v>556</v>
      </c>
      <c r="C34" s="179" t="s">
        <v>557</v>
      </c>
      <c r="D34" s="180"/>
      <c r="E34" s="180">
        <v>2873808.44</v>
      </c>
      <c r="F34" s="180">
        <v>2782487</v>
      </c>
    </row>
    <row r="35" spans="2:6" x14ac:dyDescent="0.25">
      <c r="B35" s="90" t="s">
        <v>16</v>
      </c>
      <c r="C35" s="179" t="s">
        <v>17</v>
      </c>
      <c r="D35" s="180">
        <v>2116180.1</v>
      </c>
      <c r="E35" s="180">
        <v>428103520.81999999</v>
      </c>
      <c r="F35" s="180">
        <v>392248612.83999997</v>
      </c>
    </row>
    <row r="36" spans="2:6" x14ac:dyDescent="0.25">
      <c r="B36" s="90" t="s">
        <v>228</v>
      </c>
      <c r="C36" s="179" t="s">
        <v>229</v>
      </c>
      <c r="D36" s="174">
        <v>438632.22</v>
      </c>
      <c r="E36" s="180">
        <v>35038227.630000003</v>
      </c>
      <c r="F36" s="180">
        <v>32658043.870000001</v>
      </c>
    </row>
    <row r="37" spans="2:6" x14ac:dyDescent="0.25">
      <c r="B37" s="90" t="s">
        <v>240</v>
      </c>
      <c r="C37" s="179" t="s">
        <v>241</v>
      </c>
      <c r="D37" s="180">
        <v>14266.64</v>
      </c>
      <c r="E37" s="180">
        <v>30830958.469999999</v>
      </c>
      <c r="F37" s="180">
        <v>29252190.789999999</v>
      </c>
    </row>
    <row r="38" spans="2:6" x14ac:dyDescent="0.25">
      <c r="B38" s="90" t="s">
        <v>498</v>
      </c>
      <c r="C38" s="179" t="s">
        <v>499</v>
      </c>
      <c r="D38" s="180">
        <v>6493.5</v>
      </c>
      <c r="E38" s="180">
        <v>3150499.1</v>
      </c>
      <c r="F38" s="180">
        <v>3000812.94</v>
      </c>
    </row>
    <row r="39" spans="2:6" x14ac:dyDescent="0.25">
      <c r="B39" s="90" t="s">
        <v>174</v>
      </c>
      <c r="C39" s="179" t="s">
        <v>175</v>
      </c>
      <c r="D39" s="180">
        <v>351729.72</v>
      </c>
      <c r="E39" s="180">
        <v>49224618.07</v>
      </c>
      <c r="F39" s="180">
        <v>45909492.450000003</v>
      </c>
    </row>
    <row r="40" spans="2:6" x14ac:dyDescent="0.25">
      <c r="B40" s="90" t="s">
        <v>14</v>
      </c>
      <c r="C40" s="179" t="s">
        <v>15</v>
      </c>
      <c r="D40" s="180">
        <v>8186654.4400000004</v>
      </c>
      <c r="E40" s="180">
        <v>440213647.82999998</v>
      </c>
      <c r="F40" s="180">
        <v>403422132.69999999</v>
      </c>
    </row>
    <row r="41" spans="2:6" x14ac:dyDescent="0.25">
      <c r="B41" s="90" t="s">
        <v>88</v>
      </c>
      <c r="C41" s="179" t="s">
        <v>89</v>
      </c>
      <c r="D41" s="180">
        <v>69008.240000000005</v>
      </c>
      <c r="E41" s="180">
        <v>127587744.25</v>
      </c>
      <c r="F41" s="180">
        <v>119732401.19</v>
      </c>
    </row>
    <row r="42" spans="2:6" x14ac:dyDescent="0.25">
      <c r="B42" s="90" t="s">
        <v>54</v>
      </c>
      <c r="C42" s="179" t="s">
        <v>55</v>
      </c>
      <c r="D42" s="180">
        <v>708611.85</v>
      </c>
      <c r="E42" s="180">
        <v>230769042.77000001</v>
      </c>
      <c r="F42" s="180">
        <v>218199756.69</v>
      </c>
    </row>
    <row r="43" spans="2:6" x14ac:dyDescent="0.25">
      <c r="B43" s="90" t="s">
        <v>192</v>
      </c>
      <c r="C43" s="179" t="s">
        <v>193</v>
      </c>
      <c r="D43" s="174">
        <v>499752.83</v>
      </c>
      <c r="E43" s="180">
        <v>68236180.420000002</v>
      </c>
      <c r="F43" s="180">
        <v>63798394.119999997</v>
      </c>
    </row>
    <row r="44" spans="2:6" x14ac:dyDescent="0.25">
      <c r="B44" s="90" t="s">
        <v>1253</v>
      </c>
      <c r="C44" s="179" t="s">
        <v>1254</v>
      </c>
      <c r="D44" s="180"/>
      <c r="E44" s="180">
        <v>2106008.59</v>
      </c>
      <c r="F44" s="180">
        <v>1638702.55</v>
      </c>
    </row>
    <row r="45" spans="2:6" x14ac:dyDescent="0.25">
      <c r="B45" s="90" t="s">
        <v>402</v>
      </c>
      <c r="C45" s="179" t="s">
        <v>403</v>
      </c>
      <c r="D45" s="180">
        <v>93560.66</v>
      </c>
      <c r="E45" s="180">
        <v>8065091.8700000001</v>
      </c>
      <c r="F45" s="180">
        <v>7545103.6600000001</v>
      </c>
    </row>
    <row r="46" spans="2:6" x14ac:dyDescent="0.25">
      <c r="B46" s="90" t="s">
        <v>598</v>
      </c>
      <c r="C46" s="179" t="s">
        <v>599</v>
      </c>
      <c r="D46" s="180"/>
      <c r="E46" s="180">
        <v>9477932.4399999995</v>
      </c>
      <c r="F46" s="180">
        <v>9420587.1300000008</v>
      </c>
    </row>
    <row r="47" spans="2:6" x14ac:dyDescent="0.25">
      <c r="B47" s="90" t="s">
        <v>100</v>
      </c>
      <c r="C47" s="179" t="s">
        <v>101</v>
      </c>
      <c r="D47" s="180">
        <v>76524.960000000006</v>
      </c>
      <c r="E47" s="180">
        <v>116904954.23999999</v>
      </c>
      <c r="F47" s="180">
        <v>107263120.45</v>
      </c>
    </row>
    <row r="48" spans="2:6" x14ac:dyDescent="0.25">
      <c r="B48" s="90" t="s">
        <v>348</v>
      </c>
      <c r="C48" s="179" t="s">
        <v>349</v>
      </c>
      <c r="D48" s="180">
        <v>23048.38</v>
      </c>
      <c r="E48" s="180">
        <v>12227765.59</v>
      </c>
      <c r="F48" s="180">
        <v>11405912.23</v>
      </c>
    </row>
    <row r="49" spans="2:6" x14ac:dyDescent="0.25">
      <c r="B49" s="90" t="s">
        <v>272</v>
      </c>
      <c r="C49" s="179" t="s">
        <v>273</v>
      </c>
      <c r="D49" s="180">
        <v>5024.3</v>
      </c>
      <c r="E49" s="180">
        <v>24096770.859999999</v>
      </c>
      <c r="F49" s="180">
        <v>22489736.079999998</v>
      </c>
    </row>
    <row r="50" spans="2:6" x14ac:dyDescent="0.25">
      <c r="B50" s="90" t="s">
        <v>300</v>
      </c>
      <c r="C50" s="179" t="s">
        <v>301</v>
      </c>
      <c r="D50" s="180">
        <v>208224.38</v>
      </c>
      <c r="E50" s="180">
        <v>19888575.09</v>
      </c>
      <c r="F50" s="180">
        <v>18658583.649999999</v>
      </c>
    </row>
    <row r="51" spans="2:6" x14ac:dyDescent="0.25">
      <c r="B51" s="90" t="s">
        <v>204</v>
      </c>
      <c r="C51" s="179" t="s">
        <v>205</v>
      </c>
      <c r="D51" s="180">
        <v>40115.58</v>
      </c>
      <c r="E51" s="180">
        <v>47824344.939999998</v>
      </c>
      <c r="F51" s="180">
        <v>44513740.140000001</v>
      </c>
    </row>
    <row r="52" spans="2:6" x14ac:dyDescent="0.25">
      <c r="B52" s="90" t="s">
        <v>122</v>
      </c>
      <c r="C52" s="179" t="s">
        <v>123</v>
      </c>
      <c r="D52" s="174">
        <v>152266.37</v>
      </c>
      <c r="E52" s="180">
        <v>90458528.450000003</v>
      </c>
      <c r="F52" s="180">
        <v>82198282.549999997</v>
      </c>
    </row>
    <row r="53" spans="2:6" x14ac:dyDescent="0.25">
      <c r="B53" s="90" t="s">
        <v>482</v>
      </c>
      <c r="C53" s="179" t="s">
        <v>483</v>
      </c>
      <c r="D53" s="180">
        <v>27047.82</v>
      </c>
      <c r="E53" s="180">
        <v>4065483.81</v>
      </c>
      <c r="F53" s="180">
        <v>3088362.53</v>
      </c>
    </row>
    <row r="54" spans="2:6" x14ac:dyDescent="0.25">
      <c r="B54" s="90" t="s">
        <v>316</v>
      </c>
      <c r="C54" s="179" t="s">
        <v>317</v>
      </c>
      <c r="D54" s="180">
        <v>182438.32</v>
      </c>
      <c r="E54" s="180">
        <v>13888690.24</v>
      </c>
      <c r="F54" s="180">
        <v>11947456.619999999</v>
      </c>
    </row>
    <row r="55" spans="2:6" x14ac:dyDescent="0.25">
      <c r="B55" s="90" t="s">
        <v>594</v>
      </c>
      <c r="C55" s="179" t="s">
        <v>595</v>
      </c>
      <c r="D55" s="180">
        <v>6085.28</v>
      </c>
      <c r="E55" s="180">
        <v>1004911.54</v>
      </c>
      <c r="F55" s="180">
        <v>874290.75</v>
      </c>
    </row>
    <row r="56" spans="2:6" x14ac:dyDescent="0.25">
      <c r="B56" s="90" t="s">
        <v>102</v>
      </c>
      <c r="C56" s="179" t="s">
        <v>103</v>
      </c>
      <c r="D56" s="174">
        <v>506932.04</v>
      </c>
      <c r="E56" s="180">
        <v>102900252.37</v>
      </c>
      <c r="F56" s="180">
        <v>93654658.099999994</v>
      </c>
    </row>
    <row r="57" spans="2:6" x14ac:dyDescent="0.25">
      <c r="B57" s="90" t="s">
        <v>524</v>
      </c>
      <c r="C57" s="179" t="s">
        <v>525</v>
      </c>
      <c r="D57" s="174">
        <v>115249.86</v>
      </c>
      <c r="E57" s="180">
        <v>3438498.77</v>
      </c>
      <c r="F57" s="180">
        <v>3126307.7</v>
      </c>
    </row>
    <row r="58" spans="2:6" x14ac:dyDescent="0.25">
      <c r="B58" s="90" t="s">
        <v>432</v>
      </c>
      <c r="C58" s="179" t="s">
        <v>433</v>
      </c>
      <c r="D58" s="180">
        <v>102513.5</v>
      </c>
      <c r="E58" s="180">
        <v>6024860.3200000003</v>
      </c>
      <c r="F58" s="180">
        <v>5443226.6500000004</v>
      </c>
    </row>
    <row r="59" spans="2:6" x14ac:dyDescent="0.25">
      <c r="B59" s="90" t="s">
        <v>588</v>
      </c>
      <c r="C59" s="179" t="s">
        <v>589</v>
      </c>
      <c r="E59" s="180">
        <v>1799333.36</v>
      </c>
      <c r="F59" s="180">
        <v>1048938.6100000001</v>
      </c>
    </row>
    <row r="60" spans="2:6" x14ac:dyDescent="0.25">
      <c r="B60" s="90" t="s">
        <v>488</v>
      </c>
      <c r="C60" s="179" t="s">
        <v>489</v>
      </c>
      <c r="D60" s="180"/>
      <c r="E60" s="180">
        <v>5701624.3799999999</v>
      </c>
      <c r="F60" s="180">
        <v>5144281.7</v>
      </c>
    </row>
    <row r="61" spans="2:6" x14ac:dyDescent="0.25">
      <c r="B61" s="90" t="s">
        <v>562</v>
      </c>
      <c r="C61" s="179" t="s">
        <v>563</v>
      </c>
      <c r="D61" s="180">
        <v>11850.14</v>
      </c>
      <c r="E61" s="180">
        <v>1391978.02</v>
      </c>
      <c r="F61" s="180">
        <v>1196490.3</v>
      </c>
    </row>
    <row r="62" spans="2:6" x14ac:dyDescent="0.25">
      <c r="B62" s="90" t="s">
        <v>462</v>
      </c>
      <c r="C62" s="179" t="s">
        <v>463</v>
      </c>
      <c r="D62" s="180">
        <v>430931.32</v>
      </c>
      <c r="E62" s="180">
        <v>7470537.2300000004</v>
      </c>
      <c r="F62" s="180">
        <v>4995494.43</v>
      </c>
    </row>
    <row r="63" spans="2:6" x14ac:dyDescent="0.25">
      <c r="B63" s="90" t="s">
        <v>408</v>
      </c>
      <c r="C63" s="179" t="s">
        <v>409</v>
      </c>
      <c r="D63" s="174">
        <v>1788011.37</v>
      </c>
      <c r="E63" s="180">
        <v>11149291.26</v>
      </c>
      <c r="F63" s="180">
        <v>8610473.2899999991</v>
      </c>
    </row>
    <row r="64" spans="2:6" x14ac:dyDescent="0.25">
      <c r="B64" s="90" t="s">
        <v>38</v>
      </c>
      <c r="C64" s="179" t="s">
        <v>39</v>
      </c>
      <c r="D64" s="180">
        <v>99042.55</v>
      </c>
      <c r="E64" s="180">
        <v>335080465.91000003</v>
      </c>
      <c r="F64" s="180">
        <v>304680334.22000003</v>
      </c>
    </row>
    <row r="65" spans="2:6" x14ac:dyDescent="0.25">
      <c r="B65" s="90" t="s">
        <v>216</v>
      </c>
      <c r="C65" s="179" t="s">
        <v>217</v>
      </c>
      <c r="D65" s="180">
        <v>321492.74</v>
      </c>
      <c r="E65" s="180">
        <v>37060257.020000003</v>
      </c>
      <c r="F65" s="180">
        <v>32939450.510000002</v>
      </c>
    </row>
    <row r="66" spans="2:6" x14ac:dyDescent="0.25">
      <c r="B66" s="90" t="s">
        <v>606</v>
      </c>
      <c r="C66" s="179" t="s">
        <v>607</v>
      </c>
      <c r="D66" s="180"/>
      <c r="E66" s="180">
        <v>616643.06999999995</v>
      </c>
      <c r="F66" s="180">
        <v>588715.98</v>
      </c>
    </row>
    <row r="67" spans="2:6" x14ac:dyDescent="0.25">
      <c r="B67" s="90" t="s">
        <v>576</v>
      </c>
      <c r="C67" s="179" t="s">
        <v>577</v>
      </c>
      <c r="D67" s="180">
        <v>56734.91</v>
      </c>
      <c r="E67" s="180">
        <v>2955250.61</v>
      </c>
      <c r="F67" s="180">
        <v>2833361.35</v>
      </c>
    </row>
    <row r="68" spans="2:6" x14ac:dyDescent="0.25">
      <c r="B68" s="90" t="s">
        <v>426</v>
      </c>
      <c r="C68" s="179" t="s">
        <v>427</v>
      </c>
      <c r="D68" s="180">
        <v>151784.98000000001</v>
      </c>
      <c r="E68" s="180">
        <v>7495747.0899999999</v>
      </c>
      <c r="F68" s="180">
        <v>6781807.6299999999</v>
      </c>
    </row>
    <row r="69" spans="2:6" x14ac:dyDescent="0.25">
      <c r="B69" s="90" t="s">
        <v>206</v>
      </c>
      <c r="C69" s="179" t="s">
        <v>207</v>
      </c>
      <c r="D69" s="174">
        <v>500787.7</v>
      </c>
      <c r="E69" s="180">
        <v>49190498.130000003</v>
      </c>
      <c r="F69" s="180">
        <v>39088152.659999996</v>
      </c>
    </row>
    <row r="70" spans="2:6" x14ac:dyDescent="0.25">
      <c r="B70" s="90" t="s">
        <v>180</v>
      </c>
      <c r="C70" s="179" t="s">
        <v>181</v>
      </c>
      <c r="D70" s="180">
        <v>51282</v>
      </c>
      <c r="E70" s="180">
        <v>59694929.229999997</v>
      </c>
      <c r="F70" s="180">
        <v>54270365.140000001</v>
      </c>
    </row>
    <row r="71" spans="2:6" x14ac:dyDescent="0.25">
      <c r="B71" s="90" t="s">
        <v>294</v>
      </c>
      <c r="C71" s="179" t="s">
        <v>295</v>
      </c>
      <c r="D71" s="180">
        <v>68349.03</v>
      </c>
      <c r="E71" s="180">
        <v>17216726.969999999</v>
      </c>
      <c r="F71" s="180">
        <v>15407544.720000001</v>
      </c>
    </row>
    <row r="72" spans="2:6" x14ac:dyDescent="0.25">
      <c r="B72" s="90" t="s">
        <v>472</v>
      </c>
      <c r="C72" s="179" t="s">
        <v>473</v>
      </c>
      <c r="D72" s="180"/>
      <c r="E72" s="180">
        <v>4605159.05</v>
      </c>
      <c r="F72" s="180">
        <v>4176203.67</v>
      </c>
    </row>
    <row r="73" spans="2:6" x14ac:dyDescent="0.25">
      <c r="B73" s="90" t="s">
        <v>386</v>
      </c>
      <c r="C73" s="179" t="s">
        <v>387</v>
      </c>
      <c r="D73" s="180">
        <v>13656.56</v>
      </c>
      <c r="E73" s="180">
        <v>10860101.140000001</v>
      </c>
      <c r="F73" s="180">
        <v>9548998.6999999993</v>
      </c>
    </row>
    <row r="74" spans="2:6" x14ac:dyDescent="0.25">
      <c r="B74" s="90" t="s">
        <v>234</v>
      </c>
      <c r="C74" s="179" t="s">
        <v>235</v>
      </c>
      <c r="D74" s="174">
        <v>126778.26</v>
      </c>
      <c r="E74" s="180">
        <v>30675885.629999999</v>
      </c>
      <c r="F74" s="180">
        <v>27966846.77</v>
      </c>
    </row>
    <row r="75" spans="2:6" x14ac:dyDescent="0.25">
      <c r="B75" s="90" t="s">
        <v>80</v>
      </c>
      <c r="C75" s="179" t="s">
        <v>81</v>
      </c>
      <c r="D75" s="180">
        <v>525827.39</v>
      </c>
      <c r="E75" s="180">
        <v>128701353.76000001</v>
      </c>
      <c r="F75" s="180">
        <v>114165475.89</v>
      </c>
    </row>
    <row r="76" spans="2:6" x14ac:dyDescent="0.25">
      <c r="B76" s="90" t="s">
        <v>200</v>
      </c>
      <c r="C76" s="179" t="s">
        <v>201</v>
      </c>
      <c r="D76" s="180">
        <v>886875.35</v>
      </c>
      <c r="E76" s="180">
        <v>48622527.829999998</v>
      </c>
      <c r="F76" s="180">
        <v>42686918.450000003</v>
      </c>
    </row>
    <row r="77" spans="2:6" x14ac:dyDescent="0.25">
      <c r="B77" s="90" t="s">
        <v>506</v>
      </c>
      <c r="C77" s="179" t="s">
        <v>507</v>
      </c>
      <c r="D77" s="180"/>
      <c r="E77" s="180">
        <v>3594944.96</v>
      </c>
      <c r="F77" s="180">
        <v>3435111.12</v>
      </c>
    </row>
    <row r="78" spans="2:6" x14ac:dyDescent="0.25">
      <c r="B78" s="90" t="s">
        <v>336</v>
      </c>
      <c r="C78" s="179" t="s">
        <v>337</v>
      </c>
      <c r="D78" s="180"/>
      <c r="E78" s="180">
        <v>13944019.43</v>
      </c>
      <c r="F78" s="180">
        <v>11552706.529999999</v>
      </c>
    </row>
    <row r="79" spans="2:6" x14ac:dyDescent="0.25">
      <c r="B79" s="90" t="s">
        <v>162</v>
      </c>
      <c r="C79" s="179" t="s">
        <v>163</v>
      </c>
      <c r="D79" s="174">
        <v>269246.55</v>
      </c>
      <c r="E79" s="180">
        <v>62704189.359999999</v>
      </c>
      <c r="F79" s="180">
        <v>53331538.369999997</v>
      </c>
    </row>
    <row r="80" spans="2:6" x14ac:dyDescent="0.25">
      <c r="B80" s="90" t="s">
        <v>238</v>
      </c>
      <c r="C80" s="179" t="s">
        <v>239</v>
      </c>
      <c r="D80" s="180">
        <v>123562.73</v>
      </c>
      <c r="E80" s="180">
        <v>32003265.32</v>
      </c>
      <c r="F80" s="180">
        <v>27961087.370000001</v>
      </c>
    </row>
    <row r="81" spans="2:6" x14ac:dyDescent="0.25">
      <c r="B81" s="90" t="s">
        <v>342</v>
      </c>
      <c r="C81" s="179" t="s">
        <v>343</v>
      </c>
      <c r="D81" s="180"/>
      <c r="E81" s="180">
        <v>13516801.68</v>
      </c>
      <c r="F81" s="180">
        <v>11581840.550000001</v>
      </c>
    </row>
    <row r="82" spans="2:6" x14ac:dyDescent="0.25">
      <c r="B82" s="90" t="s">
        <v>414</v>
      </c>
      <c r="C82" s="179" t="s">
        <v>415</v>
      </c>
      <c r="D82" s="180"/>
      <c r="E82" s="180">
        <v>6652301.2400000002</v>
      </c>
      <c r="F82" s="180">
        <v>5681723.6200000001</v>
      </c>
    </row>
    <row r="83" spans="2:6" x14ac:dyDescent="0.25">
      <c r="B83" s="90" t="s">
        <v>260</v>
      </c>
      <c r="C83" s="179" t="s">
        <v>261</v>
      </c>
      <c r="D83" s="180">
        <v>24655.74</v>
      </c>
      <c r="E83" s="180">
        <v>25028878.98</v>
      </c>
      <c r="F83" s="180">
        <v>23452876.48</v>
      </c>
    </row>
    <row r="84" spans="2:6" x14ac:dyDescent="0.25">
      <c r="B84" s="90" t="s">
        <v>256</v>
      </c>
      <c r="C84" s="179" t="s">
        <v>257</v>
      </c>
      <c r="D84" s="174">
        <v>394728.81</v>
      </c>
      <c r="E84" s="180">
        <v>30056695.5</v>
      </c>
      <c r="F84" s="180">
        <v>26800502.370000001</v>
      </c>
    </row>
    <row r="85" spans="2:6" x14ac:dyDescent="0.25">
      <c r="B85" s="90" t="s">
        <v>490</v>
      </c>
      <c r="C85" s="179" t="s">
        <v>491</v>
      </c>
      <c r="D85" s="180"/>
      <c r="E85" s="180">
        <v>6709639.1399999997</v>
      </c>
      <c r="F85" s="180">
        <v>4023313.2</v>
      </c>
    </row>
    <row r="86" spans="2:6" x14ac:dyDescent="0.25">
      <c r="B86" s="90" t="s">
        <v>494</v>
      </c>
      <c r="C86" s="179" t="s">
        <v>495</v>
      </c>
      <c r="D86" s="180">
        <v>124941.37</v>
      </c>
      <c r="E86" s="180">
        <v>5530492.0599999996</v>
      </c>
      <c r="F86" s="180">
        <v>4637351.16</v>
      </c>
    </row>
    <row r="87" spans="2:6" x14ac:dyDescent="0.25">
      <c r="B87" s="90" t="s">
        <v>502</v>
      </c>
      <c r="C87" s="179" t="s">
        <v>503</v>
      </c>
      <c r="D87" s="180"/>
      <c r="E87" s="180">
        <v>3744652.07</v>
      </c>
      <c r="F87" s="180">
        <v>3470260.88</v>
      </c>
    </row>
    <row r="88" spans="2:6" x14ac:dyDescent="0.25">
      <c r="B88" s="90" t="s">
        <v>552</v>
      </c>
      <c r="C88" s="179" t="s">
        <v>553</v>
      </c>
      <c r="D88" s="180"/>
      <c r="E88" s="180">
        <v>1347304.78</v>
      </c>
      <c r="F88" s="180">
        <v>1191801.9099999999</v>
      </c>
    </row>
    <row r="89" spans="2:6" x14ac:dyDescent="0.25">
      <c r="B89" s="90" t="s">
        <v>496</v>
      </c>
      <c r="C89" s="179" t="s">
        <v>497</v>
      </c>
      <c r="D89" s="180">
        <v>13430.42</v>
      </c>
      <c r="E89" s="180">
        <v>4402254.58</v>
      </c>
      <c r="F89" s="180">
        <v>4095523.58</v>
      </c>
    </row>
    <row r="90" spans="2:6" x14ac:dyDescent="0.25">
      <c r="B90" s="90" t="s">
        <v>362</v>
      </c>
      <c r="C90" s="179" t="s">
        <v>363</v>
      </c>
      <c r="D90" s="180">
        <v>3784.26</v>
      </c>
      <c r="E90" s="180">
        <v>12390393.15</v>
      </c>
      <c r="F90" s="180">
        <v>10889634.699999999</v>
      </c>
    </row>
    <row r="91" spans="2:6" x14ac:dyDescent="0.25">
      <c r="B91" s="90" t="s">
        <v>458</v>
      </c>
      <c r="C91" s="179" t="s">
        <v>459</v>
      </c>
      <c r="D91" s="180">
        <v>138590.45000000001</v>
      </c>
      <c r="E91" s="180">
        <v>8110428.2000000002</v>
      </c>
      <c r="F91" s="180">
        <v>6018869.2199999997</v>
      </c>
    </row>
    <row r="92" spans="2:6" x14ac:dyDescent="0.25">
      <c r="B92" s="90" t="s">
        <v>106</v>
      </c>
      <c r="C92" s="179" t="s">
        <v>107</v>
      </c>
      <c r="D92" s="174">
        <v>887262.76</v>
      </c>
      <c r="E92" s="180">
        <v>110636838.02</v>
      </c>
      <c r="F92" s="180">
        <v>98908775.180000007</v>
      </c>
    </row>
    <row r="93" spans="2:6" x14ac:dyDescent="0.25">
      <c r="B93" s="90" t="s">
        <v>292</v>
      </c>
      <c r="C93" s="179" t="s">
        <v>293</v>
      </c>
      <c r="D93" s="180">
        <v>145858.53</v>
      </c>
      <c r="E93" s="180">
        <v>18888904.07</v>
      </c>
      <c r="F93" s="180">
        <v>17391233.289999999</v>
      </c>
    </row>
    <row r="94" spans="2:6" x14ac:dyDescent="0.25">
      <c r="B94" s="90" t="s">
        <v>262</v>
      </c>
      <c r="C94" s="179" t="s">
        <v>263</v>
      </c>
      <c r="D94" s="180">
        <v>47614.19</v>
      </c>
      <c r="E94" s="180">
        <v>22778676.530000001</v>
      </c>
      <c r="F94" s="180">
        <v>21004219.609999999</v>
      </c>
    </row>
    <row r="95" spans="2:6" x14ac:dyDescent="0.25">
      <c r="B95" s="90" t="s">
        <v>596</v>
      </c>
      <c r="C95" s="179" t="s">
        <v>597</v>
      </c>
      <c r="D95" s="180">
        <v>111949.46</v>
      </c>
      <c r="E95" s="180">
        <v>1473437.4</v>
      </c>
      <c r="F95" s="180">
        <v>894130.89</v>
      </c>
    </row>
    <row r="96" spans="2:6" x14ac:dyDescent="0.25">
      <c r="B96" s="90" t="s">
        <v>566</v>
      </c>
      <c r="C96" s="179" t="s">
        <v>567</v>
      </c>
      <c r="D96" s="180">
        <v>5932.42</v>
      </c>
      <c r="E96" s="180">
        <v>1920054.44</v>
      </c>
      <c r="F96" s="180">
        <v>1689502.95</v>
      </c>
    </row>
    <row r="97" spans="2:6" x14ac:dyDescent="0.25">
      <c r="B97" s="90" t="s">
        <v>366</v>
      </c>
      <c r="C97" s="179" t="s">
        <v>367</v>
      </c>
      <c r="D97" s="180">
        <v>27381.49</v>
      </c>
      <c r="E97" s="180">
        <v>10830169.59</v>
      </c>
      <c r="F97" s="180">
        <v>10340779.050000001</v>
      </c>
    </row>
    <row r="98" spans="2:6" x14ac:dyDescent="0.25">
      <c r="B98" s="90" t="s">
        <v>288</v>
      </c>
      <c r="C98" s="179" t="s">
        <v>289</v>
      </c>
      <c r="D98" s="180">
        <v>187146.57</v>
      </c>
      <c r="E98" s="180">
        <v>16602070.15</v>
      </c>
      <c r="F98" s="180">
        <v>15004827.210000001</v>
      </c>
    </row>
    <row r="99" spans="2:6" x14ac:dyDescent="0.25">
      <c r="B99" s="90" t="s">
        <v>278</v>
      </c>
      <c r="C99" s="179" t="s">
        <v>279</v>
      </c>
      <c r="D99" s="180">
        <v>56273.94</v>
      </c>
      <c r="E99" s="180">
        <v>24134982.859999999</v>
      </c>
      <c r="F99" s="180">
        <v>22140437.82</v>
      </c>
    </row>
    <row r="100" spans="2:6" x14ac:dyDescent="0.25">
      <c r="B100" s="90" t="s">
        <v>4</v>
      </c>
      <c r="C100" s="179" t="s">
        <v>5</v>
      </c>
      <c r="D100" s="180">
        <v>3896869.59</v>
      </c>
      <c r="E100" s="180">
        <v>1195855065.0799999</v>
      </c>
      <c r="F100" s="180">
        <v>1112235896.0599999</v>
      </c>
    </row>
    <row r="101" spans="2:6" x14ac:dyDescent="0.25">
      <c r="B101" s="90" t="s">
        <v>20</v>
      </c>
      <c r="C101" s="179" t="s">
        <v>21</v>
      </c>
      <c r="D101" s="180">
        <v>344243.27</v>
      </c>
      <c r="E101" s="180">
        <v>428997001.98000002</v>
      </c>
      <c r="F101" s="180">
        <v>389006523.00999999</v>
      </c>
    </row>
    <row r="102" spans="2:6" x14ac:dyDescent="0.25">
      <c r="B102" s="90" t="s">
        <v>142</v>
      </c>
      <c r="C102" s="179" t="s">
        <v>143</v>
      </c>
      <c r="D102" s="180">
        <v>521991.93</v>
      </c>
      <c r="E102" s="180">
        <v>80010028.040000007</v>
      </c>
      <c r="F102" s="180">
        <v>74127444.359999999</v>
      </c>
    </row>
    <row r="103" spans="2:6" x14ac:dyDescent="0.25">
      <c r="B103" s="90" t="s">
        <v>132</v>
      </c>
      <c r="C103" s="179" t="s">
        <v>133</v>
      </c>
      <c r="D103" s="180">
        <v>68948.66</v>
      </c>
      <c r="E103" s="180">
        <v>79090155.200000003</v>
      </c>
      <c r="F103" s="180">
        <v>75263102.790000007</v>
      </c>
    </row>
    <row r="104" spans="2:6" x14ac:dyDescent="0.25">
      <c r="B104" s="90" t="s">
        <v>32</v>
      </c>
      <c r="C104" s="179" t="s">
        <v>33</v>
      </c>
      <c r="D104" s="174">
        <v>1831178.11</v>
      </c>
      <c r="E104" s="180">
        <v>400293006.5</v>
      </c>
      <c r="F104" s="180">
        <v>364224907.42000002</v>
      </c>
    </row>
    <row r="105" spans="2:6" x14ac:dyDescent="0.25">
      <c r="B105" s="90" t="s">
        <v>242</v>
      </c>
      <c r="C105" s="179" t="s">
        <v>243</v>
      </c>
      <c r="D105" s="180">
        <v>8080.33</v>
      </c>
      <c r="E105" s="180">
        <v>27815032.120000001</v>
      </c>
      <c r="F105" s="180">
        <v>26047119.670000002</v>
      </c>
    </row>
    <row r="106" spans="2:6" x14ac:dyDescent="0.25">
      <c r="B106" s="90" t="s">
        <v>44</v>
      </c>
      <c r="C106" s="179" t="s">
        <v>45</v>
      </c>
      <c r="D106" s="180">
        <v>326212.02</v>
      </c>
      <c r="E106" s="180">
        <v>308925632.54000002</v>
      </c>
      <c r="F106" s="180">
        <v>283629549.18000001</v>
      </c>
    </row>
    <row r="107" spans="2:6" x14ac:dyDescent="0.25">
      <c r="B107" s="90" t="s">
        <v>568</v>
      </c>
      <c r="C107" s="179" t="s">
        <v>569</v>
      </c>
      <c r="D107" s="180"/>
      <c r="E107" s="180">
        <v>2933033.59</v>
      </c>
      <c r="F107" s="180">
        <v>2742893.55</v>
      </c>
    </row>
    <row r="108" spans="2:6" x14ac:dyDescent="0.25">
      <c r="B108" s="90" t="s">
        <v>28</v>
      </c>
      <c r="C108" s="179" t="s">
        <v>29</v>
      </c>
      <c r="D108" s="180">
        <v>2448602.89</v>
      </c>
      <c r="E108" s="180">
        <v>426193674.17000002</v>
      </c>
      <c r="F108" s="180">
        <v>395905643.86000001</v>
      </c>
    </row>
    <row r="109" spans="2:6" x14ac:dyDescent="0.25">
      <c r="B109" s="90" t="s">
        <v>182</v>
      </c>
      <c r="C109" s="179" t="s">
        <v>183</v>
      </c>
      <c r="D109" s="180">
        <v>183024.42</v>
      </c>
      <c r="E109" s="180">
        <v>56424146.119999997</v>
      </c>
      <c r="F109" s="180">
        <v>50003080.289999999</v>
      </c>
    </row>
    <row r="110" spans="2:6" x14ac:dyDescent="0.25">
      <c r="B110" s="90" t="s">
        <v>168</v>
      </c>
      <c r="C110" s="179" t="s">
        <v>169</v>
      </c>
      <c r="D110" s="180">
        <v>43229</v>
      </c>
      <c r="E110" s="180">
        <v>59197178.869999997</v>
      </c>
      <c r="F110" s="180">
        <v>56365259.140000001</v>
      </c>
    </row>
    <row r="111" spans="2:6" x14ac:dyDescent="0.25">
      <c r="B111" s="90" t="s">
        <v>42</v>
      </c>
      <c r="C111" s="179" t="s">
        <v>43</v>
      </c>
      <c r="D111" s="180">
        <v>1013557.5</v>
      </c>
      <c r="E111" s="180">
        <v>355430412.62</v>
      </c>
      <c r="F111" s="180">
        <v>320648402.97000003</v>
      </c>
    </row>
    <row r="112" spans="2:6" x14ac:dyDescent="0.25">
      <c r="B112" s="90" t="s">
        <v>82</v>
      </c>
      <c r="C112" s="179" t="s">
        <v>83</v>
      </c>
      <c r="D112" s="180">
        <v>678328.79</v>
      </c>
      <c r="E112" s="180">
        <v>172558517.28999999</v>
      </c>
      <c r="F112" s="180">
        <v>165366611.71000001</v>
      </c>
    </row>
    <row r="113" spans="2:6" x14ac:dyDescent="0.25">
      <c r="B113" s="90" t="s">
        <v>90</v>
      </c>
      <c r="C113" s="179" t="s">
        <v>91</v>
      </c>
      <c r="D113" s="180">
        <v>358890.22</v>
      </c>
      <c r="E113" s="180">
        <v>132859774.69</v>
      </c>
      <c r="F113" s="180">
        <v>127521973.2</v>
      </c>
    </row>
    <row r="114" spans="2:6" x14ac:dyDescent="0.25">
      <c r="B114" s="90" t="s">
        <v>26</v>
      </c>
      <c r="C114" s="179" t="s">
        <v>27</v>
      </c>
      <c r="D114" s="180">
        <v>2239118.59</v>
      </c>
      <c r="E114" s="180">
        <v>383233960.19</v>
      </c>
      <c r="F114" s="180">
        <v>356943430.91000003</v>
      </c>
    </row>
    <row r="115" spans="2:6" x14ac:dyDescent="0.25">
      <c r="B115" s="90" t="s">
        <v>72</v>
      </c>
      <c r="C115" s="179" t="s">
        <v>73</v>
      </c>
      <c r="D115" s="180"/>
      <c r="E115" s="180">
        <v>178834369.18000001</v>
      </c>
      <c r="F115" s="180">
        <v>166193201.91</v>
      </c>
    </row>
    <row r="116" spans="2:6" x14ac:dyDescent="0.25">
      <c r="B116" s="90" t="s">
        <v>8</v>
      </c>
      <c r="C116" s="179" t="s">
        <v>9</v>
      </c>
      <c r="D116" s="180">
        <v>2952229.76</v>
      </c>
      <c r="E116" s="180">
        <v>580969463.60000002</v>
      </c>
      <c r="F116" s="180">
        <v>551593329.72000003</v>
      </c>
    </row>
    <row r="117" spans="2:6" x14ac:dyDescent="0.25">
      <c r="B117" s="90" t="s">
        <v>12</v>
      </c>
      <c r="C117" s="179" t="s">
        <v>13</v>
      </c>
      <c r="D117" s="174">
        <v>3256428.76</v>
      </c>
      <c r="E117" s="180">
        <v>536981128.00999999</v>
      </c>
      <c r="F117" s="180">
        <v>493936857.04000002</v>
      </c>
    </row>
    <row r="118" spans="2:6" x14ac:dyDescent="0.25">
      <c r="B118" s="90" t="s">
        <v>22</v>
      </c>
      <c r="C118" s="179" t="s">
        <v>23</v>
      </c>
      <c r="D118" s="180">
        <v>1315287.54</v>
      </c>
      <c r="E118" s="180">
        <v>431535452.39999998</v>
      </c>
      <c r="F118" s="180">
        <v>409001429.85000002</v>
      </c>
    </row>
    <row r="119" spans="2:6" x14ac:dyDescent="0.25">
      <c r="B119" s="90" t="s">
        <v>480</v>
      </c>
      <c r="C119" s="179" t="s">
        <v>481</v>
      </c>
      <c r="E119" s="180">
        <v>4858900.5999999996</v>
      </c>
      <c r="F119" s="180">
        <v>4678743.99</v>
      </c>
    </row>
    <row r="120" spans="2:6" x14ac:dyDescent="0.25">
      <c r="B120" s="90" t="s">
        <v>392</v>
      </c>
      <c r="C120" s="179" t="s">
        <v>393</v>
      </c>
      <c r="D120" s="180"/>
      <c r="E120" s="180">
        <v>8771322.8300000001</v>
      </c>
      <c r="F120" s="180">
        <v>8671401.2400000002</v>
      </c>
    </row>
    <row r="121" spans="2:6" x14ac:dyDescent="0.25">
      <c r="B121" s="90" t="s">
        <v>998</v>
      </c>
      <c r="C121" s="179" t="s">
        <v>1001</v>
      </c>
      <c r="E121" s="180">
        <v>12332367.67</v>
      </c>
      <c r="F121" s="180">
        <v>11791969.23</v>
      </c>
    </row>
    <row r="122" spans="2:6" x14ac:dyDescent="0.25">
      <c r="B122" s="90" t="s">
        <v>444</v>
      </c>
      <c r="C122" s="179" t="s">
        <v>445</v>
      </c>
      <c r="E122" s="180">
        <v>6981727</v>
      </c>
      <c r="F122" s="180">
        <v>6542635.7300000004</v>
      </c>
    </row>
    <row r="123" spans="2:6" x14ac:dyDescent="0.25">
      <c r="B123" s="90" t="s">
        <v>999</v>
      </c>
      <c r="C123" s="179" t="s">
        <v>1198</v>
      </c>
      <c r="D123" s="180"/>
      <c r="E123" s="180">
        <v>5492677.4699999997</v>
      </c>
      <c r="F123" s="180">
        <v>3959210.9</v>
      </c>
    </row>
    <row r="124" spans="2:6" x14ac:dyDescent="0.25">
      <c r="B124" s="90" t="s">
        <v>1156</v>
      </c>
      <c r="C124" s="179" t="s">
        <v>1197</v>
      </c>
      <c r="D124" s="180"/>
      <c r="E124" s="180">
        <v>9259429.5099999998</v>
      </c>
      <c r="F124" s="180">
        <v>8586686.2100000009</v>
      </c>
    </row>
    <row r="125" spans="2:6" x14ac:dyDescent="0.25">
      <c r="B125" s="90" t="s">
        <v>1158</v>
      </c>
      <c r="C125" s="179" t="s">
        <v>1177</v>
      </c>
      <c r="D125" s="180"/>
      <c r="E125" s="180">
        <v>6834820.8499999996</v>
      </c>
      <c r="F125" s="180">
        <v>6397389.6399999997</v>
      </c>
    </row>
    <row r="126" spans="2:6" x14ac:dyDescent="0.25">
      <c r="B126" s="90" t="s">
        <v>1196</v>
      </c>
      <c r="C126" s="179" t="s">
        <v>1195</v>
      </c>
      <c r="D126" s="180"/>
      <c r="E126" s="180">
        <v>3832094.65</v>
      </c>
      <c r="F126" s="180">
        <v>3412180.4</v>
      </c>
    </row>
    <row r="127" spans="2:6" x14ac:dyDescent="0.25">
      <c r="B127" s="90" t="s">
        <v>1255</v>
      </c>
      <c r="C127" s="179" t="s">
        <v>1256</v>
      </c>
      <c r="D127" s="180"/>
      <c r="E127" s="180">
        <v>5027987.92</v>
      </c>
      <c r="F127" s="180">
        <v>4350950.87</v>
      </c>
    </row>
    <row r="128" spans="2:6" x14ac:dyDescent="0.25">
      <c r="B128" s="90" t="s">
        <v>118</v>
      </c>
      <c r="C128" s="179" t="s">
        <v>119</v>
      </c>
      <c r="D128" s="180">
        <v>287251.18</v>
      </c>
      <c r="E128" s="180">
        <v>101132460.47</v>
      </c>
      <c r="F128" s="180">
        <v>91415435.159999996</v>
      </c>
    </row>
    <row r="129" spans="2:6" x14ac:dyDescent="0.25">
      <c r="B129" s="90" t="s">
        <v>144</v>
      </c>
      <c r="C129" s="179" t="s">
        <v>145</v>
      </c>
      <c r="D129" s="174">
        <v>203168.06</v>
      </c>
      <c r="E129" s="180">
        <v>69193785.75</v>
      </c>
      <c r="F129" s="180">
        <v>65766075.780000001</v>
      </c>
    </row>
    <row r="130" spans="2:6" x14ac:dyDescent="0.25">
      <c r="B130" s="90" t="s">
        <v>104</v>
      </c>
      <c r="C130" s="179" t="s">
        <v>105</v>
      </c>
      <c r="D130" s="174">
        <v>232452.65</v>
      </c>
      <c r="E130" s="180">
        <v>108516277.56</v>
      </c>
      <c r="F130" s="180">
        <v>99820323.349999994</v>
      </c>
    </row>
    <row r="131" spans="2:6" x14ac:dyDescent="0.25">
      <c r="B131" s="90" t="s">
        <v>60</v>
      </c>
      <c r="C131" s="179" t="s">
        <v>61</v>
      </c>
      <c r="D131" s="180">
        <v>819308.99</v>
      </c>
      <c r="E131" s="180">
        <v>206923892.69</v>
      </c>
      <c r="F131" s="180">
        <v>186616812.30000001</v>
      </c>
    </row>
    <row r="132" spans="2:6" x14ac:dyDescent="0.25">
      <c r="B132" s="90" t="s">
        <v>68</v>
      </c>
      <c r="C132" s="179" t="s">
        <v>69</v>
      </c>
      <c r="D132" s="180">
        <v>677734.84</v>
      </c>
      <c r="E132" s="180">
        <v>190091280.06</v>
      </c>
      <c r="F132" s="180">
        <v>173726413.94999999</v>
      </c>
    </row>
    <row r="133" spans="2:6" x14ac:dyDescent="0.25">
      <c r="B133" s="90" t="s">
        <v>1159</v>
      </c>
      <c r="C133" s="179" t="s">
        <v>1176</v>
      </c>
      <c r="D133" s="180"/>
      <c r="E133" s="180">
        <v>9812430.6999999993</v>
      </c>
      <c r="F133" s="180">
        <v>8066627.6500000004</v>
      </c>
    </row>
    <row r="134" spans="2:6" x14ac:dyDescent="0.25">
      <c r="B134" s="90" t="s">
        <v>544</v>
      </c>
      <c r="C134" s="179" t="s">
        <v>1194</v>
      </c>
      <c r="D134" s="180"/>
      <c r="E134" s="180">
        <v>2920873.6</v>
      </c>
      <c r="F134" s="180">
        <v>2920873.6</v>
      </c>
    </row>
    <row r="135" spans="2:6" x14ac:dyDescent="0.25">
      <c r="B135" s="90" t="s">
        <v>580</v>
      </c>
      <c r="C135" s="179" t="s">
        <v>581</v>
      </c>
      <c r="D135" s="180">
        <v>16694.560000000001</v>
      </c>
      <c r="E135" s="180">
        <v>879810.5</v>
      </c>
      <c r="F135" s="180">
        <v>855826.28</v>
      </c>
    </row>
    <row r="136" spans="2:6" x14ac:dyDescent="0.25">
      <c r="B136" s="90" t="s">
        <v>516</v>
      </c>
      <c r="C136" s="179" t="s">
        <v>517</v>
      </c>
      <c r="D136" s="180">
        <v>67047.06</v>
      </c>
      <c r="E136" s="180">
        <v>3172862.04</v>
      </c>
      <c r="F136" s="180">
        <v>2945019.1</v>
      </c>
    </row>
    <row r="137" spans="2:6" x14ac:dyDescent="0.25">
      <c r="B137" s="90" t="s">
        <v>508</v>
      </c>
      <c r="C137" s="179" t="s">
        <v>509</v>
      </c>
      <c r="D137" s="180">
        <v>87226.23</v>
      </c>
      <c r="E137" s="180">
        <v>7420556.9500000002</v>
      </c>
      <c r="F137" s="180">
        <v>6929739.0899999999</v>
      </c>
    </row>
    <row r="138" spans="2:6" x14ac:dyDescent="0.25">
      <c r="B138" s="90" t="s">
        <v>166</v>
      </c>
      <c r="C138" s="179" t="s">
        <v>167</v>
      </c>
      <c r="D138" s="180">
        <v>178183.16</v>
      </c>
      <c r="E138" s="180">
        <v>57778656.280000001</v>
      </c>
      <c r="F138" s="180">
        <v>53610933.049999997</v>
      </c>
    </row>
    <row r="139" spans="2:6" x14ac:dyDescent="0.25">
      <c r="B139" s="90" t="s">
        <v>350</v>
      </c>
      <c r="C139" s="179" t="s">
        <v>351</v>
      </c>
      <c r="D139" s="174">
        <v>15526.98</v>
      </c>
      <c r="E139" s="180">
        <v>10396113.98</v>
      </c>
      <c r="F139" s="180">
        <v>9543100.8699999992</v>
      </c>
    </row>
    <row r="140" spans="2:6" x14ac:dyDescent="0.25">
      <c r="B140" s="90" t="s">
        <v>314</v>
      </c>
      <c r="C140" s="179" t="s">
        <v>315</v>
      </c>
      <c r="D140" s="180">
        <v>3519.02</v>
      </c>
      <c r="E140" s="180">
        <v>18428940.84</v>
      </c>
      <c r="F140" s="180">
        <v>17284857.530000001</v>
      </c>
    </row>
    <row r="141" spans="2:6" x14ac:dyDescent="0.25">
      <c r="B141" s="90" t="s">
        <v>538</v>
      </c>
      <c r="C141" s="179" t="s">
        <v>539</v>
      </c>
      <c r="D141" s="180">
        <v>47611.22</v>
      </c>
      <c r="E141" s="180">
        <v>3031457.92</v>
      </c>
      <c r="F141" s="180">
        <v>2752013.89</v>
      </c>
    </row>
    <row r="142" spans="2:6" x14ac:dyDescent="0.25">
      <c r="B142" s="90" t="s">
        <v>528</v>
      </c>
      <c r="C142" s="179" t="s">
        <v>529</v>
      </c>
      <c r="D142" s="180">
        <v>12644.68</v>
      </c>
      <c r="E142" s="180">
        <v>2987011.56</v>
      </c>
      <c r="F142" s="180">
        <v>2974084.45</v>
      </c>
    </row>
    <row r="143" spans="2:6" x14ac:dyDescent="0.25">
      <c r="B143" s="90" t="s">
        <v>534</v>
      </c>
      <c r="C143" s="179" t="s">
        <v>535</v>
      </c>
      <c r="D143" s="180">
        <v>8730</v>
      </c>
      <c r="E143" s="180">
        <v>1801094.5</v>
      </c>
      <c r="F143" s="180">
        <v>1639351.66</v>
      </c>
    </row>
    <row r="144" spans="2:6" x14ac:dyDescent="0.25">
      <c r="B144" s="90" t="s">
        <v>460</v>
      </c>
      <c r="C144" s="179" t="s">
        <v>461</v>
      </c>
      <c r="D144" s="180">
        <v>142607.82999999999</v>
      </c>
      <c r="E144" s="180">
        <v>4655678.8</v>
      </c>
      <c r="F144" s="180">
        <v>4379670.95</v>
      </c>
    </row>
    <row r="145" spans="2:6" x14ac:dyDescent="0.25">
      <c r="B145" s="90" t="s">
        <v>546</v>
      </c>
      <c r="C145" s="179" t="s">
        <v>547</v>
      </c>
      <c r="D145" s="180">
        <v>29223.83</v>
      </c>
      <c r="E145" s="180">
        <v>2706516.92</v>
      </c>
      <c r="F145" s="180">
        <v>2534575.13</v>
      </c>
    </row>
    <row r="146" spans="2:6" x14ac:dyDescent="0.25">
      <c r="B146" s="90" t="s">
        <v>548</v>
      </c>
      <c r="C146" s="179" t="s">
        <v>549</v>
      </c>
      <c r="D146" s="180">
        <v>7050</v>
      </c>
      <c r="E146" s="180">
        <v>3082662.96</v>
      </c>
      <c r="F146" s="180">
        <v>2885572.88</v>
      </c>
    </row>
    <row r="147" spans="2:6" x14ac:dyDescent="0.25">
      <c r="B147" s="90" t="s">
        <v>592</v>
      </c>
      <c r="C147" s="179" t="s">
        <v>593</v>
      </c>
      <c r="D147" s="180"/>
      <c r="E147" s="180">
        <v>745816.95</v>
      </c>
      <c r="F147" s="180">
        <v>669532.43000000005</v>
      </c>
    </row>
    <row r="148" spans="2:6" x14ac:dyDescent="0.25">
      <c r="B148" s="90" t="s">
        <v>304</v>
      </c>
      <c r="C148" s="179" t="s">
        <v>305</v>
      </c>
      <c r="D148" s="180">
        <v>234433.59</v>
      </c>
      <c r="E148" s="180">
        <v>42664428.509999998</v>
      </c>
      <c r="F148" s="180">
        <v>40938554.009999998</v>
      </c>
    </row>
    <row r="149" spans="2:6" x14ac:dyDescent="0.25">
      <c r="B149" s="90" t="s">
        <v>274</v>
      </c>
      <c r="C149" s="179" t="s">
        <v>275</v>
      </c>
      <c r="D149" s="180">
        <v>219694.68</v>
      </c>
      <c r="E149" s="180">
        <v>22296587.75</v>
      </c>
      <c r="F149" s="180">
        <v>20442697.07</v>
      </c>
    </row>
    <row r="150" spans="2:6" x14ac:dyDescent="0.25">
      <c r="B150" s="90" t="s">
        <v>456</v>
      </c>
      <c r="C150" s="179" t="s">
        <v>457</v>
      </c>
      <c r="D150" s="180"/>
      <c r="E150" s="180">
        <v>5003540.51</v>
      </c>
      <c r="F150" s="180">
        <v>4609207.3499999996</v>
      </c>
    </row>
    <row r="151" spans="2:6" x14ac:dyDescent="0.25">
      <c r="B151" s="90" t="s">
        <v>322</v>
      </c>
      <c r="C151" s="179" t="s">
        <v>323</v>
      </c>
      <c r="D151" s="180">
        <v>158.22999999999999</v>
      </c>
      <c r="E151" s="180">
        <v>13708846.869999999</v>
      </c>
      <c r="F151" s="180">
        <v>12921899.6</v>
      </c>
    </row>
    <row r="152" spans="2:6" x14ac:dyDescent="0.25">
      <c r="B152" s="90" t="s">
        <v>570</v>
      </c>
      <c r="C152" s="179" t="s">
        <v>571</v>
      </c>
      <c r="D152" s="180"/>
      <c r="E152" s="180">
        <v>1253391.49</v>
      </c>
      <c r="F152" s="180">
        <v>1131236.32</v>
      </c>
    </row>
    <row r="153" spans="2:6" x14ac:dyDescent="0.25">
      <c r="B153" s="90" t="s">
        <v>384</v>
      </c>
      <c r="C153" s="179" t="s">
        <v>385</v>
      </c>
      <c r="D153" s="174">
        <v>168628.36</v>
      </c>
      <c r="E153" s="180">
        <v>12243078.380000001</v>
      </c>
      <c r="F153" s="180">
        <v>11071272.98</v>
      </c>
    </row>
    <row r="154" spans="2:6" x14ac:dyDescent="0.25">
      <c r="B154" s="90" t="s">
        <v>420</v>
      </c>
      <c r="C154" s="179" t="s">
        <v>421</v>
      </c>
      <c r="D154" s="180">
        <v>11591.75</v>
      </c>
      <c r="E154" s="180">
        <v>9505627.5500000007</v>
      </c>
      <c r="F154" s="180">
        <v>8750952.3599999994</v>
      </c>
    </row>
    <row r="155" spans="2:6" x14ac:dyDescent="0.25">
      <c r="B155" s="90" t="s">
        <v>354</v>
      </c>
      <c r="C155" s="179" t="s">
        <v>355</v>
      </c>
      <c r="D155" s="180"/>
      <c r="E155" s="180">
        <v>11159464.779999999</v>
      </c>
      <c r="F155" s="180">
        <v>10547275.279999999</v>
      </c>
    </row>
    <row r="156" spans="2:6" x14ac:dyDescent="0.25">
      <c r="B156" s="90" t="s">
        <v>340</v>
      </c>
      <c r="C156" s="179" t="s">
        <v>341</v>
      </c>
      <c r="D156" s="180">
        <v>25341</v>
      </c>
      <c r="E156" s="180">
        <v>17821254.690000001</v>
      </c>
      <c r="F156" s="180">
        <v>16189271.24</v>
      </c>
    </row>
    <row r="157" spans="2:6" x14ac:dyDescent="0.25">
      <c r="B157" s="90" t="s">
        <v>526</v>
      </c>
      <c r="C157" s="179" t="s">
        <v>527</v>
      </c>
      <c r="D157" s="180"/>
      <c r="E157" s="180">
        <v>5170477.26</v>
      </c>
      <c r="F157" s="180">
        <v>4896632.43</v>
      </c>
    </row>
    <row r="158" spans="2:6" x14ac:dyDescent="0.25">
      <c r="B158" s="90" t="s">
        <v>330</v>
      </c>
      <c r="C158" s="179" t="s">
        <v>331</v>
      </c>
      <c r="D158" s="180"/>
      <c r="E158" s="180">
        <v>15661876.59</v>
      </c>
      <c r="F158" s="180">
        <v>14556563.039999999</v>
      </c>
    </row>
    <row r="159" spans="2:6" x14ac:dyDescent="0.25">
      <c r="B159" s="90" t="s">
        <v>324</v>
      </c>
      <c r="C159" s="179" t="s">
        <v>325</v>
      </c>
      <c r="D159" s="180">
        <v>29527.360000000001</v>
      </c>
      <c r="E159" s="180">
        <v>15345477.73</v>
      </c>
      <c r="F159" s="180">
        <v>13807514.029999999</v>
      </c>
    </row>
    <row r="160" spans="2:6" x14ac:dyDescent="0.25">
      <c r="B160" s="90" t="s">
        <v>436</v>
      </c>
      <c r="C160" s="179" t="s">
        <v>437</v>
      </c>
      <c r="D160" s="180"/>
      <c r="E160" s="180">
        <v>6170592.5300000003</v>
      </c>
      <c r="F160" s="180">
        <v>5721058.5099999998</v>
      </c>
    </row>
    <row r="161" spans="2:6" x14ac:dyDescent="0.25">
      <c r="B161" s="90" t="s">
        <v>178</v>
      </c>
      <c r="C161" s="179" t="s">
        <v>179</v>
      </c>
      <c r="D161" s="180">
        <v>530110.77</v>
      </c>
      <c r="E161" s="180">
        <v>56506283.039999999</v>
      </c>
      <c r="F161" s="180">
        <v>51448440.909999996</v>
      </c>
    </row>
    <row r="162" spans="2:6" x14ac:dyDescent="0.25">
      <c r="B162" s="90" t="s">
        <v>400</v>
      </c>
      <c r="C162" s="179" t="s">
        <v>401</v>
      </c>
      <c r="D162" s="174">
        <v>11130.96</v>
      </c>
      <c r="E162" s="180">
        <v>7976805</v>
      </c>
      <c r="F162" s="180">
        <v>7063108.4100000001</v>
      </c>
    </row>
    <row r="163" spans="2:6" x14ac:dyDescent="0.25">
      <c r="B163" s="90" t="s">
        <v>158</v>
      </c>
      <c r="C163" s="179" t="s">
        <v>159</v>
      </c>
      <c r="D163" s="180"/>
      <c r="E163" s="180">
        <v>60348894.609999999</v>
      </c>
      <c r="F163" s="180">
        <v>53804051.240000002</v>
      </c>
    </row>
    <row r="164" spans="2:6" x14ac:dyDescent="0.25">
      <c r="B164" s="90" t="s">
        <v>550</v>
      </c>
      <c r="C164" s="179" t="s">
        <v>551</v>
      </c>
      <c r="D164" s="180">
        <v>7740.84</v>
      </c>
      <c r="E164" s="180">
        <v>2817774.72</v>
      </c>
      <c r="F164" s="180">
        <v>2665302.0099999998</v>
      </c>
    </row>
    <row r="165" spans="2:6" x14ac:dyDescent="0.25">
      <c r="B165" s="90" t="s">
        <v>376</v>
      </c>
      <c r="C165" s="179" t="s">
        <v>377</v>
      </c>
      <c r="D165" s="180">
        <v>38215.629999999997</v>
      </c>
      <c r="E165" s="180">
        <v>12855588.66</v>
      </c>
      <c r="F165" s="180">
        <v>11823008.01</v>
      </c>
    </row>
    <row r="166" spans="2:6" x14ac:dyDescent="0.25">
      <c r="B166" s="90" t="s">
        <v>542</v>
      </c>
      <c r="C166" s="179" t="s">
        <v>543</v>
      </c>
      <c r="D166" s="174">
        <v>16011.25</v>
      </c>
      <c r="E166" s="180">
        <v>3290991.64</v>
      </c>
      <c r="F166" s="180">
        <v>3043422.31</v>
      </c>
    </row>
    <row r="167" spans="2:6" x14ac:dyDescent="0.25">
      <c r="B167" s="90" t="s">
        <v>530</v>
      </c>
      <c r="C167" s="179" t="s">
        <v>531</v>
      </c>
      <c r="D167" s="180"/>
      <c r="E167" s="180">
        <v>3737309.91</v>
      </c>
      <c r="F167" s="180">
        <v>3557372.51</v>
      </c>
    </row>
    <row r="168" spans="2:6" x14ac:dyDescent="0.25">
      <c r="B168" s="90" t="s">
        <v>446</v>
      </c>
      <c r="C168" s="179" t="s">
        <v>447</v>
      </c>
      <c r="D168" s="174">
        <v>57473</v>
      </c>
      <c r="E168" s="180">
        <v>5349889.8899999997</v>
      </c>
      <c r="F168" s="180">
        <v>4950915.8899999997</v>
      </c>
    </row>
    <row r="169" spans="2:6" x14ac:dyDescent="0.25">
      <c r="B169" s="90" t="s">
        <v>438</v>
      </c>
      <c r="C169" s="179" t="s">
        <v>439</v>
      </c>
      <c r="D169" s="174">
        <v>8393.25</v>
      </c>
      <c r="E169" s="180">
        <v>4712181.7300000004</v>
      </c>
      <c r="F169" s="180">
        <v>4325085.16</v>
      </c>
    </row>
    <row r="170" spans="2:6" x14ac:dyDescent="0.25">
      <c r="B170" s="90" t="s">
        <v>518</v>
      </c>
      <c r="C170" s="179" t="s">
        <v>519</v>
      </c>
      <c r="D170" s="180"/>
      <c r="E170" s="180">
        <v>3991171.42</v>
      </c>
      <c r="F170" s="180">
        <v>3665580.31</v>
      </c>
    </row>
    <row r="171" spans="2:6" x14ac:dyDescent="0.25">
      <c r="B171" s="90" t="s">
        <v>368</v>
      </c>
      <c r="C171" s="179" t="s">
        <v>369</v>
      </c>
      <c r="D171" s="180"/>
      <c r="E171" s="180">
        <v>10953871.810000001</v>
      </c>
      <c r="F171" s="180">
        <v>10159460.24</v>
      </c>
    </row>
    <row r="172" spans="2:6" x14ac:dyDescent="0.25">
      <c r="B172" s="90" t="s">
        <v>464</v>
      </c>
      <c r="C172" s="179" t="s">
        <v>465</v>
      </c>
      <c r="D172" s="180"/>
      <c r="E172" s="180">
        <v>4320251.9000000004</v>
      </c>
      <c r="F172" s="180">
        <v>3790807.88</v>
      </c>
    </row>
    <row r="173" spans="2:6" x14ac:dyDescent="0.25">
      <c r="B173" s="90" t="s">
        <v>466</v>
      </c>
      <c r="C173" s="179" t="s">
        <v>467</v>
      </c>
      <c r="D173" s="180">
        <v>19464.38</v>
      </c>
      <c r="E173" s="180">
        <v>4348654.3600000003</v>
      </c>
      <c r="F173" s="180">
        <v>4025788.5</v>
      </c>
    </row>
    <row r="174" spans="2:6" x14ac:dyDescent="0.25">
      <c r="B174" s="90" t="s">
        <v>130</v>
      </c>
      <c r="C174" s="179" t="s">
        <v>131</v>
      </c>
      <c r="D174" s="180">
        <v>145027.18</v>
      </c>
      <c r="E174" s="180">
        <v>82610303.950000003</v>
      </c>
      <c r="F174" s="180">
        <v>75462952.079999998</v>
      </c>
    </row>
    <row r="175" spans="2:6" x14ac:dyDescent="0.25">
      <c r="B175" s="90" t="s">
        <v>374</v>
      </c>
      <c r="C175" s="179" t="s">
        <v>375</v>
      </c>
      <c r="D175" s="180">
        <v>197340.86</v>
      </c>
      <c r="E175" s="180">
        <v>13218603.17</v>
      </c>
      <c r="F175" s="180">
        <v>12539047.550000001</v>
      </c>
    </row>
    <row r="176" spans="2:6" x14ac:dyDescent="0.25">
      <c r="B176" s="90" t="s">
        <v>334</v>
      </c>
      <c r="C176" s="179" t="s">
        <v>335</v>
      </c>
      <c r="D176" s="180">
        <v>2125</v>
      </c>
      <c r="E176" s="180">
        <v>14184022.49</v>
      </c>
      <c r="F176" s="180">
        <v>12915092.01</v>
      </c>
    </row>
    <row r="177" spans="2:6" x14ac:dyDescent="0.25">
      <c r="B177" s="90" t="s">
        <v>214</v>
      </c>
      <c r="C177" s="179" t="s">
        <v>215</v>
      </c>
      <c r="D177" s="180">
        <v>54086.26</v>
      </c>
      <c r="E177" s="180">
        <v>43632825.700000003</v>
      </c>
      <c r="F177" s="180">
        <v>40001170.82</v>
      </c>
    </row>
    <row r="178" spans="2:6" x14ac:dyDescent="0.25">
      <c r="B178" s="90" t="s">
        <v>424</v>
      </c>
      <c r="C178" s="179" t="s">
        <v>425</v>
      </c>
      <c r="D178" s="180"/>
      <c r="E178" s="180">
        <v>8830993.6500000004</v>
      </c>
      <c r="F178" s="180">
        <v>7352960.3399999999</v>
      </c>
    </row>
    <row r="179" spans="2:6" x14ac:dyDescent="0.25">
      <c r="B179" s="90" t="s">
        <v>512</v>
      </c>
      <c r="C179" s="179" t="s">
        <v>513</v>
      </c>
      <c r="D179" s="180">
        <v>16329.39</v>
      </c>
      <c r="E179" s="180">
        <v>5881904</v>
      </c>
      <c r="F179" s="180">
        <v>3107898.51</v>
      </c>
    </row>
    <row r="180" spans="2:6" x14ac:dyDescent="0.25">
      <c r="B180" s="90" t="s">
        <v>120</v>
      </c>
      <c r="C180" s="179" t="s">
        <v>121</v>
      </c>
      <c r="D180" s="180">
        <v>525015.62</v>
      </c>
      <c r="E180" s="180">
        <v>91299654.879999995</v>
      </c>
      <c r="F180" s="180">
        <v>86312682.310000002</v>
      </c>
    </row>
    <row r="181" spans="2:6" x14ac:dyDescent="0.25">
      <c r="B181" s="90" t="s">
        <v>284</v>
      </c>
      <c r="C181" s="179" t="s">
        <v>285</v>
      </c>
      <c r="D181" s="180">
        <v>175720.26</v>
      </c>
      <c r="E181" s="180">
        <v>20086077.690000001</v>
      </c>
      <c r="F181" s="180">
        <v>17743796.09</v>
      </c>
    </row>
    <row r="182" spans="2:6" x14ac:dyDescent="0.25">
      <c r="B182" s="90" t="s">
        <v>296</v>
      </c>
      <c r="C182" s="179" t="s">
        <v>297</v>
      </c>
      <c r="D182" s="180">
        <v>61638.91</v>
      </c>
      <c r="E182" s="180">
        <v>17625315.719999999</v>
      </c>
      <c r="F182" s="180">
        <v>15334575.68</v>
      </c>
    </row>
    <row r="183" spans="2:6" x14ac:dyDescent="0.25">
      <c r="B183" s="90" t="s">
        <v>428</v>
      </c>
      <c r="C183" s="179" t="s">
        <v>429</v>
      </c>
      <c r="D183" s="180">
        <v>117481.32</v>
      </c>
      <c r="E183" s="180">
        <v>5342035.7300000004</v>
      </c>
      <c r="F183" s="180">
        <v>4715664.3899999997</v>
      </c>
    </row>
    <row r="184" spans="2:6" x14ac:dyDescent="0.25">
      <c r="B184" s="90" t="s">
        <v>360</v>
      </c>
      <c r="C184" s="179" t="s">
        <v>361</v>
      </c>
      <c r="D184" s="180">
        <v>59396.89</v>
      </c>
      <c r="E184" s="180">
        <v>13591706.74</v>
      </c>
      <c r="F184" s="180">
        <v>12767478.77</v>
      </c>
    </row>
    <row r="185" spans="2:6" x14ac:dyDescent="0.25">
      <c r="B185" s="90" t="s">
        <v>282</v>
      </c>
      <c r="C185" s="179" t="s">
        <v>283</v>
      </c>
      <c r="D185" s="180">
        <v>341967.16</v>
      </c>
      <c r="E185" s="180">
        <v>20359637.899999999</v>
      </c>
      <c r="F185" s="180">
        <v>17548033.780000001</v>
      </c>
    </row>
    <row r="186" spans="2:6" x14ac:dyDescent="0.25">
      <c r="B186" s="90" t="s">
        <v>372</v>
      </c>
      <c r="C186" s="179" t="s">
        <v>373</v>
      </c>
      <c r="D186" s="180">
        <v>275990.37</v>
      </c>
      <c r="E186" s="180">
        <v>11023674.859999999</v>
      </c>
      <c r="F186" s="180">
        <v>9192287.0700000003</v>
      </c>
    </row>
    <row r="187" spans="2:6" x14ac:dyDescent="0.25">
      <c r="B187" s="90" t="s">
        <v>1257</v>
      </c>
      <c r="C187" s="179" t="s">
        <v>1258</v>
      </c>
      <c r="D187" s="180">
        <v>16418</v>
      </c>
      <c r="E187" s="180">
        <v>4073875.13</v>
      </c>
      <c r="F187" s="180">
        <v>3922572.82</v>
      </c>
    </row>
    <row r="188" spans="2:6" x14ac:dyDescent="0.25">
      <c r="B188" s="90" t="s">
        <v>290</v>
      </c>
      <c r="C188" s="179" t="s">
        <v>291</v>
      </c>
      <c r="D188" s="174">
        <v>331613.03999999998</v>
      </c>
      <c r="E188" s="180">
        <v>21099530.699999999</v>
      </c>
      <c r="F188" s="180">
        <v>19342458.960000001</v>
      </c>
    </row>
    <row r="189" spans="2:6" x14ac:dyDescent="0.25">
      <c r="B189" s="90" t="s">
        <v>364</v>
      </c>
      <c r="C189" s="179" t="s">
        <v>365</v>
      </c>
      <c r="D189" s="180"/>
      <c r="E189" s="180">
        <v>9508664.1600000001</v>
      </c>
      <c r="F189" s="180">
        <v>8683054.2899999991</v>
      </c>
    </row>
    <row r="190" spans="2:6" x14ac:dyDescent="0.25">
      <c r="B190" s="90" t="s">
        <v>358</v>
      </c>
      <c r="C190" s="179" t="s">
        <v>359</v>
      </c>
      <c r="D190" s="180">
        <v>7921.67</v>
      </c>
      <c r="E190" s="180">
        <v>21800344.359999999</v>
      </c>
      <c r="F190" s="180">
        <v>18922927.609999999</v>
      </c>
    </row>
    <row r="191" spans="2:6" x14ac:dyDescent="0.25">
      <c r="B191" s="90" t="s">
        <v>394</v>
      </c>
      <c r="C191" s="179" t="s">
        <v>395</v>
      </c>
      <c r="D191" s="180">
        <v>24564.66</v>
      </c>
      <c r="E191" s="180">
        <v>6565601.1299999999</v>
      </c>
      <c r="F191" s="180">
        <v>6106859.6100000003</v>
      </c>
    </row>
    <row r="192" spans="2:6" x14ac:dyDescent="0.25">
      <c r="B192" s="90" t="s">
        <v>418</v>
      </c>
      <c r="C192" s="179" t="s">
        <v>419</v>
      </c>
      <c r="D192" s="180">
        <v>915.16</v>
      </c>
      <c r="E192" s="180">
        <v>7356343.3399999999</v>
      </c>
      <c r="F192" s="180">
        <v>6817809.21</v>
      </c>
    </row>
    <row r="193" spans="2:6" x14ac:dyDescent="0.25">
      <c r="B193" s="90" t="s">
        <v>558</v>
      </c>
      <c r="C193" s="179" t="s">
        <v>559</v>
      </c>
      <c r="D193" s="180">
        <v>500</v>
      </c>
      <c r="E193" s="180">
        <v>2603426.11</v>
      </c>
      <c r="F193" s="180">
        <v>2507544.6800000002</v>
      </c>
    </row>
    <row r="194" spans="2:6" x14ac:dyDescent="0.25">
      <c r="B194" s="90" t="s">
        <v>286</v>
      </c>
      <c r="C194" s="179" t="s">
        <v>287</v>
      </c>
      <c r="D194" s="180">
        <v>337906.69</v>
      </c>
      <c r="E194" s="180">
        <v>20578326.91</v>
      </c>
      <c r="F194" s="180">
        <v>17722303.98</v>
      </c>
    </row>
    <row r="195" spans="2:6" x14ac:dyDescent="0.25">
      <c r="B195" s="90" t="s">
        <v>452</v>
      </c>
      <c r="C195" s="179" t="s">
        <v>453</v>
      </c>
      <c r="D195" s="180">
        <v>48991.69</v>
      </c>
      <c r="E195" s="180">
        <v>8033253.3200000003</v>
      </c>
      <c r="F195" s="180">
        <v>7061335.5499999998</v>
      </c>
    </row>
    <row r="196" spans="2:6" x14ac:dyDescent="0.25">
      <c r="B196" s="90" t="s">
        <v>440</v>
      </c>
      <c r="C196" s="179" t="s">
        <v>441</v>
      </c>
      <c r="D196" s="180">
        <v>21070.39</v>
      </c>
      <c r="E196" s="180">
        <v>6331567.1100000003</v>
      </c>
      <c r="F196" s="180">
        <v>5724136.3600000003</v>
      </c>
    </row>
    <row r="197" spans="2:6" x14ac:dyDescent="0.25">
      <c r="B197" s="90" t="s">
        <v>170</v>
      </c>
      <c r="C197" s="179" t="s">
        <v>171</v>
      </c>
      <c r="D197" s="180"/>
      <c r="E197" s="180">
        <v>52276318.859999999</v>
      </c>
      <c r="F197" s="180">
        <v>48349279.009999998</v>
      </c>
    </row>
    <row r="198" spans="2:6" x14ac:dyDescent="0.25">
      <c r="B198" s="90" t="s">
        <v>18</v>
      </c>
      <c r="C198" s="179" t="s">
        <v>19</v>
      </c>
      <c r="D198" s="180">
        <v>1397517.92</v>
      </c>
      <c r="E198" s="180">
        <v>431024667.68000001</v>
      </c>
      <c r="F198" s="180">
        <v>405750585.30000001</v>
      </c>
    </row>
    <row r="199" spans="2:6" x14ac:dyDescent="0.25">
      <c r="B199" s="90" t="s">
        <v>10</v>
      </c>
      <c r="C199" s="179" t="s">
        <v>11</v>
      </c>
      <c r="D199" s="180">
        <v>1741786.32</v>
      </c>
      <c r="E199" s="180">
        <v>579575651.5</v>
      </c>
      <c r="F199" s="180">
        <v>518295072.80000001</v>
      </c>
    </row>
    <row r="200" spans="2:6" x14ac:dyDescent="0.25">
      <c r="B200" s="90" t="s">
        <v>484</v>
      </c>
      <c r="C200" s="179" t="s">
        <v>485</v>
      </c>
      <c r="D200" s="180"/>
      <c r="E200" s="180">
        <v>3232901.57</v>
      </c>
      <c r="F200" s="180">
        <v>3055143.2</v>
      </c>
    </row>
    <row r="201" spans="2:6" x14ac:dyDescent="0.25">
      <c r="B201" s="90" t="s">
        <v>112</v>
      </c>
      <c r="C201" s="179" t="s">
        <v>113</v>
      </c>
      <c r="D201" s="180">
        <v>157447.47</v>
      </c>
      <c r="E201" s="180">
        <v>97851503.439999998</v>
      </c>
      <c r="F201" s="180">
        <v>91192484.310000002</v>
      </c>
    </row>
    <row r="202" spans="2:6" x14ac:dyDescent="0.25">
      <c r="B202" s="90" t="s">
        <v>74</v>
      </c>
      <c r="C202" s="179" t="s">
        <v>75</v>
      </c>
      <c r="D202" s="180">
        <v>1504066.95</v>
      </c>
      <c r="E202" s="180">
        <v>191845724.72</v>
      </c>
      <c r="F202" s="180">
        <v>178653254.30000001</v>
      </c>
    </row>
    <row r="203" spans="2:6" x14ac:dyDescent="0.25">
      <c r="B203" s="90" t="s">
        <v>248</v>
      </c>
      <c r="C203" s="179" t="s">
        <v>249</v>
      </c>
      <c r="D203" s="180">
        <v>6477.88</v>
      </c>
      <c r="E203" s="180">
        <v>30148390.079999998</v>
      </c>
      <c r="F203" s="180">
        <v>28896118.140000001</v>
      </c>
    </row>
    <row r="204" spans="2:6" x14ac:dyDescent="0.25">
      <c r="B204" s="90" t="s">
        <v>198</v>
      </c>
      <c r="C204" s="179" t="s">
        <v>199</v>
      </c>
      <c r="D204" s="180">
        <v>164265.37</v>
      </c>
      <c r="E204" s="180">
        <v>49602218.549999997</v>
      </c>
      <c r="F204" s="180">
        <v>47191548.640000001</v>
      </c>
    </row>
    <row r="205" spans="2:6" x14ac:dyDescent="0.25">
      <c r="B205" s="90" t="s">
        <v>56</v>
      </c>
      <c r="C205" s="179" t="s">
        <v>57</v>
      </c>
      <c r="D205" s="180">
        <v>1238311.3500000001</v>
      </c>
      <c r="E205" s="180">
        <v>274886723.41000003</v>
      </c>
      <c r="F205" s="180">
        <v>228959176.78</v>
      </c>
    </row>
    <row r="206" spans="2:6" x14ac:dyDescent="0.25">
      <c r="B206" s="90" t="s">
        <v>76</v>
      </c>
      <c r="C206" s="179" t="s">
        <v>77</v>
      </c>
      <c r="D206" s="180">
        <v>754538.91</v>
      </c>
      <c r="E206" s="180">
        <v>170994333.05000001</v>
      </c>
      <c r="F206" s="180">
        <v>163199874.77000001</v>
      </c>
    </row>
    <row r="207" spans="2:6" x14ac:dyDescent="0.25">
      <c r="B207" s="90" t="s">
        <v>84</v>
      </c>
      <c r="C207" s="179" t="s">
        <v>85</v>
      </c>
      <c r="D207" s="180">
        <v>120317</v>
      </c>
      <c r="E207" s="180">
        <v>142897929.44</v>
      </c>
      <c r="F207" s="180">
        <v>128824379.29000001</v>
      </c>
    </row>
    <row r="208" spans="2:6" x14ac:dyDescent="0.25">
      <c r="B208" s="90" t="s">
        <v>34</v>
      </c>
      <c r="C208" s="179" t="s">
        <v>35</v>
      </c>
      <c r="D208" s="174">
        <v>635712.52</v>
      </c>
      <c r="E208" s="180">
        <v>383761479.25</v>
      </c>
      <c r="F208" s="180">
        <v>354351860.64999998</v>
      </c>
    </row>
    <row r="209" spans="2:6" x14ac:dyDescent="0.25">
      <c r="B209" s="90" t="s">
        <v>222</v>
      </c>
      <c r="C209" s="179" t="s">
        <v>223</v>
      </c>
      <c r="D209" s="180">
        <v>206509.14</v>
      </c>
      <c r="E209" s="180">
        <v>36099031.759999998</v>
      </c>
      <c r="F209" s="180">
        <v>33094248.850000001</v>
      </c>
    </row>
    <row r="210" spans="2:6" x14ac:dyDescent="0.25">
      <c r="B210" s="90" t="s">
        <v>156</v>
      </c>
      <c r="C210" s="179" t="s">
        <v>157</v>
      </c>
      <c r="D210" s="180">
        <v>305691.21000000002</v>
      </c>
      <c r="E210" s="180">
        <v>76444232.620000005</v>
      </c>
      <c r="F210" s="180">
        <v>71591660.140000001</v>
      </c>
    </row>
    <row r="211" spans="2:6" x14ac:dyDescent="0.25">
      <c r="B211" s="90" t="s">
        <v>152</v>
      </c>
      <c r="C211" s="179" t="s">
        <v>153</v>
      </c>
      <c r="D211" s="174">
        <v>114198.17</v>
      </c>
      <c r="E211" s="180">
        <v>73816648.310000002</v>
      </c>
      <c r="F211" s="180">
        <v>69556202.579999998</v>
      </c>
    </row>
    <row r="212" spans="2:6" x14ac:dyDescent="0.25">
      <c r="B212" s="90" t="s">
        <v>1154</v>
      </c>
      <c r="C212" s="179" t="s">
        <v>1155</v>
      </c>
      <c r="D212" s="180">
        <v>83156.600000000006</v>
      </c>
      <c r="E212" s="180">
        <v>12444394.5</v>
      </c>
      <c r="F212" s="180">
        <v>9723551.6400000006</v>
      </c>
    </row>
    <row r="213" spans="2:6" x14ac:dyDescent="0.25">
      <c r="B213" s="90" t="s">
        <v>1193</v>
      </c>
      <c r="C213" s="179" t="s">
        <v>1192</v>
      </c>
      <c r="D213" s="180"/>
      <c r="E213" s="180">
        <v>5351626.9400000004</v>
      </c>
      <c r="F213" s="180">
        <v>4794193.51</v>
      </c>
    </row>
    <row r="214" spans="2:6" x14ac:dyDescent="0.25">
      <c r="B214" s="90" t="s">
        <v>514</v>
      </c>
      <c r="C214" s="179" t="s">
        <v>515</v>
      </c>
      <c r="D214" s="180"/>
      <c r="E214" s="180">
        <v>3967697.59</v>
      </c>
      <c r="F214" s="180">
        <v>3814578.19</v>
      </c>
    </row>
    <row r="215" spans="2:6" x14ac:dyDescent="0.25">
      <c r="B215" s="90" t="s">
        <v>608</v>
      </c>
      <c r="C215" s="179" t="s">
        <v>609</v>
      </c>
      <c r="D215" s="180"/>
      <c r="E215" s="180">
        <v>422184.71</v>
      </c>
      <c r="F215" s="180">
        <v>378176.33</v>
      </c>
    </row>
    <row r="216" spans="2:6" x14ac:dyDescent="0.25">
      <c r="B216" s="90" t="s">
        <v>328</v>
      </c>
      <c r="C216" s="179" t="s">
        <v>329</v>
      </c>
      <c r="D216" s="180">
        <v>170094</v>
      </c>
      <c r="E216" s="180">
        <v>15724940.470000001</v>
      </c>
      <c r="F216" s="180">
        <v>14835290.449999999</v>
      </c>
    </row>
    <row r="217" spans="2:6" x14ac:dyDescent="0.25">
      <c r="B217" s="90" t="s">
        <v>450</v>
      </c>
      <c r="C217" s="179" t="s">
        <v>451</v>
      </c>
      <c r="D217" s="180">
        <v>71942.66</v>
      </c>
      <c r="E217" s="180">
        <v>6873843.0599999996</v>
      </c>
      <c r="F217" s="180">
        <v>6460351.6200000001</v>
      </c>
    </row>
    <row r="218" spans="2:6" x14ac:dyDescent="0.25">
      <c r="B218" s="90" t="s">
        <v>320</v>
      </c>
      <c r="C218" s="179" t="s">
        <v>321</v>
      </c>
      <c r="D218" s="180"/>
      <c r="E218" s="180">
        <v>17075426.329999998</v>
      </c>
      <c r="F218" s="180">
        <v>15922212.76</v>
      </c>
    </row>
    <row r="219" spans="2:6" x14ac:dyDescent="0.25">
      <c r="B219" s="90" t="s">
        <v>380</v>
      </c>
      <c r="C219" s="179" t="s">
        <v>381</v>
      </c>
      <c r="D219" s="180">
        <v>22782.92</v>
      </c>
      <c r="E219" s="180">
        <v>12404966.699999999</v>
      </c>
      <c r="F219" s="180">
        <v>11229223.65</v>
      </c>
    </row>
    <row r="220" spans="2:6" x14ac:dyDescent="0.25">
      <c r="B220" s="90" t="s">
        <v>154</v>
      </c>
      <c r="C220" s="179" t="s">
        <v>155</v>
      </c>
      <c r="D220" s="180">
        <v>30995.08</v>
      </c>
      <c r="E220" s="180">
        <v>69446350.890000001</v>
      </c>
      <c r="F220" s="180">
        <v>63399947.469999999</v>
      </c>
    </row>
    <row r="221" spans="2:6" x14ac:dyDescent="0.25">
      <c r="B221" s="90" t="s">
        <v>136</v>
      </c>
      <c r="C221" s="179" t="s">
        <v>137</v>
      </c>
      <c r="D221" s="174">
        <v>254409.56</v>
      </c>
      <c r="E221" s="180">
        <v>90615537.409999996</v>
      </c>
      <c r="F221" s="180">
        <v>83422909.530000001</v>
      </c>
    </row>
    <row r="222" spans="2:6" x14ac:dyDescent="0.25">
      <c r="B222" s="90" t="s">
        <v>190</v>
      </c>
      <c r="C222" s="179" t="s">
        <v>191</v>
      </c>
      <c r="D222" s="174">
        <v>74939.67</v>
      </c>
      <c r="E222" s="180">
        <v>50171572.479999997</v>
      </c>
      <c r="F222" s="180">
        <v>47691022.869999997</v>
      </c>
    </row>
    <row r="223" spans="2:6" x14ac:dyDescent="0.25">
      <c r="B223" s="90" t="s">
        <v>378</v>
      </c>
      <c r="C223" s="179" t="s">
        <v>379</v>
      </c>
      <c r="D223" s="180"/>
      <c r="E223" s="180">
        <v>13771141.810000001</v>
      </c>
      <c r="F223" s="180">
        <v>10064763.449999999</v>
      </c>
    </row>
    <row r="224" spans="2:6" x14ac:dyDescent="0.25">
      <c r="B224" s="90" t="s">
        <v>396</v>
      </c>
      <c r="C224" s="179" t="s">
        <v>397</v>
      </c>
      <c r="D224" s="180"/>
      <c r="E224" s="180">
        <v>8311723.6500000004</v>
      </c>
      <c r="F224" s="180">
        <v>7861730.3899999997</v>
      </c>
    </row>
    <row r="225" spans="2:6" x14ac:dyDescent="0.25">
      <c r="B225" s="90" t="s">
        <v>94</v>
      </c>
      <c r="C225" s="179" t="s">
        <v>95</v>
      </c>
      <c r="D225" s="180">
        <v>66785.899999999994</v>
      </c>
      <c r="E225" s="180">
        <v>141040699.34</v>
      </c>
      <c r="F225" s="180">
        <v>128766267.76000001</v>
      </c>
    </row>
    <row r="226" spans="2:6" x14ac:dyDescent="0.25">
      <c r="B226" s="90" t="s">
        <v>536</v>
      </c>
      <c r="C226" s="179" t="s">
        <v>537</v>
      </c>
      <c r="D226" s="180"/>
      <c r="E226" s="180">
        <v>2093358.01</v>
      </c>
      <c r="F226" s="180">
        <v>1949932.68</v>
      </c>
    </row>
    <row r="227" spans="2:6" x14ac:dyDescent="0.25">
      <c r="B227" s="90" t="s">
        <v>560</v>
      </c>
      <c r="C227" s="179" t="s">
        <v>561</v>
      </c>
      <c r="D227" s="180"/>
      <c r="E227" s="180">
        <v>1386473</v>
      </c>
      <c r="F227" s="180">
        <v>1338727.8700000001</v>
      </c>
    </row>
    <row r="228" spans="2:6" x14ac:dyDescent="0.25">
      <c r="B228" s="90" t="s">
        <v>600</v>
      </c>
      <c r="C228" s="179" t="s">
        <v>601</v>
      </c>
      <c r="D228" s="180"/>
      <c r="E228" s="180">
        <v>2479063.83</v>
      </c>
      <c r="F228" s="180">
        <v>2338359.81</v>
      </c>
    </row>
    <row r="229" spans="2:6" x14ac:dyDescent="0.25">
      <c r="B229" s="90" t="s">
        <v>306</v>
      </c>
      <c r="C229" s="179" t="s">
        <v>307</v>
      </c>
      <c r="D229" s="180">
        <v>231556.19</v>
      </c>
      <c r="E229" s="180">
        <v>15737631.23</v>
      </c>
      <c r="F229" s="180">
        <v>14356212.18</v>
      </c>
    </row>
    <row r="230" spans="2:6" x14ac:dyDescent="0.25">
      <c r="B230" s="90" t="s">
        <v>30</v>
      </c>
      <c r="C230" s="179" t="s">
        <v>31</v>
      </c>
      <c r="D230" s="180">
        <v>241465.54</v>
      </c>
      <c r="E230" s="180">
        <v>414998852.74000001</v>
      </c>
      <c r="F230" s="180">
        <v>387008844.54000002</v>
      </c>
    </row>
    <row r="231" spans="2:6" x14ac:dyDescent="0.25">
      <c r="B231" s="90" t="s">
        <v>78</v>
      </c>
      <c r="C231" s="179" t="s">
        <v>79</v>
      </c>
      <c r="D231" s="180">
        <v>1010101.87</v>
      </c>
      <c r="E231" s="180">
        <v>181795043.25999999</v>
      </c>
      <c r="F231" s="180">
        <v>170563240.69999999</v>
      </c>
    </row>
    <row r="232" spans="2:6" x14ac:dyDescent="0.25">
      <c r="B232" s="90" t="s">
        <v>46</v>
      </c>
      <c r="C232" s="179" t="s">
        <v>47</v>
      </c>
      <c r="D232" s="180">
        <v>522708.91</v>
      </c>
      <c r="E232" s="180">
        <v>318358168.68000001</v>
      </c>
      <c r="F232" s="180">
        <v>298606044.35000002</v>
      </c>
    </row>
    <row r="233" spans="2:6" x14ac:dyDescent="0.25">
      <c r="B233" s="90" t="s">
        <v>24</v>
      </c>
      <c r="C233" s="179" t="s">
        <v>25</v>
      </c>
      <c r="D233" s="180">
        <v>335577.15</v>
      </c>
      <c r="E233" s="180">
        <v>413157294.74000001</v>
      </c>
      <c r="F233" s="180">
        <v>389248882.02999997</v>
      </c>
    </row>
    <row r="234" spans="2:6" x14ac:dyDescent="0.25">
      <c r="B234" s="90" t="s">
        <v>114</v>
      </c>
      <c r="C234" s="179" t="s">
        <v>115</v>
      </c>
      <c r="D234" s="180">
        <v>1140128.46</v>
      </c>
      <c r="E234" s="180">
        <v>101469007.83</v>
      </c>
      <c r="F234" s="180">
        <v>93383896.469999999</v>
      </c>
    </row>
    <row r="235" spans="2:6" x14ac:dyDescent="0.25">
      <c r="B235" s="90" t="s">
        <v>62</v>
      </c>
      <c r="C235" s="179" t="s">
        <v>63</v>
      </c>
      <c r="D235" s="180">
        <v>759427.34</v>
      </c>
      <c r="E235" s="180">
        <v>192389943.13999999</v>
      </c>
      <c r="F235" s="180">
        <v>172856481.88</v>
      </c>
    </row>
    <row r="236" spans="2:6" x14ac:dyDescent="0.25">
      <c r="B236" s="90" t="s">
        <v>582</v>
      </c>
      <c r="C236" s="179" t="s">
        <v>583</v>
      </c>
      <c r="D236" s="180"/>
      <c r="E236" s="180">
        <v>1061085.02</v>
      </c>
      <c r="F236" s="180">
        <v>1014057.84</v>
      </c>
    </row>
    <row r="237" spans="2:6" x14ac:dyDescent="0.25">
      <c r="B237" s="90" t="s">
        <v>96</v>
      </c>
      <c r="C237" s="179" t="s">
        <v>97</v>
      </c>
      <c r="D237" s="180">
        <v>57528.6</v>
      </c>
      <c r="E237" s="180">
        <v>111787106.56999999</v>
      </c>
      <c r="F237" s="180">
        <v>105214950.98999999</v>
      </c>
    </row>
    <row r="238" spans="2:6" x14ac:dyDescent="0.25">
      <c r="B238" s="90" t="s">
        <v>64</v>
      </c>
      <c r="C238" s="179" t="s">
        <v>65</v>
      </c>
      <c r="D238" s="180">
        <v>793761.98</v>
      </c>
      <c r="E238" s="180">
        <v>189680902.66999999</v>
      </c>
      <c r="F238" s="180">
        <v>175027115.22999999</v>
      </c>
    </row>
    <row r="239" spans="2:6" x14ac:dyDescent="0.25">
      <c r="B239" s="90" t="s">
        <v>208</v>
      </c>
      <c r="C239" s="179" t="s">
        <v>209</v>
      </c>
      <c r="D239" s="180">
        <v>163834.12</v>
      </c>
      <c r="E239" s="180">
        <v>50910838.350000001</v>
      </c>
      <c r="F239" s="180">
        <v>47416441.189999998</v>
      </c>
    </row>
    <row r="240" spans="2:6" x14ac:dyDescent="0.25">
      <c r="B240" s="90" t="s">
        <v>220</v>
      </c>
      <c r="C240" s="179" t="s">
        <v>221</v>
      </c>
      <c r="D240" s="174">
        <v>55357.24</v>
      </c>
      <c r="E240" s="180">
        <v>42686201.460000001</v>
      </c>
      <c r="F240" s="180">
        <v>39809485</v>
      </c>
    </row>
    <row r="241" spans="2:6" x14ac:dyDescent="0.25">
      <c r="B241" s="90" t="s">
        <v>406</v>
      </c>
      <c r="C241" s="179" t="s">
        <v>407</v>
      </c>
      <c r="D241" s="174">
        <v>38716.410000000003</v>
      </c>
      <c r="E241" s="180">
        <v>10419861.609999999</v>
      </c>
      <c r="F241" s="180">
        <v>9387774.25</v>
      </c>
    </row>
    <row r="242" spans="2:6" x14ac:dyDescent="0.25">
      <c r="B242" s="90" t="s">
        <v>218</v>
      </c>
      <c r="C242" s="179" t="s">
        <v>219</v>
      </c>
      <c r="D242" s="180"/>
      <c r="E242" s="180">
        <v>43808603.390000001</v>
      </c>
      <c r="F242" s="180">
        <v>41257779.270000003</v>
      </c>
    </row>
    <row r="243" spans="2:6" x14ac:dyDescent="0.25">
      <c r="B243" s="90" t="s">
        <v>128</v>
      </c>
      <c r="C243" s="179" t="s">
        <v>129</v>
      </c>
      <c r="D243" s="180">
        <v>204678.36</v>
      </c>
      <c r="E243" s="180">
        <v>91947802.549999997</v>
      </c>
      <c r="F243" s="180">
        <v>87280626.400000006</v>
      </c>
    </row>
    <row r="244" spans="2:6" x14ac:dyDescent="0.25">
      <c r="B244" s="90" t="s">
        <v>6</v>
      </c>
      <c r="C244" s="179" t="s">
        <v>7</v>
      </c>
      <c r="D244" s="180">
        <v>6944989.9900000002</v>
      </c>
      <c r="E244" s="180">
        <v>586335661.41999996</v>
      </c>
      <c r="F244" s="180">
        <v>497630235.14999998</v>
      </c>
    </row>
    <row r="245" spans="2:6" x14ac:dyDescent="0.25">
      <c r="B245" s="90" t="s">
        <v>540</v>
      </c>
      <c r="C245" s="179" t="s">
        <v>541</v>
      </c>
      <c r="D245" s="180">
        <v>33854.86</v>
      </c>
      <c r="E245" s="180">
        <v>1527630.66</v>
      </c>
      <c r="F245" s="180">
        <v>1399130.59</v>
      </c>
    </row>
    <row r="246" spans="2:6" x14ac:dyDescent="0.25">
      <c r="B246" s="90" t="s">
        <v>572</v>
      </c>
      <c r="C246" s="179" t="s">
        <v>573</v>
      </c>
      <c r="D246" s="180">
        <v>10861.25</v>
      </c>
      <c r="E246" s="180">
        <v>1147749.52</v>
      </c>
      <c r="F246" s="180">
        <v>954176.88</v>
      </c>
    </row>
    <row r="247" spans="2:6" x14ac:dyDescent="0.25">
      <c r="B247" s="90" t="s">
        <v>258</v>
      </c>
      <c r="C247" s="179" t="s">
        <v>259</v>
      </c>
      <c r="D247" s="180">
        <v>206927.89</v>
      </c>
      <c r="E247" s="180">
        <v>25227103.989999998</v>
      </c>
      <c r="F247" s="180">
        <v>23190536.609999999</v>
      </c>
    </row>
    <row r="248" spans="2:6" x14ac:dyDescent="0.25">
      <c r="B248" s="90" t="s">
        <v>226</v>
      </c>
      <c r="C248" s="179" t="s">
        <v>227</v>
      </c>
      <c r="D248" s="180">
        <v>101668.51</v>
      </c>
      <c r="E248" s="180">
        <v>32272308.059999999</v>
      </c>
      <c r="F248" s="180">
        <v>26504725.370000001</v>
      </c>
    </row>
    <row r="249" spans="2:6" x14ac:dyDescent="0.25">
      <c r="B249" s="90" t="s">
        <v>70</v>
      </c>
      <c r="C249" s="179" t="s">
        <v>71</v>
      </c>
      <c r="D249" s="180">
        <v>1739953.64</v>
      </c>
      <c r="E249" s="180">
        <v>177223333.91</v>
      </c>
      <c r="F249" s="180">
        <v>164964434.71000001</v>
      </c>
    </row>
    <row r="250" spans="2:6" x14ac:dyDescent="0.25">
      <c r="B250" s="90" t="s">
        <v>50</v>
      </c>
      <c r="C250" s="179" t="s">
        <v>51</v>
      </c>
      <c r="D250" s="180">
        <v>999864.22</v>
      </c>
      <c r="E250" s="180">
        <v>258017660.06</v>
      </c>
      <c r="F250" s="180">
        <v>231939392.28</v>
      </c>
    </row>
    <row r="251" spans="2:6" x14ac:dyDescent="0.25">
      <c r="B251" s="90" t="s">
        <v>312</v>
      </c>
      <c r="C251" s="179" t="s">
        <v>313</v>
      </c>
      <c r="D251" s="174">
        <v>30091.53</v>
      </c>
      <c r="E251" s="180">
        <v>13896052.73</v>
      </c>
      <c r="F251" s="180">
        <v>13233946.140000001</v>
      </c>
    </row>
    <row r="252" spans="2:6" x14ac:dyDescent="0.25">
      <c r="B252" s="90" t="s">
        <v>126</v>
      </c>
      <c r="C252" s="179" t="s">
        <v>127</v>
      </c>
      <c r="D252" s="180">
        <v>2077299.32</v>
      </c>
      <c r="E252" s="180">
        <v>94972148.25</v>
      </c>
      <c r="F252" s="180">
        <v>85164129.469999999</v>
      </c>
    </row>
    <row r="253" spans="2:6" x14ac:dyDescent="0.25">
      <c r="B253" s="90" t="s">
        <v>140</v>
      </c>
      <c r="C253" s="179" t="s">
        <v>1191</v>
      </c>
      <c r="D253" s="180">
        <v>293668.73</v>
      </c>
      <c r="E253" s="180">
        <v>70194428.719999999</v>
      </c>
      <c r="F253" s="180">
        <v>62342040.75</v>
      </c>
    </row>
    <row r="254" spans="2:6" x14ac:dyDescent="0.25">
      <c r="B254" s="90" t="s">
        <v>390</v>
      </c>
      <c r="C254" s="179" t="s">
        <v>391</v>
      </c>
      <c r="D254" s="180">
        <v>85640.13</v>
      </c>
      <c r="E254" s="180">
        <v>10994011.73</v>
      </c>
      <c r="F254" s="180">
        <v>10078015.060000001</v>
      </c>
    </row>
    <row r="255" spans="2:6" x14ac:dyDescent="0.25">
      <c r="B255" s="90" t="s">
        <v>150</v>
      </c>
      <c r="C255" s="179" t="s">
        <v>1190</v>
      </c>
      <c r="D255" s="180">
        <v>46000</v>
      </c>
      <c r="E255" s="180">
        <v>60425370.850000001</v>
      </c>
      <c r="F255" s="180">
        <v>54743093.32</v>
      </c>
    </row>
    <row r="256" spans="2:6" x14ac:dyDescent="0.25">
      <c r="B256" s="90" t="s">
        <v>202</v>
      </c>
      <c r="C256" s="179" t="s">
        <v>203</v>
      </c>
      <c r="D256" s="180">
        <v>758467.47</v>
      </c>
      <c r="E256" s="180">
        <v>42906169.359999999</v>
      </c>
      <c r="F256" s="180">
        <v>38510043.219999999</v>
      </c>
    </row>
    <row r="257" spans="2:6" x14ac:dyDescent="0.25">
      <c r="B257" s="90" t="s">
        <v>250</v>
      </c>
      <c r="C257" s="179" t="s">
        <v>251</v>
      </c>
      <c r="D257" s="180">
        <v>280143.59999999998</v>
      </c>
      <c r="E257" s="180">
        <v>25961858.719999999</v>
      </c>
      <c r="F257" s="180">
        <v>23005079.32</v>
      </c>
    </row>
    <row r="258" spans="2:6" x14ac:dyDescent="0.25">
      <c r="B258" s="90" t="s">
        <v>442</v>
      </c>
      <c r="C258" s="179" t="s">
        <v>443</v>
      </c>
      <c r="D258" s="174">
        <v>234364.05</v>
      </c>
      <c r="E258" s="180">
        <v>14123916.15</v>
      </c>
      <c r="F258" s="180">
        <v>12657165.289999999</v>
      </c>
    </row>
    <row r="259" spans="2:6" x14ac:dyDescent="0.25">
      <c r="B259" s="90" t="s">
        <v>1160</v>
      </c>
      <c r="C259" s="179" t="s">
        <v>1178</v>
      </c>
      <c r="D259" s="180"/>
      <c r="E259" s="180">
        <v>2232759.5099999998</v>
      </c>
      <c r="F259" s="180">
        <v>1746636.67</v>
      </c>
    </row>
    <row r="260" spans="2:6" x14ac:dyDescent="0.25">
      <c r="B260" s="90" t="s">
        <v>448</v>
      </c>
      <c r="C260" s="179" t="s">
        <v>1252</v>
      </c>
      <c r="D260" s="180"/>
      <c r="E260" s="180">
        <v>5578616.5199999996</v>
      </c>
      <c r="F260" s="180">
        <v>4197949.2300000004</v>
      </c>
    </row>
    <row r="261" spans="2:6" x14ac:dyDescent="0.25">
      <c r="B261" s="90" t="s">
        <v>578</v>
      </c>
      <c r="C261" s="179" t="s">
        <v>579</v>
      </c>
      <c r="D261" s="180">
        <v>57998.35</v>
      </c>
      <c r="E261" s="180">
        <v>1313192.8600000001</v>
      </c>
      <c r="F261" s="180">
        <v>1073078.8700000001</v>
      </c>
    </row>
    <row r="262" spans="2:6" x14ac:dyDescent="0.25">
      <c r="B262" s="90" t="s">
        <v>326</v>
      </c>
      <c r="C262" s="179" t="s">
        <v>327</v>
      </c>
      <c r="D262" s="180">
        <v>71758.490000000005</v>
      </c>
      <c r="E262" s="180">
        <v>14552013.07</v>
      </c>
      <c r="F262" s="180">
        <v>13104467.09</v>
      </c>
    </row>
    <row r="263" spans="2:6" x14ac:dyDescent="0.25">
      <c r="B263" s="90" t="s">
        <v>404</v>
      </c>
      <c r="C263" s="179" t="s">
        <v>405</v>
      </c>
      <c r="D263" s="174">
        <v>2877</v>
      </c>
      <c r="E263" s="180">
        <v>13469244.91</v>
      </c>
      <c r="F263" s="180">
        <v>8236621.3300000001</v>
      </c>
    </row>
    <row r="264" spans="2:6" x14ac:dyDescent="0.25">
      <c r="B264" s="90" t="s">
        <v>338</v>
      </c>
      <c r="C264" s="179" t="s">
        <v>339</v>
      </c>
      <c r="D264" s="174">
        <v>403112.99</v>
      </c>
      <c r="E264" s="180">
        <v>17982420.25</v>
      </c>
      <c r="F264" s="180">
        <v>15755219.859999999</v>
      </c>
    </row>
    <row r="265" spans="2:6" x14ac:dyDescent="0.25">
      <c r="B265" s="90" t="s">
        <v>230</v>
      </c>
      <c r="C265" s="179" t="s">
        <v>231</v>
      </c>
      <c r="D265" s="180">
        <v>34073.49</v>
      </c>
      <c r="E265" s="180">
        <v>30896999.690000001</v>
      </c>
      <c r="F265" s="180">
        <v>28293698.43</v>
      </c>
    </row>
    <row r="266" spans="2:6" x14ac:dyDescent="0.25">
      <c r="B266" s="90" t="s">
        <v>474</v>
      </c>
      <c r="C266" s="179" t="s">
        <v>475</v>
      </c>
      <c r="D266" s="180">
        <v>-6727.51</v>
      </c>
      <c r="E266" s="180">
        <v>3564788.1</v>
      </c>
      <c r="F266" s="180">
        <v>3205460.97</v>
      </c>
    </row>
    <row r="267" spans="2:6" x14ac:dyDescent="0.25">
      <c r="B267" s="90" t="s">
        <v>554</v>
      </c>
      <c r="C267" s="179" t="s">
        <v>555</v>
      </c>
      <c r="D267" s="180">
        <v>-24810.38</v>
      </c>
      <c r="E267" s="180">
        <v>1525777.48</v>
      </c>
      <c r="F267" s="180">
        <v>1322337.71</v>
      </c>
    </row>
    <row r="268" spans="2:6" x14ac:dyDescent="0.25">
      <c r="B268" s="90" t="s">
        <v>590</v>
      </c>
      <c r="C268" s="179" t="s">
        <v>1189</v>
      </c>
      <c r="D268" s="180"/>
      <c r="E268" s="180">
        <v>758686.89</v>
      </c>
      <c r="F268" s="180">
        <v>641031.59</v>
      </c>
    </row>
    <row r="269" spans="2:6" x14ac:dyDescent="0.25">
      <c r="B269" s="90" t="s">
        <v>500</v>
      </c>
      <c r="C269" s="179" t="s">
        <v>1188</v>
      </c>
      <c r="D269" s="180">
        <v>125223.92</v>
      </c>
      <c r="E269" s="180">
        <v>3736840.19</v>
      </c>
      <c r="F269" s="180">
        <v>3056187.85</v>
      </c>
    </row>
    <row r="270" spans="2:6" x14ac:dyDescent="0.25">
      <c r="B270" s="90" t="s">
        <v>382</v>
      </c>
      <c r="C270" s="179" t="s">
        <v>383</v>
      </c>
      <c r="D270" s="180">
        <v>201796.33</v>
      </c>
      <c r="E270" s="180">
        <v>9580387.0800000001</v>
      </c>
      <c r="F270" s="180">
        <v>7944756.5499999998</v>
      </c>
    </row>
    <row r="271" spans="2:6" x14ac:dyDescent="0.25">
      <c r="B271" s="90" t="s">
        <v>454</v>
      </c>
      <c r="C271" s="179" t="s">
        <v>455</v>
      </c>
      <c r="D271" s="180">
        <v>139207.28</v>
      </c>
      <c r="E271" s="180">
        <v>6417247.96</v>
      </c>
      <c r="F271" s="180">
        <v>5845520.2199999997</v>
      </c>
    </row>
    <row r="272" spans="2:6" x14ac:dyDescent="0.25">
      <c r="B272" s="90" t="s">
        <v>298</v>
      </c>
      <c r="C272" s="179" t="s">
        <v>299</v>
      </c>
      <c r="D272" s="180">
        <v>122407.23</v>
      </c>
      <c r="E272" s="180">
        <v>19024724.289999999</v>
      </c>
      <c r="F272" s="180">
        <v>17173804.690000001</v>
      </c>
    </row>
    <row r="273" spans="2:6" x14ac:dyDescent="0.25">
      <c r="B273" s="90" t="s">
        <v>110</v>
      </c>
      <c r="C273" s="179" t="s">
        <v>111</v>
      </c>
      <c r="D273" s="174">
        <v>133665.23000000001</v>
      </c>
      <c r="E273" s="180">
        <v>91415824.379999995</v>
      </c>
      <c r="F273" s="180">
        <v>84603420.689999998</v>
      </c>
    </row>
    <row r="274" spans="2:6" x14ac:dyDescent="0.25">
      <c r="B274" s="90" t="s">
        <v>48</v>
      </c>
      <c r="C274" s="179" t="s">
        <v>49</v>
      </c>
      <c r="D274" s="180">
        <v>420194.72</v>
      </c>
      <c r="E274" s="180">
        <v>281832031.35000002</v>
      </c>
      <c r="F274" s="180">
        <v>262658441.66999999</v>
      </c>
    </row>
    <row r="275" spans="2:6" x14ac:dyDescent="0.25">
      <c r="B275" s="90" t="s">
        <v>92</v>
      </c>
      <c r="C275" s="179" t="s">
        <v>93</v>
      </c>
      <c r="D275" s="180">
        <v>146288.64000000001</v>
      </c>
      <c r="E275" s="180">
        <v>121326527</v>
      </c>
      <c r="F275" s="180">
        <v>114067245.48</v>
      </c>
    </row>
    <row r="276" spans="2:6" x14ac:dyDescent="0.25">
      <c r="B276" s="90" t="s">
        <v>66</v>
      </c>
      <c r="C276" s="179" t="s">
        <v>67</v>
      </c>
      <c r="D276" s="174">
        <v>272840.58</v>
      </c>
      <c r="E276" s="180">
        <v>175317896.09</v>
      </c>
      <c r="F276" s="180">
        <v>164960685.44999999</v>
      </c>
    </row>
    <row r="277" spans="2:6" x14ac:dyDescent="0.25">
      <c r="B277" s="90" t="s">
        <v>318</v>
      </c>
      <c r="C277" s="179" t="s">
        <v>319</v>
      </c>
      <c r="D277" s="180">
        <v>229352.31</v>
      </c>
      <c r="E277" s="180">
        <v>16489021.84</v>
      </c>
      <c r="F277" s="180">
        <v>15051231.49</v>
      </c>
    </row>
    <row r="278" spans="2:6" x14ac:dyDescent="0.25">
      <c r="B278" s="90" t="s">
        <v>352</v>
      </c>
      <c r="C278" s="179" t="s">
        <v>353</v>
      </c>
      <c r="D278" s="180">
        <v>77754.22</v>
      </c>
      <c r="E278" s="180">
        <v>11976145.09</v>
      </c>
      <c r="F278" s="180">
        <v>11303109.470000001</v>
      </c>
    </row>
    <row r="279" spans="2:6" x14ac:dyDescent="0.25">
      <c r="B279" s="90" t="s">
        <v>210</v>
      </c>
      <c r="C279" s="179" t="s">
        <v>211</v>
      </c>
      <c r="D279" s="180">
        <v>75466.05</v>
      </c>
      <c r="E279" s="180">
        <v>39969944.93</v>
      </c>
      <c r="F279" s="180">
        <v>36712160.609999999</v>
      </c>
    </row>
    <row r="280" spans="2:6" x14ac:dyDescent="0.25">
      <c r="B280" s="90" t="s">
        <v>276</v>
      </c>
      <c r="C280" s="179" t="s">
        <v>277</v>
      </c>
      <c r="D280" s="180">
        <v>51397.36</v>
      </c>
      <c r="E280" s="180">
        <v>22804986.440000001</v>
      </c>
      <c r="F280" s="180">
        <v>21169483.399999999</v>
      </c>
    </row>
    <row r="281" spans="2:6" x14ac:dyDescent="0.25">
      <c r="B281" s="90" t="s">
        <v>1000</v>
      </c>
      <c r="C281" s="179" t="s">
        <v>1002</v>
      </c>
      <c r="D281" s="174">
        <v>8398.14</v>
      </c>
      <c r="E281" s="180">
        <v>1915585.02</v>
      </c>
      <c r="F281" s="180">
        <v>1904588.93</v>
      </c>
    </row>
    <row r="282" spans="2:6" x14ac:dyDescent="0.25">
      <c r="B282" s="90" t="s">
        <v>398</v>
      </c>
      <c r="C282" s="179" t="s">
        <v>399</v>
      </c>
      <c r="D282" s="174">
        <v>32814.32</v>
      </c>
      <c r="E282" s="180">
        <v>7766409.9199999999</v>
      </c>
      <c r="F282" s="180">
        <v>6783705.7599999998</v>
      </c>
    </row>
    <row r="283" spans="2:6" x14ac:dyDescent="0.25">
      <c r="B283" s="90" t="s">
        <v>602</v>
      </c>
      <c r="C283" s="179" t="s">
        <v>603</v>
      </c>
      <c r="D283" s="174">
        <v>4069.01</v>
      </c>
      <c r="E283" s="180">
        <v>831346.33</v>
      </c>
      <c r="F283" s="180">
        <v>680661.64</v>
      </c>
    </row>
    <row r="284" spans="2:6" x14ac:dyDescent="0.25">
      <c r="B284" s="90" t="s">
        <v>108</v>
      </c>
      <c r="C284" s="179" t="s">
        <v>109</v>
      </c>
      <c r="D284" s="180">
        <v>612900.89</v>
      </c>
      <c r="E284" s="180">
        <v>100313604.56999999</v>
      </c>
      <c r="F284" s="180">
        <v>89164774.900000006</v>
      </c>
    </row>
    <row r="285" spans="2:6" x14ac:dyDescent="0.25">
      <c r="B285" s="90" t="s">
        <v>264</v>
      </c>
      <c r="C285" s="179" t="s">
        <v>265</v>
      </c>
      <c r="D285" s="180">
        <v>402965.62</v>
      </c>
      <c r="E285" s="180">
        <v>29289577.850000001</v>
      </c>
      <c r="F285" s="180">
        <v>26187312.149999999</v>
      </c>
    </row>
    <row r="286" spans="2:6" x14ac:dyDescent="0.25">
      <c r="B286" s="90" t="s">
        <v>468</v>
      </c>
      <c r="C286" s="179" t="s">
        <v>469</v>
      </c>
      <c r="D286" s="180">
        <v>2260.5100000000002</v>
      </c>
      <c r="E286" s="180">
        <v>5061792.6399999997</v>
      </c>
      <c r="F286" s="180">
        <v>4620724.8</v>
      </c>
    </row>
    <row r="287" spans="2:6" x14ac:dyDescent="0.25">
      <c r="B287" s="90" t="s">
        <v>332</v>
      </c>
      <c r="C287" s="179" t="s">
        <v>333</v>
      </c>
      <c r="D287" s="180">
        <v>66125.850000000006</v>
      </c>
      <c r="E287" s="180">
        <v>15066407.279999999</v>
      </c>
      <c r="F287" s="180">
        <v>13869963.91</v>
      </c>
    </row>
    <row r="288" spans="2:6" x14ac:dyDescent="0.25">
      <c r="B288" s="90" t="s">
        <v>430</v>
      </c>
      <c r="C288" s="179" t="s">
        <v>431</v>
      </c>
      <c r="D288" s="180"/>
      <c r="E288" s="180">
        <v>5585477.3399999999</v>
      </c>
      <c r="F288" s="180">
        <v>5019848.22</v>
      </c>
    </row>
    <row r="289" spans="2:6" x14ac:dyDescent="0.25">
      <c r="B289" s="90" t="s">
        <v>434</v>
      </c>
      <c r="C289" s="179" t="s">
        <v>435</v>
      </c>
      <c r="D289" s="180"/>
      <c r="E289" s="180">
        <v>6576450.8099999996</v>
      </c>
      <c r="F289" s="180">
        <v>5984095.21</v>
      </c>
    </row>
    <row r="290" spans="2:6" x14ac:dyDescent="0.25">
      <c r="B290" s="90" t="s">
        <v>58</v>
      </c>
      <c r="C290" s="179" t="s">
        <v>59</v>
      </c>
      <c r="D290" s="180">
        <v>724813.86</v>
      </c>
      <c r="E290" s="180">
        <v>221473849.63</v>
      </c>
      <c r="F290" s="180">
        <v>206341832.12</v>
      </c>
    </row>
    <row r="291" spans="2:6" x14ac:dyDescent="0.25">
      <c r="B291" s="90" t="s">
        <v>124</v>
      </c>
      <c r="C291" s="179" t="s">
        <v>125</v>
      </c>
      <c r="D291" s="180">
        <v>419168.29</v>
      </c>
      <c r="E291" s="180">
        <v>89283437.829999998</v>
      </c>
      <c r="F291" s="180">
        <v>81303488.299999997</v>
      </c>
    </row>
    <row r="292" spans="2:6" x14ac:dyDescent="0.25">
      <c r="B292" s="90" t="s">
        <v>212</v>
      </c>
      <c r="C292" s="179" t="s">
        <v>213</v>
      </c>
      <c r="D292" s="180">
        <v>357396.52</v>
      </c>
      <c r="E292" s="180">
        <v>39140074.270000003</v>
      </c>
      <c r="F292" s="180">
        <v>36493963.560000002</v>
      </c>
    </row>
    <row r="293" spans="2:6" x14ac:dyDescent="0.25">
      <c r="B293" s="90" t="s">
        <v>172</v>
      </c>
      <c r="C293" s="179" t="s">
        <v>173</v>
      </c>
      <c r="D293" s="180">
        <v>361640.28</v>
      </c>
      <c r="E293" s="180">
        <v>63315424.590000004</v>
      </c>
      <c r="F293" s="180">
        <v>58785743.060000002</v>
      </c>
    </row>
    <row r="294" spans="2:6" x14ac:dyDescent="0.25">
      <c r="B294" s="90" t="s">
        <v>232</v>
      </c>
      <c r="C294" s="179" t="s">
        <v>233</v>
      </c>
      <c r="D294" s="180">
        <v>638592.34</v>
      </c>
      <c r="E294" s="180">
        <v>34470970.649999999</v>
      </c>
      <c r="F294" s="180">
        <v>32113550.710000001</v>
      </c>
    </row>
    <row r="295" spans="2:6" x14ac:dyDescent="0.25">
      <c r="B295" s="90" t="s">
        <v>236</v>
      </c>
      <c r="C295" s="179" t="s">
        <v>237</v>
      </c>
      <c r="D295" s="180"/>
      <c r="E295" s="180">
        <v>37341696.899999999</v>
      </c>
      <c r="F295" s="180">
        <v>33701850.549999997</v>
      </c>
    </row>
    <row r="296" spans="2:6" x14ac:dyDescent="0.25">
      <c r="B296" s="90" t="s">
        <v>224</v>
      </c>
      <c r="C296" s="179" t="s">
        <v>225</v>
      </c>
      <c r="D296" s="180">
        <v>47205.19</v>
      </c>
      <c r="E296" s="180">
        <v>33508110.469999999</v>
      </c>
      <c r="F296" s="180">
        <v>30268218.329999998</v>
      </c>
    </row>
    <row r="297" spans="2:6" x14ac:dyDescent="0.25">
      <c r="B297" s="90" t="s">
        <v>1187</v>
      </c>
      <c r="C297" s="179" t="s">
        <v>1186</v>
      </c>
      <c r="D297" s="180"/>
      <c r="E297" s="180">
        <v>2408820.61</v>
      </c>
      <c r="F297" s="180">
        <v>2313080.7400000002</v>
      </c>
    </row>
    <row r="298" spans="2:6" x14ac:dyDescent="0.25">
      <c r="B298" s="90" t="s">
        <v>564</v>
      </c>
      <c r="C298" s="179" t="s">
        <v>565</v>
      </c>
      <c r="D298" s="180">
        <v>415.42</v>
      </c>
      <c r="E298" s="180">
        <v>3177725.17</v>
      </c>
      <c r="F298" s="180">
        <v>3098449.65</v>
      </c>
    </row>
    <row r="299" spans="2:6" x14ac:dyDescent="0.25">
      <c r="B299" s="90" t="s">
        <v>586</v>
      </c>
      <c r="C299" s="179" t="s">
        <v>587</v>
      </c>
      <c r="D299" s="180">
        <v>8119.48</v>
      </c>
      <c r="E299" s="180">
        <v>1113086.1200000001</v>
      </c>
      <c r="F299" s="180">
        <v>1030290.26</v>
      </c>
    </row>
    <row r="300" spans="2:6" x14ac:dyDescent="0.25">
      <c r="B300" s="90" t="s">
        <v>470</v>
      </c>
      <c r="C300" s="179" t="s">
        <v>471</v>
      </c>
      <c r="D300" s="180">
        <v>1000</v>
      </c>
      <c r="E300" s="180">
        <v>4877987.0999999996</v>
      </c>
      <c r="F300" s="180">
        <v>4525766.9800000004</v>
      </c>
    </row>
    <row r="301" spans="2:6" x14ac:dyDescent="0.25">
      <c r="B301" s="90" t="s">
        <v>186</v>
      </c>
      <c r="C301" s="179" t="s">
        <v>187</v>
      </c>
      <c r="D301" s="174">
        <v>103751.14</v>
      </c>
      <c r="E301" s="180">
        <v>43743327.380000003</v>
      </c>
      <c r="F301" s="180">
        <v>40983491.840000004</v>
      </c>
    </row>
    <row r="302" spans="2:6" x14ac:dyDescent="0.25">
      <c r="B302" s="90" t="s">
        <v>370</v>
      </c>
      <c r="C302" s="179" t="s">
        <v>371</v>
      </c>
      <c r="D302" s="180">
        <v>102672.01</v>
      </c>
      <c r="E302" s="180">
        <v>9836728.2300000004</v>
      </c>
      <c r="F302" s="180">
        <v>9056235.3499999996</v>
      </c>
    </row>
    <row r="303" spans="2:6" x14ac:dyDescent="0.25">
      <c r="B303" s="90" t="s">
        <v>476</v>
      </c>
      <c r="C303" s="179" t="s">
        <v>477</v>
      </c>
      <c r="D303" s="180"/>
      <c r="E303" s="180">
        <v>4228245.54</v>
      </c>
      <c r="F303" s="180">
        <v>3855154.15</v>
      </c>
    </row>
    <row r="304" spans="2:6" x14ac:dyDescent="0.25">
      <c r="B304" s="90" t="s">
        <v>522</v>
      </c>
      <c r="C304" s="179" t="s">
        <v>523</v>
      </c>
      <c r="D304" s="180">
        <v>48031.57</v>
      </c>
      <c r="E304" s="180">
        <v>3781599.19</v>
      </c>
      <c r="F304" s="180">
        <v>3388059.24</v>
      </c>
    </row>
    <row r="305" spans="2:6" x14ac:dyDescent="0.25">
      <c r="B305" s="90" t="s">
        <v>584</v>
      </c>
      <c r="C305" s="179" t="s">
        <v>585</v>
      </c>
      <c r="D305" s="180"/>
      <c r="E305" s="180">
        <v>1040348.58</v>
      </c>
      <c r="F305" s="180">
        <v>986071.07</v>
      </c>
    </row>
    <row r="306" spans="2:6" x14ac:dyDescent="0.25">
      <c r="B306" s="90" t="s">
        <v>504</v>
      </c>
      <c r="C306" s="179" t="s">
        <v>505</v>
      </c>
      <c r="D306" s="174">
        <v>30326.05</v>
      </c>
      <c r="E306" s="180">
        <v>3928700.04</v>
      </c>
      <c r="F306" s="180">
        <v>3496699.97</v>
      </c>
    </row>
    <row r="307" spans="2:6" x14ac:dyDescent="0.25">
      <c r="B307" s="90" t="s">
        <v>532</v>
      </c>
      <c r="C307" s="179" t="s">
        <v>533</v>
      </c>
      <c r="D307" s="174">
        <v>14792.18</v>
      </c>
      <c r="E307" s="180">
        <v>3133729.03</v>
      </c>
      <c r="F307" s="180">
        <v>2888849.97</v>
      </c>
    </row>
    <row r="308" spans="2:6" x14ac:dyDescent="0.25">
      <c r="B308" s="90" t="s">
        <v>486</v>
      </c>
      <c r="C308" s="179" t="s">
        <v>487</v>
      </c>
      <c r="D308" s="180">
        <v>1223.26</v>
      </c>
      <c r="E308" s="180">
        <v>4570246.01</v>
      </c>
      <c r="F308" s="180">
        <v>4139914.69</v>
      </c>
    </row>
    <row r="309" spans="2:6" x14ac:dyDescent="0.25">
      <c r="B309" s="90" t="s">
        <v>492</v>
      </c>
      <c r="C309" s="179" t="s">
        <v>493</v>
      </c>
      <c r="D309" s="180">
        <v>52652.19</v>
      </c>
      <c r="E309" s="180">
        <v>4025397.04</v>
      </c>
      <c r="F309" s="180">
        <v>3672176.16</v>
      </c>
    </row>
    <row r="310" spans="2:6" x14ac:dyDescent="0.25">
      <c r="B310" s="90" t="s">
        <v>520</v>
      </c>
      <c r="C310" s="179" t="s">
        <v>521</v>
      </c>
      <c r="D310" s="180"/>
      <c r="E310" s="180">
        <v>4185270.84</v>
      </c>
      <c r="F310" s="180">
        <v>3918899.32</v>
      </c>
    </row>
    <row r="311" spans="2:6" x14ac:dyDescent="0.25">
      <c r="B311" s="90" t="s">
        <v>356</v>
      </c>
      <c r="C311" s="179" t="s">
        <v>357</v>
      </c>
      <c r="D311" s="180">
        <v>356684.29</v>
      </c>
      <c r="E311" s="180">
        <v>10993601.380000001</v>
      </c>
      <c r="F311" s="180">
        <v>9514999.5800000001</v>
      </c>
    </row>
    <row r="312" spans="2:6" x14ac:dyDescent="0.25">
      <c r="B312" s="90" t="s">
        <v>266</v>
      </c>
      <c r="C312" s="179" t="s">
        <v>267</v>
      </c>
      <c r="D312" s="180">
        <v>313590.12</v>
      </c>
      <c r="E312" s="180">
        <v>24806884.859999999</v>
      </c>
      <c r="F312" s="180">
        <v>22692053.579999998</v>
      </c>
    </row>
    <row r="313" spans="2:6" x14ac:dyDescent="0.25">
      <c r="B313" s="90" t="s">
        <v>40</v>
      </c>
      <c r="C313" s="179" t="s">
        <v>41</v>
      </c>
      <c r="D313" s="180">
        <v>556956.56000000006</v>
      </c>
      <c r="E313" s="180">
        <v>279868231.69999999</v>
      </c>
      <c r="F313" s="180">
        <v>249272016.18000001</v>
      </c>
    </row>
    <row r="314" spans="2:6" x14ac:dyDescent="0.25">
      <c r="B314" s="90" t="s">
        <v>176</v>
      </c>
      <c r="C314" s="179" t="s">
        <v>1184</v>
      </c>
      <c r="D314" s="180">
        <v>551654.03</v>
      </c>
      <c r="E314" s="180">
        <v>57329799.310000002</v>
      </c>
      <c r="F314" s="180">
        <v>51780237.479999997</v>
      </c>
    </row>
    <row r="315" spans="2:6" x14ac:dyDescent="0.25">
      <c r="B315" s="90" t="s">
        <v>160</v>
      </c>
      <c r="C315" s="179" t="s">
        <v>161</v>
      </c>
      <c r="D315" s="180">
        <v>553017.13</v>
      </c>
      <c r="E315" s="180">
        <v>65654415.140000001</v>
      </c>
      <c r="F315" s="180">
        <v>59934961.100000001</v>
      </c>
    </row>
    <row r="316" spans="2:6" x14ac:dyDescent="0.25">
      <c r="B316" s="90" t="s">
        <v>310</v>
      </c>
      <c r="C316" s="179" t="s">
        <v>311</v>
      </c>
      <c r="D316" s="180">
        <v>33901.06</v>
      </c>
      <c r="E316" s="180">
        <v>14420430.699999999</v>
      </c>
      <c r="F316" s="180">
        <v>12174252.289999999</v>
      </c>
    </row>
    <row r="317" spans="2:6" x14ac:dyDescent="0.25">
      <c r="B317" s="90" t="s">
        <v>148</v>
      </c>
      <c r="C317" s="179" t="s">
        <v>149</v>
      </c>
      <c r="D317" s="180">
        <v>502263.8</v>
      </c>
      <c r="E317" s="180">
        <v>64461331.420000002</v>
      </c>
      <c r="F317" s="180">
        <v>56286958.979999997</v>
      </c>
    </row>
    <row r="318" spans="2:6" x14ac:dyDescent="0.25">
      <c r="B318" s="90" t="s">
        <v>98</v>
      </c>
      <c r="C318" s="179" t="s">
        <v>99</v>
      </c>
      <c r="D318" s="180">
        <v>519425.68</v>
      </c>
      <c r="E318" s="180">
        <v>113554723</v>
      </c>
      <c r="F318" s="180">
        <v>97353317.739999995</v>
      </c>
    </row>
    <row r="319" spans="2:6" x14ac:dyDescent="0.25">
      <c r="B319" s="90" t="s">
        <v>138</v>
      </c>
      <c r="C319" s="179" t="s">
        <v>139</v>
      </c>
      <c r="D319" s="180">
        <v>207422.22</v>
      </c>
      <c r="E319" s="180">
        <v>71693433.969999999</v>
      </c>
      <c r="F319" s="180">
        <v>60552164.32</v>
      </c>
    </row>
    <row r="320" spans="2:6" x14ac:dyDescent="0.25">
      <c r="B320" s="90" t="s">
        <v>280</v>
      </c>
      <c r="C320" s="179" t="s">
        <v>281</v>
      </c>
      <c r="D320" s="180"/>
      <c r="E320" s="180">
        <v>19309626.739999998</v>
      </c>
      <c r="F320" s="180">
        <v>17497360.850000001</v>
      </c>
    </row>
    <row r="321" spans="2:6" x14ac:dyDescent="0.25">
      <c r="B321" s="90" t="s">
        <v>246</v>
      </c>
      <c r="C321" s="179" t="s">
        <v>247</v>
      </c>
      <c r="D321" s="180">
        <v>50737.03</v>
      </c>
      <c r="E321" s="180">
        <v>27858394.59</v>
      </c>
      <c r="F321" s="180">
        <v>23043650.809999999</v>
      </c>
    </row>
    <row r="322" spans="2:6" x14ac:dyDescent="0.25">
      <c r="B322" s="90" t="s">
        <v>270</v>
      </c>
      <c r="C322" s="179" t="s">
        <v>271</v>
      </c>
      <c r="D322" s="180"/>
      <c r="E322" s="180">
        <v>23261359.16</v>
      </c>
      <c r="F322" s="180">
        <v>21038789.07</v>
      </c>
    </row>
    <row r="323" spans="2:6" x14ac:dyDescent="0.25">
      <c r="B323" s="90" t="s">
        <v>164</v>
      </c>
      <c r="C323" s="179" t="s">
        <v>165</v>
      </c>
      <c r="D323" s="174">
        <v>154958.78</v>
      </c>
      <c r="E323" s="180">
        <v>62884942.479999997</v>
      </c>
      <c r="F323" s="180">
        <v>52151856.060000002</v>
      </c>
    </row>
    <row r="324" spans="2:6" x14ac:dyDescent="0.25">
      <c r="B324" t="s">
        <v>116</v>
      </c>
      <c r="C324" s="174" t="s">
        <v>1183</v>
      </c>
      <c r="D324" s="174">
        <v>1109159.6499999999</v>
      </c>
      <c r="E324" s="174">
        <v>88361795.170000002</v>
      </c>
      <c r="F324" s="174">
        <v>80893390.689999998</v>
      </c>
    </row>
    <row r="325" spans="2:6" x14ac:dyDescent="0.25">
      <c r="B325" t="s">
        <v>302</v>
      </c>
      <c r="C325" s="174" t="s">
        <v>303</v>
      </c>
      <c r="D325" s="174">
        <v>27698.83</v>
      </c>
      <c r="E325" s="174">
        <v>21749128.260000002</v>
      </c>
      <c r="F325" s="174">
        <v>14091054.33</v>
      </c>
    </row>
    <row r="326" spans="2:6" x14ac:dyDescent="0.25">
      <c r="B326" t="s">
        <v>1165</v>
      </c>
      <c r="C326" s="174" t="s">
        <v>1167</v>
      </c>
      <c r="D326" s="174">
        <v>14533.52</v>
      </c>
      <c r="E326" s="174">
        <v>1119164.81</v>
      </c>
      <c r="F326" s="174">
        <v>1104631.29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F23EB-A29D-4ED4-9EC5-89C1D41C783A}">
  <sheetPr>
    <tabColor theme="7" tint="0.79998168889431442"/>
  </sheetPr>
  <dimension ref="B1:AL318"/>
  <sheetViews>
    <sheetView workbookViewId="0">
      <pane ySplit="6" topLeftCell="A162" activePane="bottomLeft" state="frozen"/>
      <selection pane="bottomLeft" activeCell="J185" sqref="J185:N185"/>
    </sheetView>
  </sheetViews>
  <sheetFormatPr defaultRowHeight="15" x14ac:dyDescent="0.25"/>
  <cols>
    <col min="2" max="2" width="16.7109375" bestFit="1" customWidth="1"/>
    <col min="3" max="3" width="18.28515625" bestFit="1" customWidth="1"/>
    <col min="4" max="4" width="13.85546875" bestFit="1" customWidth="1"/>
    <col min="5" max="5" width="22.7109375" style="174" bestFit="1" customWidth="1"/>
    <col min="6" max="6" width="16.5703125" style="174" bestFit="1" customWidth="1"/>
    <col min="7" max="7" width="16.85546875" customWidth="1"/>
    <col min="8" max="8" width="21.7109375" bestFit="1" customWidth="1"/>
    <col min="10" max="10" width="16.7109375" bestFit="1" customWidth="1"/>
    <col min="11" max="11" width="18" bestFit="1" customWidth="1"/>
    <col min="12" max="13" width="10.28515625" customWidth="1"/>
    <col min="14" max="14" width="11" customWidth="1"/>
    <col min="16" max="16" width="16.7109375" bestFit="1" customWidth="1"/>
    <col min="17" max="17" width="22.85546875" bestFit="1" customWidth="1"/>
    <col min="18" max="18" width="33" bestFit="1" customWidth="1"/>
    <col min="20" max="20" width="16.7109375" bestFit="1" customWidth="1"/>
    <col min="21" max="21" width="20.5703125" bestFit="1" customWidth="1"/>
    <col min="22" max="38" width="14.28515625" customWidth="1"/>
  </cols>
  <sheetData>
    <row r="1" spans="2:38" x14ac:dyDescent="0.25">
      <c r="V1" s="181"/>
    </row>
    <row r="2" spans="2:38" x14ac:dyDescent="0.25">
      <c r="B2" t="s">
        <v>1287</v>
      </c>
      <c r="D2" s="100">
        <f>SUM(D7:D319)/2</f>
        <v>181605889.27999988</v>
      </c>
      <c r="J2" t="s">
        <v>1287</v>
      </c>
      <c r="L2" s="238"/>
      <c r="M2" s="239"/>
      <c r="N2" s="239"/>
      <c r="T2" s="228">
        <v>1</v>
      </c>
      <c r="U2" s="228">
        <v>2</v>
      </c>
      <c r="V2" s="228">
        <v>3</v>
      </c>
      <c r="W2" s="228">
        <v>4</v>
      </c>
      <c r="X2" s="228">
        <v>5</v>
      </c>
      <c r="Y2" s="228">
        <v>6</v>
      </c>
      <c r="Z2" s="228">
        <v>7</v>
      </c>
      <c r="AA2" s="228">
        <v>8</v>
      </c>
      <c r="AB2" s="228">
        <v>9</v>
      </c>
      <c r="AC2" s="228">
        <v>10</v>
      </c>
      <c r="AD2" s="228">
        <v>11</v>
      </c>
      <c r="AE2" s="228">
        <v>12</v>
      </c>
      <c r="AF2" s="228">
        <v>13</v>
      </c>
      <c r="AG2" s="228">
        <v>14</v>
      </c>
      <c r="AH2" s="228">
        <v>15</v>
      </c>
      <c r="AI2" s="228">
        <v>16</v>
      </c>
      <c r="AJ2" s="228">
        <v>17</v>
      </c>
      <c r="AK2" s="228">
        <v>18</v>
      </c>
      <c r="AL2" s="228">
        <v>19</v>
      </c>
    </row>
    <row r="3" spans="2:38" x14ac:dyDescent="0.25">
      <c r="B3">
        <v>1</v>
      </c>
      <c r="C3">
        <v>2</v>
      </c>
      <c r="D3">
        <v>3</v>
      </c>
      <c r="E3" s="174">
        <v>4</v>
      </c>
      <c r="F3" s="174">
        <v>5</v>
      </c>
      <c r="G3">
        <v>6</v>
      </c>
      <c r="H3">
        <v>7</v>
      </c>
      <c r="J3" s="95"/>
      <c r="K3" s="95"/>
      <c r="L3" s="236" t="s">
        <v>626</v>
      </c>
      <c r="M3" s="237"/>
      <c r="N3" s="237"/>
      <c r="P3" t="s">
        <v>1287</v>
      </c>
      <c r="T3" t="s">
        <v>1287</v>
      </c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  <c r="AJ3" s="181"/>
      <c r="AK3" s="181"/>
      <c r="AL3" s="181"/>
    </row>
    <row r="4" spans="2:38" x14ac:dyDescent="0.25">
      <c r="B4" t="s">
        <v>1207</v>
      </c>
      <c r="D4" s="238"/>
      <c r="E4" s="239"/>
      <c r="F4" s="239"/>
      <c r="G4" s="239"/>
      <c r="H4" s="239"/>
      <c r="J4" s="95"/>
      <c r="K4" s="95"/>
      <c r="L4" s="236" t="s">
        <v>1208</v>
      </c>
      <c r="M4" s="237"/>
      <c r="N4" s="237"/>
      <c r="P4" s="95"/>
      <c r="Q4" s="95"/>
      <c r="R4" s="97" t="s">
        <v>1212</v>
      </c>
      <c r="T4" s="95"/>
      <c r="U4" s="95"/>
      <c r="V4" s="91" t="s">
        <v>1249</v>
      </c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2:38" x14ac:dyDescent="0.25">
      <c r="B5" s="95"/>
      <c r="C5" s="95"/>
      <c r="D5" s="236" t="s">
        <v>619</v>
      </c>
      <c r="E5" s="176" t="s">
        <v>622</v>
      </c>
      <c r="F5" s="176" t="s">
        <v>623</v>
      </c>
      <c r="G5" s="91" t="s">
        <v>624</v>
      </c>
      <c r="H5" s="91" t="s">
        <v>625</v>
      </c>
      <c r="J5" s="95"/>
      <c r="K5" s="95"/>
      <c r="L5" s="91" t="s">
        <v>627</v>
      </c>
      <c r="M5" s="91" t="s">
        <v>628</v>
      </c>
      <c r="N5" s="91" t="s">
        <v>629</v>
      </c>
      <c r="P5" s="95"/>
      <c r="Q5" s="95"/>
      <c r="R5" s="91" t="s">
        <v>614</v>
      </c>
      <c r="T5" s="95" t="s">
        <v>1246</v>
      </c>
      <c r="U5" s="95" t="s">
        <v>1206</v>
      </c>
      <c r="V5" s="91" t="s">
        <v>1173</v>
      </c>
      <c r="W5" s="91" t="s">
        <v>1174</v>
      </c>
      <c r="X5" s="91" t="s">
        <v>1175</v>
      </c>
      <c r="Y5" s="91" t="s">
        <v>1214</v>
      </c>
      <c r="Z5" s="91" t="s">
        <v>1215</v>
      </c>
      <c r="AA5" s="91" t="s">
        <v>1216</v>
      </c>
      <c r="AB5" s="91" t="s">
        <v>1250</v>
      </c>
      <c r="AC5" s="91" t="s">
        <v>630</v>
      </c>
      <c r="AD5" s="91" t="s">
        <v>1251</v>
      </c>
      <c r="AE5" s="91" t="s">
        <v>631</v>
      </c>
      <c r="AF5" s="91" t="s">
        <v>632</v>
      </c>
      <c r="AG5" s="91" t="s">
        <v>633</v>
      </c>
      <c r="AH5" s="91" t="s">
        <v>634</v>
      </c>
      <c r="AI5" s="91" t="s">
        <v>635</v>
      </c>
      <c r="AJ5" s="91" t="s">
        <v>636</v>
      </c>
      <c r="AK5" s="91" t="s">
        <v>1217</v>
      </c>
      <c r="AL5" s="91" t="s">
        <v>637</v>
      </c>
    </row>
    <row r="6" spans="2:38" x14ac:dyDescent="0.25">
      <c r="B6" s="92" t="s">
        <v>1201</v>
      </c>
      <c r="C6" s="92" t="s">
        <v>1206</v>
      </c>
      <c r="D6" s="237"/>
      <c r="E6" s="176" t="s">
        <v>1205</v>
      </c>
      <c r="F6" s="176" t="s">
        <v>1047</v>
      </c>
      <c r="G6" s="91" t="s">
        <v>1050</v>
      </c>
      <c r="H6" s="91" t="s">
        <v>1053</v>
      </c>
      <c r="J6" s="92" t="s">
        <v>1201</v>
      </c>
      <c r="K6" s="92" t="s">
        <v>1206</v>
      </c>
      <c r="L6" s="91" t="s">
        <v>1209</v>
      </c>
      <c r="M6" s="91" t="s">
        <v>1210</v>
      </c>
      <c r="N6" s="91" t="s">
        <v>1211</v>
      </c>
      <c r="P6" s="92" t="s">
        <v>1201</v>
      </c>
      <c r="Q6" s="92" t="s">
        <v>1206</v>
      </c>
      <c r="R6" s="91" t="s">
        <v>1213</v>
      </c>
      <c r="T6" s="195" t="s">
        <v>1268</v>
      </c>
      <c r="U6" s="195" t="s">
        <v>1269</v>
      </c>
      <c r="V6" s="196" t="s">
        <v>1270</v>
      </c>
      <c r="W6" s="196" t="s">
        <v>1271</v>
      </c>
      <c r="X6" s="196" t="s">
        <v>1272</v>
      </c>
      <c r="Y6" s="196" t="s">
        <v>1273</v>
      </c>
      <c r="Z6" s="196" t="s">
        <v>1274</v>
      </c>
      <c r="AA6" s="196" t="s">
        <v>1275</v>
      </c>
      <c r="AB6" s="196" t="s">
        <v>1276</v>
      </c>
      <c r="AC6" s="196" t="s">
        <v>1277</v>
      </c>
      <c r="AD6" s="196" t="s">
        <v>1278</v>
      </c>
      <c r="AE6" s="196" t="s">
        <v>1279</v>
      </c>
      <c r="AF6" s="196" t="s">
        <v>1280</v>
      </c>
      <c r="AG6" s="196" t="s">
        <v>1281</v>
      </c>
      <c r="AH6" s="196" t="s">
        <v>1282</v>
      </c>
      <c r="AI6" s="196" t="s">
        <v>1283</v>
      </c>
      <c r="AJ6" s="196" t="s">
        <v>1284</v>
      </c>
      <c r="AK6" s="196" t="s">
        <v>1285</v>
      </c>
      <c r="AL6" s="196" t="s">
        <v>1286</v>
      </c>
    </row>
    <row r="7" spans="2:38" x14ac:dyDescent="0.25">
      <c r="B7" s="90" t="s">
        <v>1268</v>
      </c>
      <c r="C7" s="90" t="s">
        <v>1269</v>
      </c>
      <c r="D7" s="89" t="s">
        <v>1270</v>
      </c>
      <c r="E7" s="174" t="s">
        <v>1271</v>
      </c>
      <c r="F7" s="180" t="s">
        <v>1272</v>
      </c>
      <c r="G7" s="89" t="s">
        <v>1273</v>
      </c>
      <c r="H7" s="89" t="s">
        <v>1274</v>
      </c>
      <c r="J7" s="204" t="s">
        <v>1268</v>
      </c>
      <c r="K7" s="204" t="s">
        <v>1269</v>
      </c>
      <c r="L7" s="224" t="s">
        <v>1270</v>
      </c>
      <c r="M7" s="224" t="s">
        <v>1271</v>
      </c>
      <c r="N7" s="225" t="s">
        <v>1272</v>
      </c>
      <c r="P7" s="90" t="s">
        <v>1268</v>
      </c>
      <c r="Q7" s="90" t="s">
        <v>1269</v>
      </c>
      <c r="R7" s="96" t="s">
        <v>1270</v>
      </c>
      <c r="T7" s="213" t="s">
        <v>619</v>
      </c>
      <c r="V7" s="212">
        <v>146729.69</v>
      </c>
      <c r="W7" s="212">
        <v>1025687.33</v>
      </c>
      <c r="X7" s="212">
        <v>12322.14</v>
      </c>
      <c r="Y7" s="212">
        <v>21464</v>
      </c>
      <c r="Z7" s="212">
        <v>433090.54999999987</v>
      </c>
      <c r="AA7" s="212">
        <v>8657.9500000000007</v>
      </c>
      <c r="AB7" s="212">
        <v>43159.93</v>
      </c>
      <c r="AC7" s="212">
        <v>30261.83</v>
      </c>
      <c r="AD7" s="212">
        <v>37895.42</v>
      </c>
      <c r="AE7" s="212">
        <v>140402.27000000002</v>
      </c>
      <c r="AF7" s="212">
        <v>68720.13</v>
      </c>
      <c r="AG7" s="212">
        <v>91882.73000000001</v>
      </c>
      <c r="AH7" s="212">
        <v>2786916.76</v>
      </c>
      <c r="AI7" s="212">
        <v>18935.580000000002</v>
      </c>
      <c r="AJ7" s="212">
        <v>355137.68</v>
      </c>
      <c r="AK7" s="212">
        <v>286897.90000000002</v>
      </c>
      <c r="AL7" s="212">
        <v>6321966.0599999996</v>
      </c>
    </row>
    <row r="8" spans="2:38" x14ac:dyDescent="0.25">
      <c r="B8" s="90" t="s">
        <v>619</v>
      </c>
      <c r="C8" s="90"/>
      <c r="D8" s="89">
        <v>181605889.27999988</v>
      </c>
      <c r="E8" s="174">
        <v>1164751.1400000001</v>
      </c>
      <c r="F8" s="180">
        <v>2117261.73</v>
      </c>
      <c r="G8" s="89">
        <v>122470326.81000003</v>
      </c>
      <c r="H8" s="89">
        <v>55853549.599999994</v>
      </c>
      <c r="J8" s="90" t="s">
        <v>619</v>
      </c>
      <c r="K8" s="90"/>
      <c r="L8" s="96">
        <v>7045941.7299999995</v>
      </c>
      <c r="M8" s="96">
        <v>37919593.020000026</v>
      </c>
      <c r="N8">
        <v>177157.86</v>
      </c>
      <c r="P8" s="90" t="s">
        <v>619</v>
      </c>
      <c r="Q8" s="90"/>
      <c r="R8" s="96">
        <v>636542599.32999992</v>
      </c>
      <c r="T8" s="213" t="s">
        <v>604</v>
      </c>
      <c r="U8" s="213" t="s">
        <v>605</v>
      </c>
      <c r="AD8" s="212">
        <v>14639.65</v>
      </c>
    </row>
    <row r="9" spans="2:38" x14ac:dyDescent="0.25">
      <c r="B9" s="90" t="s">
        <v>574</v>
      </c>
      <c r="C9" s="90" t="s">
        <v>575</v>
      </c>
      <c r="D9" s="89">
        <v>52737.010000000009</v>
      </c>
      <c r="G9">
        <v>35402.58</v>
      </c>
      <c r="H9" s="89">
        <v>17334.43</v>
      </c>
      <c r="J9" s="90" t="s">
        <v>196</v>
      </c>
      <c r="K9" s="90" t="s">
        <v>197</v>
      </c>
      <c r="L9" s="96">
        <v>23165.67</v>
      </c>
      <c r="M9" s="96">
        <v>144837.65</v>
      </c>
      <c r="P9" s="90" t="s">
        <v>574</v>
      </c>
      <c r="Q9" s="90" t="s">
        <v>575</v>
      </c>
      <c r="R9" s="96">
        <v>95336.79</v>
      </c>
      <c r="T9" s="213" t="s">
        <v>134</v>
      </c>
      <c r="U9" s="213" t="s">
        <v>135</v>
      </c>
      <c r="Z9" s="212">
        <v>21916.13</v>
      </c>
    </row>
    <row r="10" spans="2:38" x14ac:dyDescent="0.25">
      <c r="B10" s="90" t="s">
        <v>134</v>
      </c>
      <c r="C10" s="90" t="s">
        <v>135</v>
      </c>
      <c r="D10" s="89">
        <v>305947.61</v>
      </c>
      <c r="F10" s="180"/>
      <c r="G10" s="89">
        <v>265020.58999999997</v>
      </c>
      <c r="H10" s="89">
        <v>40927.01999999999</v>
      </c>
      <c r="J10" s="90" t="s">
        <v>52</v>
      </c>
      <c r="K10" s="90" t="s">
        <v>53</v>
      </c>
      <c r="L10" s="96">
        <v>198200.17</v>
      </c>
      <c r="M10" s="96">
        <v>388533.05</v>
      </c>
      <c r="P10" s="90" t="s">
        <v>604</v>
      </c>
      <c r="Q10" s="90" t="s">
        <v>605</v>
      </c>
      <c r="R10" s="96">
        <v>26145.49</v>
      </c>
      <c r="T10" s="213" t="s">
        <v>196</v>
      </c>
      <c r="U10" s="213" t="s">
        <v>197</v>
      </c>
      <c r="Z10" s="212">
        <v>8988.5300000000007</v>
      </c>
      <c r="AL10" s="212">
        <v>15485.8</v>
      </c>
    </row>
    <row r="11" spans="2:38" x14ac:dyDescent="0.25">
      <c r="B11" s="90" t="s">
        <v>478</v>
      </c>
      <c r="C11" s="90" t="s">
        <v>479</v>
      </c>
      <c r="D11" s="89">
        <v>79333.679999999993</v>
      </c>
      <c r="G11" s="89">
        <v>79333.679999999993</v>
      </c>
      <c r="H11" s="89"/>
      <c r="J11" s="90" t="s">
        <v>412</v>
      </c>
      <c r="K11" s="90" t="s">
        <v>413</v>
      </c>
      <c r="L11" s="96">
        <v>38.65</v>
      </c>
      <c r="M11" s="96">
        <v>6829.79</v>
      </c>
      <c r="P11" s="90" t="s">
        <v>134</v>
      </c>
      <c r="Q11" s="90" t="s">
        <v>135</v>
      </c>
      <c r="R11" s="96">
        <v>3758999.58</v>
      </c>
      <c r="T11" s="213" t="s">
        <v>36</v>
      </c>
      <c r="U11" s="213" t="s">
        <v>37</v>
      </c>
      <c r="Z11" s="212">
        <v>43042.61</v>
      </c>
    </row>
    <row r="12" spans="2:38" x14ac:dyDescent="0.25">
      <c r="B12" s="90" t="s">
        <v>410</v>
      </c>
      <c r="C12" s="90" t="s">
        <v>411</v>
      </c>
      <c r="D12" s="89">
        <v>98159.64</v>
      </c>
      <c r="G12">
        <v>98159.64</v>
      </c>
      <c r="H12" s="89"/>
      <c r="J12" s="90" t="s">
        <v>252</v>
      </c>
      <c r="K12" s="90" t="s">
        <v>253</v>
      </c>
      <c r="L12" s="96">
        <v>13681.56</v>
      </c>
      <c r="M12" s="96">
        <v>31374.3</v>
      </c>
      <c r="P12" s="90" t="s">
        <v>478</v>
      </c>
      <c r="Q12" s="90" t="s">
        <v>479</v>
      </c>
      <c r="R12" s="96">
        <v>226983.55</v>
      </c>
      <c r="T12" s="213" t="s">
        <v>254</v>
      </c>
      <c r="U12" s="213" t="s">
        <v>255</v>
      </c>
      <c r="AJ12" s="212">
        <v>20907.38</v>
      </c>
    </row>
    <row r="13" spans="2:38" x14ac:dyDescent="0.25">
      <c r="B13" s="90" t="s">
        <v>36</v>
      </c>
      <c r="C13" s="90" t="s">
        <v>37</v>
      </c>
      <c r="D13" s="89">
        <v>2947945.59</v>
      </c>
      <c r="F13" s="174">
        <v>11942.26</v>
      </c>
      <c r="G13" s="89">
        <v>2869421.1899999995</v>
      </c>
      <c r="H13" s="89">
        <v>66582.14</v>
      </c>
      <c r="J13" s="90" t="s">
        <v>244</v>
      </c>
      <c r="K13" s="90" t="s">
        <v>245</v>
      </c>
      <c r="L13" s="96">
        <v>1369.3</v>
      </c>
      <c r="M13" s="96">
        <v>22475.54</v>
      </c>
      <c r="P13" s="90" t="s">
        <v>410</v>
      </c>
      <c r="Q13" s="90" t="s">
        <v>411</v>
      </c>
      <c r="R13" s="96">
        <v>187614.90000000002</v>
      </c>
      <c r="T13" s="213" t="s">
        <v>194</v>
      </c>
      <c r="U13" s="213" t="s">
        <v>195</v>
      </c>
      <c r="AL13" s="212">
        <v>1030.8699999999999</v>
      </c>
    </row>
    <row r="14" spans="2:38" x14ac:dyDescent="0.25">
      <c r="B14" s="90" t="s">
        <v>254</v>
      </c>
      <c r="C14" s="90" t="s">
        <v>255</v>
      </c>
      <c r="D14" s="89">
        <v>487470.31999999995</v>
      </c>
      <c r="G14" s="89">
        <v>487470.31999999995</v>
      </c>
      <c r="H14" s="89"/>
      <c r="J14" s="90" t="s">
        <v>268</v>
      </c>
      <c r="K14" s="90" t="s">
        <v>269</v>
      </c>
      <c r="L14" s="96">
        <v>4146.29</v>
      </c>
      <c r="M14" s="96">
        <v>66378.91</v>
      </c>
      <c r="P14" s="90" t="s">
        <v>196</v>
      </c>
      <c r="Q14" s="90" t="s">
        <v>197</v>
      </c>
      <c r="R14" s="96">
        <v>1901024.53</v>
      </c>
      <c r="T14" s="213" t="s">
        <v>52</v>
      </c>
      <c r="U14" s="213" t="s">
        <v>53</v>
      </c>
      <c r="AL14" s="212">
        <v>6174.36</v>
      </c>
    </row>
    <row r="15" spans="2:38" x14ac:dyDescent="0.25">
      <c r="B15" s="90" t="s">
        <v>52</v>
      </c>
      <c r="C15" s="90" t="s">
        <v>53</v>
      </c>
      <c r="D15" s="89">
        <v>3319982.4200000004</v>
      </c>
      <c r="F15" s="180"/>
      <c r="G15" s="89">
        <v>2852525.6900000004</v>
      </c>
      <c r="H15" s="89">
        <v>467456.7300000001</v>
      </c>
      <c r="J15" s="90" t="s">
        <v>86</v>
      </c>
      <c r="K15" s="90" t="s">
        <v>87</v>
      </c>
      <c r="L15" s="96">
        <v>789.05</v>
      </c>
      <c r="M15" s="96">
        <v>118898.99</v>
      </c>
      <c r="P15" s="90" t="s">
        <v>346</v>
      </c>
      <c r="Q15" s="90" t="s">
        <v>347</v>
      </c>
      <c r="R15" s="96">
        <v>332786.86000000004</v>
      </c>
      <c r="T15" s="213" t="s">
        <v>268</v>
      </c>
      <c r="U15" s="213" t="s">
        <v>269</v>
      </c>
      <c r="AL15" s="212">
        <v>29622.82</v>
      </c>
    </row>
    <row r="16" spans="2:38" x14ac:dyDescent="0.25">
      <c r="B16" s="90" t="s">
        <v>344</v>
      </c>
      <c r="C16" s="90" t="s">
        <v>345</v>
      </c>
      <c r="D16" s="89">
        <v>462652.55</v>
      </c>
      <c r="G16" s="89">
        <v>462628.75999999995</v>
      </c>
      <c r="H16">
        <v>23.79</v>
      </c>
      <c r="J16" s="90" t="s">
        <v>1200</v>
      </c>
      <c r="K16" s="90" t="s">
        <v>1199</v>
      </c>
      <c r="L16" s="96">
        <v>4666.1099999999997</v>
      </c>
      <c r="M16" s="96">
        <v>102213.92</v>
      </c>
      <c r="P16" s="90" t="s">
        <v>36</v>
      </c>
      <c r="Q16" s="90" t="s">
        <v>37</v>
      </c>
      <c r="R16" s="96">
        <v>12762919.02</v>
      </c>
      <c r="T16" s="213" t="s">
        <v>86</v>
      </c>
      <c r="U16" s="213" t="s">
        <v>87</v>
      </c>
      <c r="AE16" s="212">
        <v>67081.41</v>
      </c>
    </row>
    <row r="17" spans="2:38" x14ac:dyDescent="0.25">
      <c r="B17" s="90" t="s">
        <v>252</v>
      </c>
      <c r="C17" s="90" t="s">
        <v>253</v>
      </c>
      <c r="D17" s="89">
        <v>287641.02</v>
      </c>
      <c r="G17" s="89">
        <v>278780.77999999997</v>
      </c>
      <c r="H17" s="89">
        <v>8860.24</v>
      </c>
      <c r="J17" s="90" t="s">
        <v>184</v>
      </c>
      <c r="K17" s="90" t="s">
        <v>185</v>
      </c>
      <c r="L17" s="96">
        <v>6159.92</v>
      </c>
      <c r="M17" s="96">
        <v>69639.520000000004</v>
      </c>
      <c r="N17" s="96"/>
      <c r="P17" s="90" t="s">
        <v>510</v>
      </c>
      <c r="Q17" s="90" t="s">
        <v>511</v>
      </c>
      <c r="R17" s="96">
        <v>100958.89</v>
      </c>
      <c r="T17" s="213" t="s">
        <v>146</v>
      </c>
      <c r="U17" s="213" t="s">
        <v>147</v>
      </c>
      <c r="AC17" s="212">
        <v>8986.49</v>
      </c>
      <c r="AK17" s="212">
        <v>34677.93</v>
      </c>
    </row>
    <row r="18" spans="2:38" x14ac:dyDescent="0.25">
      <c r="B18" s="90" t="s">
        <v>244</v>
      </c>
      <c r="C18" s="90" t="s">
        <v>245</v>
      </c>
      <c r="D18" s="89">
        <v>182855.63999999998</v>
      </c>
      <c r="G18">
        <v>182855.63999999998</v>
      </c>
      <c r="H18" s="89"/>
      <c r="J18" s="90" t="s">
        <v>16</v>
      </c>
      <c r="K18" s="90" t="s">
        <v>17</v>
      </c>
      <c r="L18">
        <v>294484.52</v>
      </c>
      <c r="M18" s="96">
        <v>328236.59999999998</v>
      </c>
      <c r="P18" s="90" t="s">
        <v>254</v>
      </c>
      <c r="Q18" s="90" t="s">
        <v>255</v>
      </c>
      <c r="R18" s="96">
        <v>986433.56</v>
      </c>
      <c r="T18" s="213" t="s">
        <v>188</v>
      </c>
      <c r="U18" s="213" t="s">
        <v>189</v>
      </c>
      <c r="AL18" s="212">
        <v>26217.86</v>
      </c>
    </row>
    <row r="19" spans="2:38" x14ac:dyDescent="0.25">
      <c r="B19" s="90" t="s">
        <v>268</v>
      </c>
      <c r="C19" s="90" t="s">
        <v>269</v>
      </c>
      <c r="D19" s="89">
        <v>15818.54</v>
      </c>
      <c r="G19">
        <v>970</v>
      </c>
      <c r="H19" s="89">
        <v>14848.54</v>
      </c>
      <c r="J19" s="90" t="s">
        <v>240</v>
      </c>
      <c r="K19" s="90" t="s">
        <v>241</v>
      </c>
      <c r="L19" s="96">
        <v>15169.24</v>
      </c>
      <c r="M19" s="96">
        <v>90361.94</v>
      </c>
      <c r="N19">
        <v>350</v>
      </c>
      <c r="P19" s="90" t="s">
        <v>308</v>
      </c>
      <c r="Q19" s="90" t="s">
        <v>309</v>
      </c>
      <c r="R19" s="96">
        <v>870743.36999999988</v>
      </c>
      <c r="T19" s="213" t="s">
        <v>184</v>
      </c>
      <c r="U19" s="213" t="s">
        <v>185</v>
      </c>
      <c r="AH19" s="212">
        <v>5670</v>
      </c>
      <c r="AL19" s="212">
        <v>10650.39</v>
      </c>
    </row>
    <row r="20" spans="2:38" x14ac:dyDescent="0.25">
      <c r="B20" s="90" t="s">
        <v>86</v>
      </c>
      <c r="C20" s="90" t="s">
        <v>87</v>
      </c>
      <c r="D20" s="89">
        <v>17909.810000000001</v>
      </c>
      <c r="G20" s="89"/>
      <c r="H20" s="89">
        <v>17909.810000000001</v>
      </c>
      <c r="J20" s="90" t="s">
        <v>498</v>
      </c>
      <c r="K20" s="90" t="s">
        <v>499</v>
      </c>
      <c r="L20" s="96"/>
      <c r="M20" s="96">
        <v>7234.53</v>
      </c>
      <c r="N20" s="96"/>
      <c r="P20" s="90" t="s">
        <v>194</v>
      </c>
      <c r="Q20" s="90" t="s">
        <v>195</v>
      </c>
      <c r="R20" s="96">
        <v>2068198.1100000003</v>
      </c>
      <c r="T20" s="213" t="s">
        <v>16</v>
      </c>
      <c r="U20" s="213" t="s">
        <v>17</v>
      </c>
      <c r="AL20" s="212">
        <v>32439.35</v>
      </c>
    </row>
    <row r="21" spans="2:38" x14ac:dyDescent="0.25">
      <c r="B21" s="90" t="s">
        <v>146</v>
      </c>
      <c r="C21" s="90" t="s">
        <v>147</v>
      </c>
      <c r="D21" s="89">
        <v>67437.149999999994</v>
      </c>
      <c r="H21" s="89">
        <v>67437.149999999994</v>
      </c>
      <c r="J21" s="90" t="s">
        <v>174</v>
      </c>
      <c r="K21" s="90" t="s">
        <v>175</v>
      </c>
      <c r="L21">
        <v>137.72</v>
      </c>
      <c r="M21">
        <v>3265.84</v>
      </c>
      <c r="N21" s="96"/>
      <c r="P21" s="90" t="s">
        <v>52</v>
      </c>
      <c r="Q21" s="90" t="s">
        <v>53</v>
      </c>
      <c r="R21" s="96">
        <v>6876374.5199999996</v>
      </c>
      <c r="T21" s="213" t="s">
        <v>174</v>
      </c>
      <c r="U21" s="213" t="s">
        <v>175</v>
      </c>
      <c r="Z21" s="212">
        <v>31214.37</v>
      </c>
    </row>
    <row r="22" spans="2:38" x14ac:dyDescent="0.25">
      <c r="B22" s="90" t="s">
        <v>188</v>
      </c>
      <c r="C22" s="90" t="s">
        <v>189</v>
      </c>
      <c r="D22" s="89">
        <v>166.2</v>
      </c>
      <c r="G22" s="89"/>
      <c r="H22" s="89">
        <v>166.2</v>
      </c>
      <c r="J22" s="90" t="s">
        <v>14</v>
      </c>
      <c r="K22" s="90" t="s">
        <v>15</v>
      </c>
      <c r="L22" s="96">
        <v>149326.89000000001</v>
      </c>
      <c r="M22" s="96">
        <v>2371616.46</v>
      </c>
      <c r="P22" s="90" t="s">
        <v>344</v>
      </c>
      <c r="Q22" s="90" t="s">
        <v>345</v>
      </c>
      <c r="R22" s="96">
        <v>542321.06000000006</v>
      </c>
      <c r="T22" s="213" t="s">
        <v>14</v>
      </c>
      <c r="U22" s="213" t="s">
        <v>15</v>
      </c>
      <c r="Z22" s="212">
        <v>27191.3</v>
      </c>
      <c r="AL22" s="212">
        <v>2140537.7200000002</v>
      </c>
    </row>
    <row r="23" spans="2:38" x14ac:dyDescent="0.25">
      <c r="B23" s="90" t="s">
        <v>184</v>
      </c>
      <c r="C23" s="90" t="s">
        <v>185</v>
      </c>
      <c r="D23" s="89">
        <v>586668.16</v>
      </c>
      <c r="F23" s="180"/>
      <c r="G23">
        <v>527623</v>
      </c>
      <c r="H23" s="89">
        <v>59045.16</v>
      </c>
      <c r="J23" s="90" t="s">
        <v>88</v>
      </c>
      <c r="K23" s="90" t="s">
        <v>89</v>
      </c>
      <c r="L23" s="96">
        <v>18346.78</v>
      </c>
      <c r="M23" s="96">
        <v>212586.83</v>
      </c>
      <c r="P23" s="90" t="s">
        <v>412</v>
      </c>
      <c r="Q23" s="90" t="s">
        <v>413</v>
      </c>
      <c r="R23" s="96">
        <v>414527.17</v>
      </c>
      <c r="T23" s="213" t="s">
        <v>54</v>
      </c>
      <c r="U23" s="213" t="s">
        <v>55</v>
      </c>
      <c r="AH23" s="212">
        <v>32395.71</v>
      </c>
      <c r="AL23" s="212">
        <v>16391.38</v>
      </c>
    </row>
    <row r="24" spans="2:38" x14ac:dyDescent="0.25">
      <c r="B24" s="90" t="s">
        <v>16</v>
      </c>
      <c r="C24" s="90" t="s">
        <v>17</v>
      </c>
      <c r="D24" s="89">
        <v>1256422.8500000001</v>
      </c>
      <c r="H24" s="89">
        <v>1256422.8500000001</v>
      </c>
      <c r="J24" s="90" t="s">
        <v>54</v>
      </c>
      <c r="K24" s="90" t="s">
        <v>55</v>
      </c>
      <c r="L24" s="96">
        <v>18845.71</v>
      </c>
      <c r="M24" s="96">
        <v>236561.05</v>
      </c>
      <c r="P24" s="90" t="s">
        <v>252</v>
      </c>
      <c r="Q24" s="90" t="s">
        <v>253</v>
      </c>
      <c r="R24" s="96">
        <v>1080841.01</v>
      </c>
      <c r="T24" s="213" t="s">
        <v>192</v>
      </c>
      <c r="U24" s="213" t="s">
        <v>193</v>
      </c>
      <c r="AK24" s="212">
        <v>28805.5</v>
      </c>
    </row>
    <row r="25" spans="2:38" x14ac:dyDescent="0.25">
      <c r="B25" s="90" t="s">
        <v>228</v>
      </c>
      <c r="C25" s="90" t="s">
        <v>229</v>
      </c>
      <c r="D25" s="89">
        <v>325101.58999999997</v>
      </c>
      <c r="G25">
        <v>175000.97999999998</v>
      </c>
      <c r="H25" s="89">
        <v>150100.60999999999</v>
      </c>
      <c r="J25" s="90" t="s">
        <v>192</v>
      </c>
      <c r="K25" s="90" t="s">
        <v>193</v>
      </c>
      <c r="L25" s="96">
        <v>13401.9</v>
      </c>
      <c r="M25" s="96">
        <v>153153.16</v>
      </c>
      <c r="P25" s="90" t="s">
        <v>244</v>
      </c>
      <c r="Q25" s="90" t="s">
        <v>245</v>
      </c>
      <c r="R25" s="96">
        <v>807981.1399999999</v>
      </c>
      <c r="T25" s="213" t="s">
        <v>402</v>
      </c>
      <c r="U25" s="213" t="s">
        <v>403</v>
      </c>
      <c r="AH25" s="212">
        <v>93560.66</v>
      </c>
    </row>
    <row r="26" spans="2:38" x14ac:dyDescent="0.25">
      <c r="B26" s="90" t="s">
        <v>240</v>
      </c>
      <c r="C26" s="90" t="s">
        <v>241</v>
      </c>
      <c r="D26" s="89">
        <v>136374.57</v>
      </c>
      <c r="F26" s="174">
        <v>111926.64</v>
      </c>
      <c r="G26">
        <v>18344.87</v>
      </c>
      <c r="H26" s="89">
        <v>6103.06</v>
      </c>
      <c r="J26" s="90" t="s">
        <v>1253</v>
      </c>
      <c r="K26" s="90" t="s">
        <v>1254</v>
      </c>
      <c r="L26" s="96">
        <v>62886.66</v>
      </c>
      <c r="M26" s="96">
        <v>53469.06</v>
      </c>
      <c r="N26" s="96"/>
      <c r="P26" s="90" t="s">
        <v>268</v>
      </c>
      <c r="Q26" s="90" t="s">
        <v>269</v>
      </c>
      <c r="R26" s="96">
        <v>604088.34</v>
      </c>
      <c r="T26" s="213" t="s">
        <v>100</v>
      </c>
      <c r="U26" s="213" t="s">
        <v>101</v>
      </c>
      <c r="AL26" s="212">
        <v>435.11</v>
      </c>
    </row>
    <row r="27" spans="2:38" x14ac:dyDescent="0.25">
      <c r="B27" s="90" t="s">
        <v>498</v>
      </c>
      <c r="C27" s="90" t="s">
        <v>499</v>
      </c>
      <c r="D27" s="89">
        <v>2004.1000000000001</v>
      </c>
      <c r="H27" s="89">
        <v>2004.1000000000001</v>
      </c>
      <c r="J27" s="90" t="s">
        <v>100</v>
      </c>
      <c r="K27" s="90" t="s">
        <v>101</v>
      </c>
      <c r="L27" s="96">
        <v>5947.45</v>
      </c>
      <c r="M27" s="96">
        <v>28499.65</v>
      </c>
      <c r="P27" s="90" t="s">
        <v>86</v>
      </c>
      <c r="Q27" s="90" t="s">
        <v>87</v>
      </c>
      <c r="R27" s="96">
        <v>3726605.6899999995</v>
      </c>
      <c r="T27" s="213" t="s">
        <v>300</v>
      </c>
      <c r="U27" s="213" t="s">
        <v>301</v>
      </c>
      <c r="Z27" s="212">
        <v>8000</v>
      </c>
      <c r="AL27" s="212">
        <v>267.83999999999997</v>
      </c>
    </row>
    <row r="28" spans="2:38" x14ac:dyDescent="0.25">
      <c r="B28" s="90" t="s">
        <v>174</v>
      </c>
      <c r="C28" s="90" t="s">
        <v>175</v>
      </c>
      <c r="D28" s="89">
        <v>260376.81000000003</v>
      </c>
      <c r="G28" s="89"/>
      <c r="H28" s="89">
        <v>260376.81000000003</v>
      </c>
      <c r="J28" s="90" t="s">
        <v>348</v>
      </c>
      <c r="K28" s="90" t="s">
        <v>349</v>
      </c>
      <c r="L28" s="96"/>
      <c r="M28" s="96">
        <v>11825.64</v>
      </c>
      <c r="P28" s="90" t="s">
        <v>1200</v>
      </c>
      <c r="Q28" s="90" t="s">
        <v>1199</v>
      </c>
      <c r="R28" s="96">
        <v>211232.75</v>
      </c>
      <c r="T28" s="213" t="s">
        <v>122</v>
      </c>
      <c r="U28" s="213" t="s">
        <v>123</v>
      </c>
      <c r="AL28" s="212">
        <v>14664.85</v>
      </c>
    </row>
    <row r="29" spans="2:38" x14ac:dyDescent="0.25">
      <c r="B29" s="90" t="s">
        <v>14</v>
      </c>
      <c r="C29" s="90" t="s">
        <v>15</v>
      </c>
      <c r="D29" s="89">
        <v>109584.35</v>
      </c>
      <c r="F29" s="180"/>
      <c r="G29" s="89"/>
      <c r="H29" s="89">
        <v>109584.35</v>
      </c>
      <c r="J29" s="90" t="s">
        <v>272</v>
      </c>
      <c r="K29" s="90" t="s">
        <v>273</v>
      </c>
      <c r="L29" s="96">
        <v>379.11</v>
      </c>
      <c r="M29" s="96">
        <v>11641.17</v>
      </c>
      <c r="P29" s="90" t="s">
        <v>146</v>
      </c>
      <c r="Q29" s="90" t="s">
        <v>147</v>
      </c>
      <c r="R29" s="96">
        <v>1807112.4400000002</v>
      </c>
      <c r="T29" s="213" t="s">
        <v>432</v>
      </c>
      <c r="U29" s="213" t="s">
        <v>433</v>
      </c>
      <c r="AL29" s="212">
        <v>49757.75</v>
      </c>
    </row>
    <row r="30" spans="2:38" x14ac:dyDescent="0.25">
      <c r="B30" s="90" t="s">
        <v>88</v>
      </c>
      <c r="C30" s="90" t="s">
        <v>89</v>
      </c>
      <c r="D30" s="89">
        <v>2971851.09</v>
      </c>
      <c r="G30" s="89"/>
      <c r="H30" s="89">
        <v>2971851.09</v>
      </c>
      <c r="J30" s="90" t="s">
        <v>300</v>
      </c>
      <c r="K30" s="90" t="s">
        <v>301</v>
      </c>
      <c r="L30" s="96">
        <v>3834.28</v>
      </c>
      <c r="M30" s="96">
        <v>116712.83</v>
      </c>
      <c r="N30">
        <v>1350</v>
      </c>
      <c r="P30" s="90" t="s">
        <v>422</v>
      </c>
      <c r="Q30" s="90" t="s">
        <v>423</v>
      </c>
      <c r="R30" s="96">
        <v>228721.88999999996</v>
      </c>
      <c r="T30" s="213" t="s">
        <v>408</v>
      </c>
      <c r="U30" s="213" t="s">
        <v>409</v>
      </c>
      <c r="AH30" s="212">
        <v>45792</v>
      </c>
    </row>
    <row r="31" spans="2:38" x14ac:dyDescent="0.25">
      <c r="B31" s="90" t="s">
        <v>54</v>
      </c>
      <c r="C31" s="90" t="s">
        <v>55</v>
      </c>
      <c r="D31" s="89">
        <v>395679.68</v>
      </c>
      <c r="G31" s="89">
        <v>153203.64000000001</v>
      </c>
      <c r="H31">
        <v>242476.03999999998</v>
      </c>
      <c r="J31" s="90" t="s">
        <v>204</v>
      </c>
      <c r="K31" s="90" t="s">
        <v>205</v>
      </c>
      <c r="L31" s="96">
        <v>7488.93</v>
      </c>
      <c r="M31" s="96">
        <v>97821.72</v>
      </c>
      <c r="P31" s="90" t="s">
        <v>188</v>
      </c>
      <c r="Q31" s="90" t="s">
        <v>189</v>
      </c>
      <c r="R31" s="96">
        <v>1146609.55</v>
      </c>
      <c r="T31" s="213" t="s">
        <v>38</v>
      </c>
      <c r="U31" s="213" t="s">
        <v>39</v>
      </c>
      <c r="AL31" s="212">
        <v>30459.119999999999</v>
      </c>
    </row>
    <row r="32" spans="2:38" x14ac:dyDescent="0.25">
      <c r="B32" s="90" t="s">
        <v>192</v>
      </c>
      <c r="C32" s="90" t="s">
        <v>193</v>
      </c>
      <c r="D32" s="89">
        <v>1293732.31</v>
      </c>
      <c r="F32" s="174">
        <v>409379.19</v>
      </c>
      <c r="G32" s="89">
        <v>572771.67000000004</v>
      </c>
      <c r="H32">
        <v>311581.45</v>
      </c>
      <c r="J32" s="90" t="s">
        <v>122</v>
      </c>
      <c r="K32" s="90" t="s">
        <v>123</v>
      </c>
      <c r="L32" s="96">
        <v>3431.49</v>
      </c>
      <c r="M32" s="96">
        <v>148225.43</v>
      </c>
      <c r="P32" s="90" t="s">
        <v>388</v>
      </c>
      <c r="Q32" s="90" t="s">
        <v>389</v>
      </c>
      <c r="R32" s="96">
        <v>741163.31</v>
      </c>
      <c r="T32" s="213" t="s">
        <v>216</v>
      </c>
      <c r="U32" s="213" t="s">
        <v>217</v>
      </c>
      <c r="AE32" s="212">
        <v>781.17</v>
      </c>
      <c r="AH32" s="212">
        <v>1317.33</v>
      </c>
      <c r="AL32" s="212">
        <v>7491.54</v>
      </c>
    </row>
    <row r="33" spans="2:38" x14ac:dyDescent="0.25">
      <c r="B33" s="90" t="s">
        <v>100</v>
      </c>
      <c r="C33" s="90" t="s">
        <v>101</v>
      </c>
      <c r="D33" s="89">
        <v>5968.9599999999991</v>
      </c>
      <c r="G33" s="89">
        <v>3829.22</v>
      </c>
      <c r="H33">
        <v>2139.7399999999998</v>
      </c>
      <c r="J33" s="90" t="s">
        <v>482</v>
      </c>
      <c r="K33" s="90" t="s">
        <v>483</v>
      </c>
      <c r="L33" s="96">
        <v>22.25</v>
      </c>
      <c r="M33" s="96">
        <v>3929.53</v>
      </c>
      <c r="P33" s="90" t="s">
        <v>184</v>
      </c>
      <c r="Q33" s="90" t="s">
        <v>185</v>
      </c>
      <c r="R33" s="96">
        <v>1111266.1600000001</v>
      </c>
      <c r="T33" s="213" t="s">
        <v>576</v>
      </c>
      <c r="U33" s="213" t="s">
        <v>577</v>
      </c>
      <c r="AL33" s="212">
        <v>43934.04</v>
      </c>
    </row>
    <row r="34" spans="2:38" x14ac:dyDescent="0.25">
      <c r="B34" s="90" t="s">
        <v>348</v>
      </c>
      <c r="C34" s="90" t="s">
        <v>349</v>
      </c>
      <c r="D34" s="89">
        <v>84661.53</v>
      </c>
      <c r="G34" s="89">
        <v>84661.53</v>
      </c>
      <c r="H34" s="89"/>
      <c r="J34" s="90" t="s">
        <v>316</v>
      </c>
      <c r="K34" s="90" t="s">
        <v>317</v>
      </c>
      <c r="L34">
        <v>1036.32</v>
      </c>
      <c r="M34">
        <v>21618.36</v>
      </c>
      <c r="N34" s="96"/>
      <c r="P34" s="90" t="s">
        <v>556</v>
      </c>
      <c r="Q34" s="90" t="s">
        <v>557</v>
      </c>
      <c r="R34" s="96">
        <v>150377.53</v>
      </c>
      <c r="T34" s="213" t="s">
        <v>206</v>
      </c>
      <c r="U34" s="213" t="s">
        <v>207</v>
      </c>
      <c r="AE34" s="212">
        <v>72539.69</v>
      </c>
    </row>
    <row r="35" spans="2:38" x14ac:dyDescent="0.25">
      <c r="B35" s="90" t="s">
        <v>272</v>
      </c>
      <c r="C35" s="90" t="s">
        <v>273</v>
      </c>
      <c r="D35" s="89">
        <v>2556.4499999999998</v>
      </c>
      <c r="G35">
        <v>2556.4499999999998</v>
      </c>
      <c r="H35" s="89"/>
      <c r="J35" s="90" t="s">
        <v>594</v>
      </c>
      <c r="K35" s="90" t="s">
        <v>595</v>
      </c>
      <c r="L35" s="96">
        <v>9.94</v>
      </c>
      <c r="M35" s="96">
        <v>1197.32</v>
      </c>
      <c r="P35" s="90" t="s">
        <v>16</v>
      </c>
      <c r="Q35" s="90" t="s">
        <v>17</v>
      </c>
      <c r="R35" s="96">
        <v>11879724.379999999</v>
      </c>
      <c r="T35" s="213" t="s">
        <v>386</v>
      </c>
      <c r="U35" s="213" t="s">
        <v>387</v>
      </c>
      <c r="AL35" s="212">
        <v>13656.56</v>
      </c>
    </row>
    <row r="36" spans="2:38" x14ac:dyDescent="0.25">
      <c r="B36" s="90" t="s">
        <v>300</v>
      </c>
      <c r="C36" s="90" t="s">
        <v>301</v>
      </c>
      <c r="D36" s="89">
        <v>108922.31999999999</v>
      </c>
      <c r="F36" s="180"/>
      <c r="G36" s="89">
        <v>108922.31999999999</v>
      </c>
      <c r="J36" s="90" t="s">
        <v>102</v>
      </c>
      <c r="K36" s="90" t="s">
        <v>103</v>
      </c>
      <c r="L36" s="96">
        <v>37170.78</v>
      </c>
      <c r="M36" s="96">
        <v>92445.96</v>
      </c>
      <c r="P36" s="90" t="s">
        <v>228</v>
      </c>
      <c r="Q36" s="90" t="s">
        <v>229</v>
      </c>
      <c r="R36" s="96">
        <v>830817.91</v>
      </c>
      <c r="T36" s="213" t="s">
        <v>234</v>
      </c>
      <c r="U36" s="213" t="s">
        <v>235</v>
      </c>
      <c r="W36" s="212">
        <v>34000</v>
      </c>
    </row>
    <row r="37" spans="2:38" x14ac:dyDescent="0.25">
      <c r="B37" s="90" t="s">
        <v>204</v>
      </c>
      <c r="C37" s="90" t="s">
        <v>205</v>
      </c>
      <c r="D37" s="89">
        <v>720537.1399999999</v>
      </c>
      <c r="G37" s="89">
        <v>357138.85</v>
      </c>
      <c r="H37">
        <v>363398.29000000004</v>
      </c>
      <c r="J37" s="90" t="s">
        <v>432</v>
      </c>
      <c r="K37" s="90" t="s">
        <v>433</v>
      </c>
      <c r="L37" s="96">
        <v>753.67</v>
      </c>
      <c r="M37" s="96">
        <v>9312.4500000000007</v>
      </c>
      <c r="P37" s="90" t="s">
        <v>240</v>
      </c>
      <c r="Q37" s="90" t="s">
        <v>241</v>
      </c>
      <c r="R37" s="96">
        <v>678619.3899999999</v>
      </c>
      <c r="T37" s="213" t="s">
        <v>200</v>
      </c>
      <c r="U37" s="213" t="s">
        <v>201</v>
      </c>
      <c r="Z37" s="212">
        <v>10771.3</v>
      </c>
      <c r="AL37" s="212">
        <v>35436.53</v>
      </c>
    </row>
    <row r="38" spans="2:38" x14ac:dyDescent="0.25">
      <c r="B38" s="90" t="s">
        <v>122</v>
      </c>
      <c r="C38" s="90" t="s">
        <v>123</v>
      </c>
      <c r="D38" s="89">
        <v>258110.65999999997</v>
      </c>
      <c r="G38" s="89"/>
      <c r="H38" s="89">
        <v>258110.65999999997</v>
      </c>
      <c r="J38" s="90" t="s">
        <v>562</v>
      </c>
      <c r="K38" s="90" t="s">
        <v>563</v>
      </c>
      <c r="L38" s="96">
        <v>2362.9499999999998</v>
      </c>
      <c r="M38" s="96"/>
      <c r="P38" s="90" t="s">
        <v>498</v>
      </c>
      <c r="Q38" s="90" t="s">
        <v>499</v>
      </c>
      <c r="R38" s="96">
        <v>158803.82</v>
      </c>
      <c r="T38" s="213" t="s">
        <v>162</v>
      </c>
      <c r="U38" s="213" t="s">
        <v>163</v>
      </c>
      <c r="Z38" s="212">
        <v>21525.9</v>
      </c>
      <c r="AH38" s="212">
        <v>42449.23</v>
      </c>
      <c r="AL38" s="212">
        <v>13717.08</v>
      </c>
    </row>
    <row r="39" spans="2:38" x14ac:dyDescent="0.25">
      <c r="B39" s="90" t="s">
        <v>482</v>
      </c>
      <c r="C39" s="90" t="s">
        <v>483</v>
      </c>
      <c r="D39" s="89">
        <v>184135.39</v>
      </c>
      <c r="F39" s="174">
        <v>531.75</v>
      </c>
      <c r="G39">
        <v>183270.22999999998</v>
      </c>
      <c r="H39" s="89">
        <v>333.41</v>
      </c>
      <c r="J39" s="90" t="s">
        <v>462</v>
      </c>
      <c r="K39" s="90" t="s">
        <v>463</v>
      </c>
      <c r="L39" s="96"/>
      <c r="M39" s="96">
        <v>1690.26</v>
      </c>
      <c r="P39" s="90" t="s">
        <v>174</v>
      </c>
      <c r="Q39" s="90" t="s">
        <v>175</v>
      </c>
      <c r="R39" s="96">
        <v>1501677.3299999998</v>
      </c>
      <c r="T39" s="213" t="s">
        <v>260</v>
      </c>
      <c r="U39" s="213" t="s">
        <v>261</v>
      </c>
      <c r="AL39" s="212">
        <v>15655.74</v>
      </c>
    </row>
    <row r="40" spans="2:38" x14ac:dyDescent="0.25">
      <c r="B40" s="90" t="s">
        <v>316</v>
      </c>
      <c r="C40" s="90" t="s">
        <v>317</v>
      </c>
      <c r="D40" s="89">
        <v>296</v>
      </c>
      <c r="H40" s="89">
        <v>296</v>
      </c>
      <c r="J40" s="90" t="s">
        <v>38</v>
      </c>
      <c r="K40" s="90" t="s">
        <v>39</v>
      </c>
      <c r="L40" s="96">
        <v>9267.77</v>
      </c>
      <c r="M40" s="96"/>
      <c r="P40" s="90" t="s">
        <v>14</v>
      </c>
      <c r="Q40" s="90" t="s">
        <v>15</v>
      </c>
      <c r="R40" s="96">
        <v>13826681.800000001</v>
      </c>
      <c r="T40" s="213" t="s">
        <v>494</v>
      </c>
      <c r="U40" s="213" t="s">
        <v>495</v>
      </c>
      <c r="AJ40" s="212">
        <v>6088.71</v>
      </c>
      <c r="AL40" s="212">
        <v>57546.73</v>
      </c>
    </row>
    <row r="41" spans="2:38" x14ac:dyDescent="0.25">
      <c r="B41" s="90" t="s">
        <v>102</v>
      </c>
      <c r="C41" s="90" t="s">
        <v>103</v>
      </c>
      <c r="D41" s="89">
        <v>560096.59999999986</v>
      </c>
      <c r="G41">
        <v>494441.69</v>
      </c>
      <c r="H41" s="89">
        <v>65654.91</v>
      </c>
      <c r="J41" s="90" t="s">
        <v>216</v>
      </c>
      <c r="K41" s="90" t="s">
        <v>217</v>
      </c>
      <c r="L41" s="96">
        <v>2660.22</v>
      </c>
      <c r="M41" s="96">
        <v>44026.85</v>
      </c>
      <c r="P41" s="90" t="s">
        <v>88</v>
      </c>
      <c r="Q41" s="90" t="s">
        <v>89</v>
      </c>
      <c r="R41" s="96">
        <v>3802819.8300000005</v>
      </c>
      <c r="T41" s="213" t="s">
        <v>596</v>
      </c>
      <c r="U41" s="213" t="s">
        <v>597</v>
      </c>
      <c r="W41" s="212">
        <v>3758.7</v>
      </c>
      <c r="AL41" s="212">
        <v>18816.3</v>
      </c>
    </row>
    <row r="42" spans="2:38" x14ac:dyDescent="0.25">
      <c r="B42" s="90" t="s">
        <v>38</v>
      </c>
      <c r="C42" s="90" t="s">
        <v>39</v>
      </c>
      <c r="D42" s="89">
        <v>324406.20000000007</v>
      </c>
      <c r="H42" s="89">
        <v>324406.20000000007</v>
      </c>
      <c r="J42" s="90" t="s">
        <v>206</v>
      </c>
      <c r="K42" s="90" t="s">
        <v>207</v>
      </c>
      <c r="L42" s="96">
        <v>5096.1899999999996</v>
      </c>
      <c r="M42" s="96">
        <v>105144.03</v>
      </c>
      <c r="N42">
        <v>154058.15</v>
      </c>
      <c r="P42" s="90" t="s">
        <v>54</v>
      </c>
      <c r="Q42" s="90" t="s">
        <v>55</v>
      </c>
      <c r="R42" s="96">
        <v>4300650.67</v>
      </c>
      <c r="T42" s="213" t="s">
        <v>566</v>
      </c>
      <c r="U42" s="213" t="s">
        <v>567</v>
      </c>
      <c r="AL42" s="212">
        <v>5932.42</v>
      </c>
    </row>
    <row r="43" spans="2:38" x14ac:dyDescent="0.25">
      <c r="B43" s="90" t="s">
        <v>216</v>
      </c>
      <c r="C43" s="90" t="s">
        <v>217</v>
      </c>
      <c r="D43" s="89">
        <v>4791.2</v>
      </c>
      <c r="H43" s="89">
        <v>4791.2</v>
      </c>
      <c r="J43" s="90" t="s">
        <v>180</v>
      </c>
      <c r="K43" s="90" t="s">
        <v>181</v>
      </c>
      <c r="L43" s="96">
        <v>4982.09</v>
      </c>
      <c r="M43" s="96">
        <v>48717.87</v>
      </c>
      <c r="P43" s="90" t="s">
        <v>192</v>
      </c>
      <c r="Q43" s="90" t="s">
        <v>193</v>
      </c>
      <c r="R43" s="96">
        <v>1438057.32</v>
      </c>
      <c r="T43" s="213" t="s">
        <v>366</v>
      </c>
      <c r="U43" s="213" t="s">
        <v>367</v>
      </c>
      <c r="AH43" s="212">
        <v>7189.69</v>
      </c>
    </row>
    <row r="44" spans="2:38" x14ac:dyDescent="0.25">
      <c r="B44" s="90" t="s">
        <v>576</v>
      </c>
      <c r="C44" s="90" t="s">
        <v>577</v>
      </c>
      <c r="D44" s="89">
        <v>29476.92</v>
      </c>
      <c r="H44" s="89">
        <v>29476.92</v>
      </c>
      <c r="J44" s="90" t="s">
        <v>294</v>
      </c>
      <c r="K44" s="90" t="s">
        <v>295</v>
      </c>
      <c r="L44" s="96">
        <v>74.44</v>
      </c>
      <c r="M44" s="96">
        <v>2805.56</v>
      </c>
      <c r="P44" s="90" t="s">
        <v>1253</v>
      </c>
      <c r="Q44" s="90" t="s">
        <v>1254</v>
      </c>
      <c r="R44" s="96">
        <v>13380.59</v>
      </c>
      <c r="T44" s="213" t="s">
        <v>278</v>
      </c>
      <c r="U44" s="213" t="s">
        <v>279</v>
      </c>
      <c r="AL44" s="212">
        <v>38669.06</v>
      </c>
    </row>
    <row r="45" spans="2:38" x14ac:dyDescent="0.25">
      <c r="B45" s="90" t="s">
        <v>206</v>
      </c>
      <c r="C45" s="90" t="s">
        <v>207</v>
      </c>
      <c r="D45" s="89">
        <v>1784017.6099999994</v>
      </c>
      <c r="G45" s="89">
        <v>1621852.219999999</v>
      </c>
      <c r="H45" s="89">
        <v>162165.38999999996</v>
      </c>
      <c r="J45" s="90" t="s">
        <v>386</v>
      </c>
      <c r="K45" s="90" t="s">
        <v>387</v>
      </c>
      <c r="L45" s="96">
        <v>713.24</v>
      </c>
      <c r="M45" s="96">
        <v>16313.56</v>
      </c>
      <c r="P45" s="90" t="s">
        <v>402</v>
      </c>
      <c r="Q45" s="90" t="s">
        <v>403</v>
      </c>
      <c r="R45" s="96">
        <v>318136.37</v>
      </c>
      <c r="T45" s="213" t="s">
        <v>20</v>
      </c>
      <c r="U45" s="213" t="s">
        <v>21</v>
      </c>
      <c r="Z45" s="212">
        <v>10043.49</v>
      </c>
      <c r="AH45" s="212">
        <v>206454.71</v>
      </c>
      <c r="AL45" s="212">
        <v>65208.78</v>
      </c>
    </row>
    <row r="46" spans="2:38" x14ac:dyDescent="0.25">
      <c r="B46" s="90" t="s">
        <v>472</v>
      </c>
      <c r="C46" s="90" t="s">
        <v>473</v>
      </c>
      <c r="D46" s="89">
        <v>12375.35</v>
      </c>
      <c r="G46" s="89">
        <v>12375.35</v>
      </c>
      <c r="J46" s="90" t="s">
        <v>80</v>
      </c>
      <c r="K46" s="90" t="s">
        <v>81</v>
      </c>
      <c r="L46" s="96">
        <v>20535.310000000001</v>
      </c>
      <c r="M46" s="96">
        <v>197289.98</v>
      </c>
      <c r="P46" s="90" t="s">
        <v>598</v>
      </c>
      <c r="Q46" s="90" t="s">
        <v>599</v>
      </c>
      <c r="R46" s="96">
        <v>77526.740000000005</v>
      </c>
      <c r="T46" s="213" t="s">
        <v>132</v>
      </c>
      <c r="U46" s="213" t="s">
        <v>133</v>
      </c>
      <c r="AK46" s="212">
        <v>45000</v>
      </c>
    </row>
    <row r="47" spans="2:38" x14ac:dyDescent="0.25">
      <c r="B47" s="90" t="s">
        <v>386</v>
      </c>
      <c r="C47" s="90" t="s">
        <v>387</v>
      </c>
      <c r="D47" s="89">
        <v>68446.850000000006</v>
      </c>
      <c r="G47" s="89">
        <v>31063.39</v>
      </c>
      <c r="H47" s="89">
        <v>37383.460000000006</v>
      </c>
      <c r="J47" s="90" t="s">
        <v>200</v>
      </c>
      <c r="K47" s="90" t="s">
        <v>201</v>
      </c>
      <c r="L47" s="96">
        <v>533.28</v>
      </c>
      <c r="M47" s="96">
        <v>48715.74</v>
      </c>
      <c r="P47" s="90" t="s">
        <v>100</v>
      </c>
      <c r="Q47" s="90" t="s">
        <v>101</v>
      </c>
      <c r="R47" s="96">
        <v>3973216.1000000006</v>
      </c>
      <c r="T47" s="213" t="s">
        <v>32</v>
      </c>
      <c r="U47" s="213" t="s">
        <v>33</v>
      </c>
      <c r="AK47" s="212">
        <v>13194.25</v>
      </c>
      <c r="AL47" s="212">
        <v>40275</v>
      </c>
    </row>
    <row r="48" spans="2:38" x14ac:dyDescent="0.25">
      <c r="B48" s="90" t="s">
        <v>80</v>
      </c>
      <c r="C48" s="90" t="s">
        <v>81</v>
      </c>
      <c r="D48" s="89">
        <v>1437870.5100000002</v>
      </c>
      <c r="F48" s="180">
        <v>22486.609999999997</v>
      </c>
      <c r="G48">
        <v>1406120.6800000002</v>
      </c>
      <c r="H48">
        <v>9263.2199999999993</v>
      </c>
      <c r="J48" s="90" t="s">
        <v>336</v>
      </c>
      <c r="K48" s="90" t="s">
        <v>337</v>
      </c>
      <c r="L48" s="96">
        <v>35.04</v>
      </c>
      <c r="M48" s="96">
        <v>2913.48</v>
      </c>
      <c r="N48" s="96"/>
      <c r="P48" s="90" t="s">
        <v>348</v>
      </c>
      <c r="Q48" s="90" t="s">
        <v>349</v>
      </c>
      <c r="R48" s="96">
        <v>553864.47</v>
      </c>
      <c r="T48" s="213" t="s">
        <v>42</v>
      </c>
      <c r="U48" s="213" t="s">
        <v>43</v>
      </c>
      <c r="Z48" s="212">
        <v>6437.96</v>
      </c>
      <c r="AL48" s="212">
        <v>61796.82</v>
      </c>
    </row>
    <row r="49" spans="2:38" x14ac:dyDescent="0.25">
      <c r="B49" s="90" t="s">
        <v>200</v>
      </c>
      <c r="C49" s="90" t="s">
        <v>201</v>
      </c>
      <c r="D49" s="89">
        <v>941299.40999999992</v>
      </c>
      <c r="G49" s="89">
        <v>913875.7</v>
      </c>
      <c r="H49" s="89">
        <v>27423.71</v>
      </c>
      <c r="J49" s="90" t="s">
        <v>256</v>
      </c>
      <c r="K49" s="90" t="s">
        <v>257</v>
      </c>
      <c r="L49" s="96">
        <v>1159.82</v>
      </c>
      <c r="M49" s="96">
        <v>34025.14</v>
      </c>
      <c r="P49" s="90" t="s">
        <v>272</v>
      </c>
      <c r="Q49" s="90" t="s">
        <v>273</v>
      </c>
      <c r="R49" s="96">
        <v>1055626.21</v>
      </c>
      <c r="T49" s="213" t="s">
        <v>82</v>
      </c>
      <c r="U49" s="213" t="s">
        <v>83</v>
      </c>
      <c r="AH49" s="212">
        <v>47147.5</v>
      </c>
    </row>
    <row r="50" spans="2:38" x14ac:dyDescent="0.25">
      <c r="B50" s="90" t="s">
        <v>162</v>
      </c>
      <c r="C50" s="90" t="s">
        <v>163</v>
      </c>
      <c r="D50" s="89">
        <v>2315041.3400000003</v>
      </c>
      <c r="G50">
        <v>2277970.7400000002</v>
      </c>
      <c r="H50" s="89">
        <v>37070.600000000006</v>
      </c>
      <c r="J50" s="90" t="s">
        <v>490</v>
      </c>
      <c r="K50" s="90" t="s">
        <v>491</v>
      </c>
      <c r="L50" s="96"/>
      <c r="M50" s="96">
        <v>7699.68</v>
      </c>
      <c r="P50" s="90" t="s">
        <v>300</v>
      </c>
      <c r="Q50" s="90" t="s">
        <v>301</v>
      </c>
      <c r="R50" s="96">
        <v>679605.25000000012</v>
      </c>
      <c r="T50" s="213" t="s">
        <v>90</v>
      </c>
      <c r="U50" s="213" t="s">
        <v>91</v>
      </c>
      <c r="AH50" s="212">
        <v>6552</v>
      </c>
    </row>
    <row r="51" spans="2:38" x14ac:dyDescent="0.25">
      <c r="B51" s="90" t="s">
        <v>238</v>
      </c>
      <c r="C51" s="90" t="s">
        <v>239</v>
      </c>
      <c r="D51" s="89">
        <v>714203.9800000001</v>
      </c>
      <c r="G51" s="89">
        <v>167337.88999999998</v>
      </c>
      <c r="H51">
        <v>546866.09000000008</v>
      </c>
      <c r="J51" s="90" t="s">
        <v>458</v>
      </c>
      <c r="K51" s="90" t="s">
        <v>459</v>
      </c>
      <c r="L51" s="96">
        <v>294.07</v>
      </c>
      <c r="M51" s="96">
        <v>9485.93</v>
      </c>
      <c r="P51" s="90" t="s">
        <v>204</v>
      </c>
      <c r="Q51" s="90" t="s">
        <v>205</v>
      </c>
      <c r="R51" s="96">
        <v>1381457.6199999999</v>
      </c>
      <c r="T51" s="213" t="s">
        <v>26</v>
      </c>
      <c r="U51" s="213" t="s">
        <v>27</v>
      </c>
      <c r="AF51" s="212">
        <v>19209.63</v>
      </c>
      <c r="AH51" s="212">
        <v>12712.49</v>
      </c>
      <c r="AJ51" s="212">
        <v>46712.39</v>
      </c>
      <c r="AL51" s="212">
        <v>704.35</v>
      </c>
    </row>
    <row r="52" spans="2:38" x14ac:dyDescent="0.25">
      <c r="B52" s="90" t="s">
        <v>342</v>
      </c>
      <c r="C52" s="90" t="s">
        <v>343</v>
      </c>
      <c r="D52" s="89">
        <v>420319.33</v>
      </c>
      <c r="G52" s="89">
        <v>339331.64</v>
      </c>
      <c r="H52" s="89">
        <v>80987.69</v>
      </c>
      <c r="J52" s="90" t="s">
        <v>106</v>
      </c>
      <c r="K52" s="90" t="s">
        <v>107</v>
      </c>
      <c r="L52" s="96">
        <v>14936.32</v>
      </c>
      <c r="M52" s="96">
        <v>474889.14</v>
      </c>
      <c r="P52" s="90" t="s">
        <v>122</v>
      </c>
      <c r="Q52" s="90" t="s">
        <v>123</v>
      </c>
      <c r="R52" s="96">
        <v>4112841.7499999995</v>
      </c>
      <c r="T52" s="213" t="s">
        <v>8</v>
      </c>
      <c r="U52" s="213" t="s">
        <v>9</v>
      </c>
      <c r="AH52" s="212">
        <v>33027.15</v>
      </c>
      <c r="AL52" s="212">
        <v>77264.95</v>
      </c>
    </row>
    <row r="53" spans="2:38" x14ac:dyDescent="0.25">
      <c r="B53" s="90" t="s">
        <v>414</v>
      </c>
      <c r="C53" s="90" t="s">
        <v>415</v>
      </c>
      <c r="D53" s="89">
        <v>182304.18</v>
      </c>
      <c r="G53" s="89">
        <v>182304.18</v>
      </c>
      <c r="H53" s="89"/>
      <c r="J53" s="90" t="s">
        <v>292</v>
      </c>
      <c r="K53" s="90" t="s">
        <v>293</v>
      </c>
      <c r="L53" s="96">
        <v>7513.4</v>
      </c>
      <c r="M53" s="96">
        <v>53896.480000000003</v>
      </c>
      <c r="N53" s="96"/>
      <c r="P53" s="90" t="s">
        <v>482</v>
      </c>
      <c r="Q53" s="90" t="s">
        <v>483</v>
      </c>
      <c r="R53" s="96">
        <v>172029.17000000004</v>
      </c>
      <c r="T53" s="213" t="s">
        <v>12</v>
      </c>
      <c r="U53" s="213" t="s">
        <v>13</v>
      </c>
      <c r="AK53" s="212">
        <v>8926.2000000000007</v>
      </c>
      <c r="AL53" s="212">
        <v>491600.9</v>
      </c>
    </row>
    <row r="54" spans="2:38" x14ac:dyDescent="0.25">
      <c r="B54" s="90" t="s">
        <v>260</v>
      </c>
      <c r="C54" s="90" t="s">
        <v>261</v>
      </c>
      <c r="D54" s="89">
        <v>54864.590000000004</v>
      </c>
      <c r="F54" s="174">
        <v>54864.590000000004</v>
      </c>
      <c r="G54" s="89"/>
      <c r="J54" s="90" t="s">
        <v>366</v>
      </c>
      <c r="K54" s="90" t="s">
        <v>367</v>
      </c>
      <c r="L54">
        <v>303.72000000000003</v>
      </c>
      <c r="M54">
        <v>8727.5300000000007</v>
      </c>
      <c r="N54" s="96"/>
      <c r="P54" s="90" t="s">
        <v>316</v>
      </c>
      <c r="Q54" s="90" t="s">
        <v>317</v>
      </c>
      <c r="R54" s="96">
        <v>717281.54</v>
      </c>
      <c r="T54" s="213" t="s">
        <v>22</v>
      </c>
      <c r="U54" s="213" t="s">
        <v>23</v>
      </c>
      <c r="AH54" s="212">
        <v>74487.03</v>
      </c>
      <c r="AL54" s="212">
        <v>171261.4</v>
      </c>
    </row>
    <row r="55" spans="2:38" x14ac:dyDescent="0.25">
      <c r="B55" s="90" t="s">
        <v>256</v>
      </c>
      <c r="C55" s="90" t="s">
        <v>257</v>
      </c>
      <c r="D55" s="89">
        <v>422159.73</v>
      </c>
      <c r="G55" s="89">
        <v>85382.73</v>
      </c>
      <c r="H55" s="89">
        <v>336777</v>
      </c>
      <c r="J55" s="90" t="s">
        <v>4</v>
      </c>
      <c r="K55" s="90" t="s">
        <v>5</v>
      </c>
      <c r="L55" s="96">
        <v>67477.850000000006</v>
      </c>
      <c r="M55" s="96">
        <v>3997079.8</v>
      </c>
      <c r="P55" s="90" t="s">
        <v>594</v>
      </c>
      <c r="Q55" s="90" t="s">
        <v>595</v>
      </c>
      <c r="R55" s="96">
        <v>41701.519999999997</v>
      </c>
      <c r="T55" s="213" t="s">
        <v>118</v>
      </c>
      <c r="U55" s="213" t="s">
        <v>119</v>
      </c>
      <c r="AL55" s="212">
        <v>51829.05</v>
      </c>
    </row>
    <row r="56" spans="2:38" x14ac:dyDescent="0.25">
      <c r="B56" s="90" t="s">
        <v>494</v>
      </c>
      <c r="C56" s="90" t="s">
        <v>495</v>
      </c>
      <c r="D56" s="89">
        <v>290256.14000000007</v>
      </c>
      <c r="G56" s="89">
        <v>290256.14000000007</v>
      </c>
      <c r="J56" s="90" t="s">
        <v>20</v>
      </c>
      <c r="K56" s="90" t="s">
        <v>21</v>
      </c>
      <c r="L56">
        <v>46416.09</v>
      </c>
      <c r="M56">
        <v>866506.71</v>
      </c>
      <c r="N56" s="96"/>
      <c r="P56" s="90" t="s">
        <v>102</v>
      </c>
      <c r="Q56" s="90" t="s">
        <v>103</v>
      </c>
      <c r="R56" s="96">
        <v>3645372.49</v>
      </c>
      <c r="T56" s="213" t="s">
        <v>144</v>
      </c>
      <c r="U56" s="213" t="s">
        <v>145</v>
      </c>
      <c r="Z56" s="212">
        <v>6439.99</v>
      </c>
    </row>
    <row r="57" spans="2:38" x14ac:dyDescent="0.25">
      <c r="B57" s="90" t="s">
        <v>362</v>
      </c>
      <c r="C57" s="90" t="s">
        <v>363</v>
      </c>
      <c r="D57" s="89">
        <v>104882.88</v>
      </c>
      <c r="G57" s="89">
        <v>104882.88</v>
      </c>
      <c r="J57" s="90" t="s">
        <v>142</v>
      </c>
      <c r="K57" s="90" t="s">
        <v>143</v>
      </c>
      <c r="L57" s="96"/>
      <c r="M57" s="96"/>
      <c r="N57">
        <v>100</v>
      </c>
      <c r="P57" s="90" t="s">
        <v>524</v>
      </c>
      <c r="Q57" s="90" t="s">
        <v>525</v>
      </c>
      <c r="R57" s="96">
        <v>141552.47</v>
      </c>
      <c r="T57" s="213" t="s">
        <v>60</v>
      </c>
      <c r="U57" s="213" t="s">
        <v>61</v>
      </c>
      <c r="AL57" s="212">
        <v>22554.48</v>
      </c>
    </row>
    <row r="58" spans="2:38" x14ac:dyDescent="0.25">
      <c r="B58" s="90" t="s">
        <v>458</v>
      </c>
      <c r="C58" s="90" t="s">
        <v>459</v>
      </c>
      <c r="D58" s="89">
        <v>97086.55</v>
      </c>
      <c r="G58" s="89">
        <v>97086.55</v>
      </c>
      <c r="J58" s="90" t="s">
        <v>132</v>
      </c>
      <c r="K58" s="90" t="s">
        <v>133</v>
      </c>
      <c r="L58" s="96">
        <v>5316.2</v>
      </c>
      <c r="M58" s="96">
        <v>60641.32</v>
      </c>
      <c r="P58" s="90" t="s">
        <v>432</v>
      </c>
      <c r="Q58" s="90" t="s">
        <v>433</v>
      </c>
      <c r="R58" s="96">
        <v>333332.87999999995</v>
      </c>
      <c r="T58" s="213" t="s">
        <v>68</v>
      </c>
      <c r="U58" s="213" t="s">
        <v>69</v>
      </c>
      <c r="AL58" s="212">
        <v>87965.73</v>
      </c>
    </row>
    <row r="59" spans="2:38" x14ac:dyDescent="0.25">
      <c r="B59" s="90" t="s">
        <v>106</v>
      </c>
      <c r="C59" s="90" t="s">
        <v>107</v>
      </c>
      <c r="D59" s="89">
        <v>23797.06</v>
      </c>
      <c r="G59" s="89"/>
      <c r="H59">
        <v>23797.06</v>
      </c>
      <c r="J59" s="90" t="s">
        <v>32</v>
      </c>
      <c r="K59" s="90" t="s">
        <v>33</v>
      </c>
      <c r="L59" s="96"/>
      <c r="M59" s="96"/>
      <c r="N59">
        <v>100</v>
      </c>
      <c r="P59" s="90" t="s">
        <v>588</v>
      </c>
      <c r="Q59" s="90" t="s">
        <v>589</v>
      </c>
      <c r="R59" s="96">
        <v>83186.16</v>
      </c>
      <c r="T59" s="213" t="s">
        <v>508</v>
      </c>
      <c r="U59" s="213" t="s">
        <v>509</v>
      </c>
      <c r="AL59" s="212">
        <v>2893.37</v>
      </c>
    </row>
    <row r="60" spans="2:38" x14ac:dyDescent="0.25">
      <c r="B60" s="90" t="s">
        <v>292</v>
      </c>
      <c r="C60" s="90" t="s">
        <v>293</v>
      </c>
      <c r="D60" s="89">
        <v>40810.559999999998</v>
      </c>
      <c r="H60" s="89">
        <v>40810.559999999998</v>
      </c>
      <c r="J60" s="90" t="s">
        <v>44</v>
      </c>
      <c r="K60" s="90" t="s">
        <v>45</v>
      </c>
      <c r="L60" s="96">
        <v>294330.03999999998</v>
      </c>
      <c r="M60" s="96">
        <v>364292.62</v>
      </c>
      <c r="N60" s="96"/>
      <c r="P60" s="90" t="s">
        <v>488</v>
      </c>
      <c r="Q60" s="90" t="s">
        <v>489</v>
      </c>
      <c r="R60" s="96">
        <v>253848.37000000002</v>
      </c>
      <c r="T60" s="213" t="s">
        <v>166</v>
      </c>
      <c r="U60" s="213" t="s">
        <v>167</v>
      </c>
      <c r="AI60" s="212">
        <v>18935.580000000002</v>
      </c>
      <c r="AL60" s="212">
        <v>61144.43</v>
      </c>
    </row>
    <row r="61" spans="2:38" x14ac:dyDescent="0.25">
      <c r="B61" s="90" t="s">
        <v>262</v>
      </c>
      <c r="C61" s="90" t="s">
        <v>263</v>
      </c>
      <c r="D61" s="89">
        <v>370983.96</v>
      </c>
      <c r="H61" s="89">
        <v>370983.96</v>
      </c>
      <c r="J61" s="90" t="s">
        <v>28</v>
      </c>
      <c r="K61" s="90" t="s">
        <v>29</v>
      </c>
      <c r="L61" s="96">
        <v>53811.75</v>
      </c>
      <c r="M61" s="96">
        <v>448427.86</v>
      </c>
      <c r="P61" s="90" t="s">
        <v>562</v>
      </c>
      <c r="Q61" s="90" t="s">
        <v>563</v>
      </c>
      <c r="R61" s="96">
        <v>83186.14</v>
      </c>
      <c r="T61" s="213" t="s">
        <v>350</v>
      </c>
      <c r="U61" s="213" t="s">
        <v>351</v>
      </c>
      <c r="AC61" s="212">
        <v>3150</v>
      </c>
    </row>
    <row r="62" spans="2:38" x14ac:dyDescent="0.25">
      <c r="B62" s="90" t="s">
        <v>366</v>
      </c>
      <c r="C62" s="90" t="s">
        <v>367</v>
      </c>
      <c r="D62" s="89">
        <v>26063.65</v>
      </c>
      <c r="G62">
        <v>26063.65</v>
      </c>
      <c r="H62" s="89"/>
      <c r="J62" s="90" t="s">
        <v>182</v>
      </c>
      <c r="K62" s="90" t="s">
        <v>183</v>
      </c>
      <c r="L62" s="96">
        <v>228746.67</v>
      </c>
      <c r="M62" s="96">
        <v>71838.720000000001</v>
      </c>
      <c r="P62" s="90" t="s">
        <v>462</v>
      </c>
      <c r="Q62" s="90" t="s">
        <v>463</v>
      </c>
      <c r="R62" s="96">
        <v>289546.52</v>
      </c>
      <c r="T62" s="213" t="s">
        <v>538</v>
      </c>
      <c r="U62" s="213" t="s">
        <v>539</v>
      </c>
      <c r="AL62" s="212">
        <v>40784.39</v>
      </c>
    </row>
    <row r="63" spans="2:38" x14ac:dyDescent="0.25">
      <c r="B63" s="90" t="s">
        <v>278</v>
      </c>
      <c r="C63" s="90" t="s">
        <v>279</v>
      </c>
      <c r="D63" s="89">
        <v>34689.689999999995</v>
      </c>
      <c r="G63" s="89"/>
      <c r="H63">
        <v>34689.689999999995</v>
      </c>
      <c r="J63" s="90" t="s">
        <v>42</v>
      </c>
      <c r="K63" s="90" t="s">
        <v>43</v>
      </c>
      <c r="L63" s="96">
        <v>5728.04</v>
      </c>
      <c r="M63" s="96">
        <v>166799.84</v>
      </c>
      <c r="P63" s="90" t="s">
        <v>408</v>
      </c>
      <c r="Q63" s="90" t="s">
        <v>409</v>
      </c>
      <c r="R63" s="96">
        <v>425088.44999999995</v>
      </c>
      <c r="T63" s="213" t="s">
        <v>528</v>
      </c>
      <c r="U63" s="213" t="s">
        <v>529</v>
      </c>
      <c r="AD63" s="212">
        <v>12644.68</v>
      </c>
    </row>
    <row r="64" spans="2:38" x14ac:dyDescent="0.25">
      <c r="B64" s="90" t="s">
        <v>4</v>
      </c>
      <c r="C64" s="90" t="s">
        <v>5</v>
      </c>
      <c r="D64" s="89">
        <v>1845085.0000000002</v>
      </c>
      <c r="E64" s="174">
        <v>1162548.2700000003</v>
      </c>
      <c r="G64" s="89">
        <v>363036.74</v>
      </c>
      <c r="H64">
        <v>319499.99</v>
      </c>
      <c r="J64" s="90" t="s">
        <v>90</v>
      </c>
      <c r="K64" s="90" t="s">
        <v>91</v>
      </c>
      <c r="L64" s="96"/>
      <c r="M64" s="96"/>
      <c r="N64">
        <v>4550</v>
      </c>
      <c r="P64" s="90" t="s">
        <v>38</v>
      </c>
      <c r="Q64" s="90" t="s">
        <v>39</v>
      </c>
      <c r="R64" s="96">
        <v>13339163.699999997</v>
      </c>
      <c r="T64" s="213" t="s">
        <v>546</v>
      </c>
      <c r="U64" s="213" t="s">
        <v>547</v>
      </c>
      <c r="AL64" s="212">
        <v>5847</v>
      </c>
    </row>
    <row r="65" spans="2:38" x14ac:dyDescent="0.25">
      <c r="B65" s="90" t="s">
        <v>20</v>
      </c>
      <c r="C65" s="90" t="s">
        <v>21</v>
      </c>
      <c r="D65" s="89">
        <v>6364855.5100000007</v>
      </c>
      <c r="G65">
        <v>5367219.5999999996</v>
      </c>
      <c r="H65" s="89">
        <v>997635.91</v>
      </c>
      <c r="J65" s="90" t="s">
        <v>26</v>
      </c>
      <c r="K65" s="90" t="s">
        <v>27</v>
      </c>
      <c r="L65" s="96">
        <v>65108.12</v>
      </c>
      <c r="M65" s="96">
        <v>360444.8</v>
      </c>
      <c r="P65" s="90" t="s">
        <v>216</v>
      </c>
      <c r="Q65" s="90" t="s">
        <v>217</v>
      </c>
      <c r="R65" s="96">
        <v>1507927.16</v>
      </c>
      <c r="T65" s="213" t="s">
        <v>304</v>
      </c>
      <c r="U65" s="213" t="s">
        <v>305</v>
      </c>
      <c r="AA65" s="212">
        <v>8657.9500000000007</v>
      </c>
    </row>
    <row r="66" spans="2:38" x14ac:dyDescent="0.25">
      <c r="B66" s="90" t="s">
        <v>142</v>
      </c>
      <c r="C66" s="90" t="s">
        <v>143</v>
      </c>
      <c r="D66" s="89">
        <v>904617.90000000014</v>
      </c>
      <c r="G66">
        <v>827722.11000000022</v>
      </c>
      <c r="H66" s="89">
        <v>76895.790000000023</v>
      </c>
      <c r="J66" s="90" t="s">
        <v>8</v>
      </c>
      <c r="K66" s="90" t="s">
        <v>9</v>
      </c>
      <c r="L66" s="96">
        <v>49614.6</v>
      </c>
      <c r="M66" s="96">
        <v>3326315.97</v>
      </c>
      <c r="P66" s="90" t="s">
        <v>576</v>
      </c>
      <c r="Q66" s="90" t="s">
        <v>577</v>
      </c>
      <c r="R66" s="96">
        <v>141181.18</v>
      </c>
      <c r="T66" s="213" t="s">
        <v>384</v>
      </c>
      <c r="U66" s="213" t="s">
        <v>385</v>
      </c>
      <c r="Z66" s="212">
        <v>24812.11</v>
      </c>
      <c r="AL66" s="212">
        <v>5486.55</v>
      </c>
    </row>
    <row r="67" spans="2:38" x14ac:dyDescent="0.25">
      <c r="B67" s="90" t="s">
        <v>132</v>
      </c>
      <c r="C67" s="90" t="s">
        <v>133</v>
      </c>
      <c r="D67" s="89">
        <v>535728.36999999988</v>
      </c>
      <c r="E67" s="180"/>
      <c r="G67" s="89"/>
      <c r="H67" s="89">
        <v>535728.36999999988</v>
      </c>
      <c r="J67" s="90" t="s">
        <v>12</v>
      </c>
      <c r="K67" s="90" t="s">
        <v>13</v>
      </c>
      <c r="L67" s="96">
        <v>68858.41</v>
      </c>
      <c r="M67" s="96">
        <v>1085991.99</v>
      </c>
      <c r="P67" s="90" t="s">
        <v>426</v>
      </c>
      <c r="Q67" s="90" t="s">
        <v>427</v>
      </c>
      <c r="R67" s="96">
        <v>391022.34</v>
      </c>
      <c r="T67" s="213" t="s">
        <v>340</v>
      </c>
      <c r="U67" s="213" t="s">
        <v>341</v>
      </c>
      <c r="AL67" s="212">
        <v>23613.33</v>
      </c>
    </row>
    <row r="68" spans="2:38" x14ac:dyDescent="0.25">
      <c r="B68" s="90" t="s">
        <v>32</v>
      </c>
      <c r="C68" s="90" t="s">
        <v>33</v>
      </c>
      <c r="D68" s="89">
        <v>4811059.8</v>
      </c>
      <c r="G68" s="89">
        <v>3453297.1899999995</v>
      </c>
      <c r="H68" s="89">
        <v>1357762.61</v>
      </c>
      <c r="J68" s="90" t="s">
        <v>22</v>
      </c>
      <c r="K68" s="90" t="s">
        <v>23</v>
      </c>
      <c r="L68" s="96">
        <v>40364.25</v>
      </c>
      <c r="M68" s="96">
        <v>209782.32</v>
      </c>
      <c r="P68" s="90" t="s">
        <v>206</v>
      </c>
      <c r="Q68" s="90" t="s">
        <v>207</v>
      </c>
      <c r="R68" s="96">
        <v>2032643.42</v>
      </c>
      <c r="T68" s="213" t="s">
        <v>324</v>
      </c>
      <c r="U68" s="213" t="s">
        <v>325</v>
      </c>
      <c r="AJ68" s="212">
        <v>10879.35</v>
      </c>
    </row>
    <row r="69" spans="2:38" x14ac:dyDescent="0.25">
      <c r="B69" s="90" t="s">
        <v>242</v>
      </c>
      <c r="C69" s="90" t="s">
        <v>243</v>
      </c>
      <c r="D69" s="89">
        <v>252548.63</v>
      </c>
      <c r="G69" s="89">
        <v>252548.63</v>
      </c>
      <c r="H69" s="89"/>
      <c r="J69" s="90" t="s">
        <v>999</v>
      </c>
      <c r="K69" s="90" t="s">
        <v>1198</v>
      </c>
      <c r="L69" s="96">
        <v>414050.16</v>
      </c>
      <c r="M69" s="96">
        <v>103984.51</v>
      </c>
      <c r="P69" s="90" t="s">
        <v>180</v>
      </c>
      <c r="Q69" s="90" t="s">
        <v>181</v>
      </c>
      <c r="R69" s="96">
        <v>2366938.63</v>
      </c>
      <c r="T69" s="213" t="s">
        <v>178</v>
      </c>
      <c r="U69" s="213" t="s">
        <v>179</v>
      </c>
      <c r="Z69" s="212">
        <v>70598.3</v>
      </c>
      <c r="AF69" s="212">
        <v>49510.5</v>
      </c>
      <c r="AG69" s="212">
        <v>79599.490000000005</v>
      </c>
      <c r="AH69" s="212">
        <v>150243.35</v>
      </c>
    </row>
    <row r="70" spans="2:38" x14ac:dyDescent="0.25">
      <c r="B70" s="90" t="s">
        <v>44</v>
      </c>
      <c r="C70" s="90" t="s">
        <v>45</v>
      </c>
      <c r="D70" s="89">
        <v>3305853.0100000002</v>
      </c>
      <c r="G70">
        <v>1573142.99</v>
      </c>
      <c r="H70" s="89">
        <v>1732710.02</v>
      </c>
      <c r="J70" s="90" t="s">
        <v>1196</v>
      </c>
      <c r="K70" s="90" t="s">
        <v>1195</v>
      </c>
      <c r="L70" s="96">
        <v>180591.55</v>
      </c>
      <c r="M70" s="96">
        <v>74434.97</v>
      </c>
      <c r="P70" s="90" t="s">
        <v>294</v>
      </c>
      <c r="Q70" s="90" t="s">
        <v>295</v>
      </c>
      <c r="R70" s="96">
        <v>678476.99000000011</v>
      </c>
      <c r="T70" s="213" t="s">
        <v>550</v>
      </c>
      <c r="U70" s="213" t="s">
        <v>551</v>
      </c>
      <c r="AL70" s="212">
        <v>7740.84</v>
      </c>
    </row>
    <row r="71" spans="2:38" x14ac:dyDescent="0.25">
      <c r="B71" s="90" t="s">
        <v>568</v>
      </c>
      <c r="C71" s="90" t="s">
        <v>569</v>
      </c>
      <c r="D71" s="89">
        <v>149912.97999999998</v>
      </c>
      <c r="G71" s="89">
        <v>109546.62</v>
      </c>
      <c r="H71" s="89">
        <v>40366.36</v>
      </c>
      <c r="J71" s="90" t="s">
        <v>118</v>
      </c>
      <c r="K71" s="90" t="s">
        <v>119</v>
      </c>
      <c r="L71" s="96">
        <v>2028.75</v>
      </c>
      <c r="M71" s="96">
        <v>84095.42</v>
      </c>
      <c r="P71" s="90" t="s">
        <v>472</v>
      </c>
      <c r="Q71" s="90" t="s">
        <v>473</v>
      </c>
      <c r="R71" s="96">
        <v>192084.87</v>
      </c>
      <c r="T71" s="213" t="s">
        <v>466</v>
      </c>
      <c r="U71" s="213" t="s">
        <v>467</v>
      </c>
      <c r="AH71" s="212">
        <v>18260.59</v>
      </c>
    </row>
    <row r="72" spans="2:38" x14ac:dyDescent="0.25">
      <c r="B72" s="90" t="s">
        <v>28</v>
      </c>
      <c r="C72" s="90" t="s">
        <v>29</v>
      </c>
      <c r="D72" s="89">
        <v>10115188.949999999</v>
      </c>
      <c r="G72" s="89">
        <v>8310432.2700000005</v>
      </c>
      <c r="H72" s="89">
        <v>1804756.6799999997</v>
      </c>
      <c r="J72" s="90" t="s">
        <v>144</v>
      </c>
      <c r="K72" s="90" t="s">
        <v>145</v>
      </c>
      <c r="L72">
        <v>109984.1</v>
      </c>
      <c r="M72" s="96">
        <v>40938.46</v>
      </c>
      <c r="P72" s="90" t="s">
        <v>386</v>
      </c>
      <c r="Q72" s="90" t="s">
        <v>387</v>
      </c>
      <c r="R72" s="96">
        <v>504249.09</v>
      </c>
      <c r="T72" s="213" t="s">
        <v>130</v>
      </c>
      <c r="U72" s="213" t="s">
        <v>131</v>
      </c>
      <c r="AK72" s="212">
        <v>3634.46</v>
      </c>
      <c r="AL72" s="212">
        <v>11232.38</v>
      </c>
    </row>
    <row r="73" spans="2:38" x14ac:dyDescent="0.25">
      <c r="B73" s="90" t="s">
        <v>182</v>
      </c>
      <c r="C73" s="90" t="s">
        <v>183</v>
      </c>
      <c r="D73" s="89">
        <v>1906221.63</v>
      </c>
      <c r="G73" s="89">
        <v>1586507.3199999998</v>
      </c>
      <c r="H73" s="89">
        <v>319714.31</v>
      </c>
      <c r="J73" s="90" t="s">
        <v>104</v>
      </c>
      <c r="K73" s="90" t="s">
        <v>105</v>
      </c>
      <c r="L73">
        <v>4110.4399999999996</v>
      </c>
      <c r="M73" s="96">
        <v>103345.24</v>
      </c>
      <c r="P73" s="90" t="s">
        <v>234</v>
      </c>
      <c r="Q73" s="90" t="s">
        <v>235</v>
      </c>
      <c r="R73" s="96">
        <v>1091779.3999999999</v>
      </c>
      <c r="T73" s="213" t="s">
        <v>296</v>
      </c>
      <c r="U73" s="213" t="s">
        <v>297</v>
      </c>
      <c r="AL73" s="212">
        <v>12851.71</v>
      </c>
    </row>
    <row r="74" spans="2:38" x14ac:dyDescent="0.25">
      <c r="B74" s="90" t="s">
        <v>168</v>
      </c>
      <c r="C74" s="90" t="s">
        <v>169</v>
      </c>
      <c r="D74" s="89">
        <v>496124.04</v>
      </c>
      <c r="G74">
        <v>478379.58999999997</v>
      </c>
      <c r="H74" s="89">
        <v>17744.45</v>
      </c>
      <c r="J74" s="90" t="s">
        <v>60</v>
      </c>
      <c r="K74" s="90" t="s">
        <v>61</v>
      </c>
      <c r="L74">
        <v>8171.41</v>
      </c>
      <c r="M74" s="96">
        <v>334104.15000000002</v>
      </c>
      <c r="P74" s="90" t="s">
        <v>80</v>
      </c>
      <c r="Q74" s="90" t="s">
        <v>81</v>
      </c>
      <c r="R74" s="96">
        <v>5101892.7899999991</v>
      </c>
      <c r="T74" s="213" t="s">
        <v>372</v>
      </c>
      <c r="U74" s="213" t="s">
        <v>373</v>
      </c>
      <c r="AL74" s="212">
        <v>73.319999999999993</v>
      </c>
    </row>
    <row r="75" spans="2:38" x14ac:dyDescent="0.25">
      <c r="B75" s="90" t="s">
        <v>42</v>
      </c>
      <c r="C75" s="90" t="s">
        <v>43</v>
      </c>
      <c r="D75" s="89">
        <v>4960143.2200000007</v>
      </c>
      <c r="G75" s="89">
        <v>3094148.7399999998</v>
      </c>
      <c r="H75" s="89">
        <v>1865994.4799999997</v>
      </c>
      <c r="J75" s="90" t="s">
        <v>68</v>
      </c>
      <c r="K75" s="90" t="s">
        <v>69</v>
      </c>
      <c r="L75">
        <v>24101.07</v>
      </c>
      <c r="M75" s="96">
        <v>263271.23</v>
      </c>
      <c r="P75" s="90" t="s">
        <v>200</v>
      </c>
      <c r="Q75" s="90" t="s">
        <v>201</v>
      </c>
      <c r="R75" s="96">
        <v>2136673.31</v>
      </c>
      <c r="T75" s="213" t="s">
        <v>290</v>
      </c>
      <c r="U75" s="213" t="s">
        <v>291</v>
      </c>
      <c r="AH75" s="212">
        <v>97441.52</v>
      </c>
    </row>
    <row r="76" spans="2:38" x14ac:dyDescent="0.25">
      <c r="B76" s="90" t="s">
        <v>82</v>
      </c>
      <c r="C76" s="90" t="s">
        <v>83</v>
      </c>
      <c r="D76" s="89">
        <v>1574536.1099999999</v>
      </c>
      <c r="F76" s="174">
        <v>40436.65</v>
      </c>
      <c r="G76" s="89">
        <v>1355661.5699999998</v>
      </c>
      <c r="H76" s="89">
        <v>178437.89</v>
      </c>
      <c r="J76" s="90" t="s">
        <v>1159</v>
      </c>
      <c r="K76" s="90" t="s">
        <v>1176</v>
      </c>
      <c r="L76">
        <v>32237.59</v>
      </c>
      <c r="M76" s="96">
        <v>559165.63</v>
      </c>
      <c r="P76" s="90" t="s">
        <v>506</v>
      </c>
      <c r="Q76" s="90" t="s">
        <v>507</v>
      </c>
      <c r="R76" s="96">
        <v>136970.78</v>
      </c>
      <c r="T76" s="213" t="s">
        <v>358</v>
      </c>
      <c r="U76" s="213" t="s">
        <v>359</v>
      </c>
      <c r="AJ76" s="212">
        <v>4000</v>
      </c>
    </row>
    <row r="77" spans="2:38" x14ac:dyDescent="0.25">
      <c r="B77" s="90" t="s">
        <v>90</v>
      </c>
      <c r="C77" s="90" t="s">
        <v>91</v>
      </c>
      <c r="D77" s="89">
        <v>658123.21000000008</v>
      </c>
      <c r="G77" s="89">
        <v>260251.47</v>
      </c>
      <c r="H77" s="89">
        <v>397871.74000000005</v>
      </c>
      <c r="J77" s="90" t="s">
        <v>516</v>
      </c>
      <c r="K77" s="90" t="s">
        <v>517</v>
      </c>
      <c r="L77">
        <v>536.29</v>
      </c>
      <c r="M77" s="96">
        <v>4047.35</v>
      </c>
      <c r="P77" s="90" t="s">
        <v>336</v>
      </c>
      <c r="Q77" s="90" t="s">
        <v>337</v>
      </c>
      <c r="R77" s="96">
        <v>460408.64</v>
      </c>
      <c r="T77" s="213" t="s">
        <v>286</v>
      </c>
      <c r="U77" s="213" t="s">
        <v>287</v>
      </c>
      <c r="AL77" s="212">
        <v>46065.68</v>
      </c>
    </row>
    <row r="78" spans="2:38" x14ac:dyDescent="0.25">
      <c r="B78" s="90" t="s">
        <v>26</v>
      </c>
      <c r="C78" s="90" t="s">
        <v>27</v>
      </c>
      <c r="D78" s="89">
        <v>10845683.68</v>
      </c>
      <c r="G78" s="89">
        <v>10845683.68</v>
      </c>
      <c r="H78" s="89"/>
      <c r="J78" s="90" t="s">
        <v>166</v>
      </c>
      <c r="K78" s="90" t="s">
        <v>167</v>
      </c>
      <c r="L78" s="96">
        <v>502.8</v>
      </c>
      <c r="M78" s="96">
        <v>23757.599999999999</v>
      </c>
      <c r="P78" s="90" t="s">
        <v>162</v>
      </c>
      <c r="Q78" s="90" t="s">
        <v>163</v>
      </c>
      <c r="R78" s="96">
        <v>3039974.52</v>
      </c>
      <c r="T78" s="213" t="s">
        <v>18</v>
      </c>
      <c r="U78" s="213" t="s">
        <v>19</v>
      </c>
      <c r="AL78" s="212">
        <v>100883.08</v>
      </c>
    </row>
    <row r="79" spans="2:38" x14ac:dyDescent="0.25">
      <c r="B79" s="90" t="s">
        <v>72</v>
      </c>
      <c r="C79" s="90" t="s">
        <v>73</v>
      </c>
      <c r="D79" s="89">
        <v>2148540.77</v>
      </c>
      <c r="F79" s="180"/>
      <c r="G79" s="89">
        <v>1586855.4</v>
      </c>
      <c r="H79" s="89">
        <v>561685.37</v>
      </c>
      <c r="J79" s="90" t="s">
        <v>538</v>
      </c>
      <c r="K79" s="90" t="s">
        <v>539</v>
      </c>
      <c r="M79" s="96">
        <v>948.43</v>
      </c>
      <c r="P79" s="90" t="s">
        <v>238</v>
      </c>
      <c r="Q79" s="90" t="s">
        <v>239</v>
      </c>
      <c r="R79" s="96">
        <v>1260006.74</v>
      </c>
      <c r="T79" s="213" t="s">
        <v>10</v>
      </c>
      <c r="U79" s="213" t="s">
        <v>11</v>
      </c>
      <c r="AK79" s="212">
        <v>49606.85</v>
      </c>
      <c r="AL79" s="212">
        <v>43326.38</v>
      </c>
    </row>
    <row r="80" spans="2:38" x14ac:dyDescent="0.25">
      <c r="B80" s="90" t="s">
        <v>8</v>
      </c>
      <c r="C80" s="90" t="s">
        <v>9</v>
      </c>
      <c r="D80" s="89">
        <v>3528199.6400000006</v>
      </c>
      <c r="E80" s="174">
        <v>0</v>
      </c>
      <c r="G80" s="89">
        <v>2171327.41</v>
      </c>
      <c r="H80" s="89">
        <v>1356872.2300000002</v>
      </c>
      <c r="J80" s="90" t="s">
        <v>534</v>
      </c>
      <c r="K80" s="90" t="s">
        <v>535</v>
      </c>
      <c r="M80" s="96">
        <v>1746</v>
      </c>
      <c r="P80" s="90" t="s">
        <v>342</v>
      </c>
      <c r="Q80" s="90" t="s">
        <v>343</v>
      </c>
      <c r="R80" s="96">
        <v>509712.66999999993</v>
      </c>
      <c r="T80" s="213" t="s">
        <v>112</v>
      </c>
      <c r="U80" s="213" t="s">
        <v>113</v>
      </c>
      <c r="AL80" s="212">
        <v>30131.17</v>
      </c>
    </row>
    <row r="81" spans="2:38" x14ac:dyDescent="0.25">
      <c r="B81" s="90" t="s">
        <v>12</v>
      </c>
      <c r="C81" s="90" t="s">
        <v>13</v>
      </c>
      <c r="D81" s="89">
        <v>588150.49</v>
      </c>
      <c r="G81" s="89"/>
      <c r="H81">
        <v>588150.49</v>
      </c>
      <c r="J81" s="90" t="s">
        <v>460</v>
      </c>
      <c r="K81" s="90" t="s">
        <v>461</v>
      </c>
      <c r="L81" s="96"/>
      <c r="M81" s="96">
        <v>18080.509999999998</v>
      </c>
      <c r="P81" s="90" t="s">
        <v>414</v>
      </c>
      <c r="Q81" s="90" t="s">
        <v>415</v>
      </c>
      <c r="R81" s="96">
        <v>273537.25</v>
      </c>
      <c r="T81" s="213" t="s">
        <v>74</v>
      </c>
      <c r="U81" s="213" t="s">
        <v>75</v>
      </c>
      <c r="AL81" s="212">
        <v>6092.65</v>
      </c>
    </row>
    <row r="82" spans="2:38" x14ac:dyDescent="0.25">
      <c r="B82" s="90" t="s">
        <v>22</v>
      </c>
      <c r="C82" s="90" t="s">
        <v>23</v>
      </c>
      <c r="D82" s="89">
        <v>695394.1</v>
      </c>
      <c r="G82" s="89"/>
      <c r="H82" s="89">
        <v>695394.1</v>
      </c>
      <c r="J82" s="90" t="s">
        <v>546</v>
      </c>
      <c r="K82" s="90" t="s">
        <v>547</v>
      </c>
      <c r="M82" s="96">
        <v>12858.8</v>
      </c>
      <c r="P82" s="90" t="s">
        <v>260</v>
      </c>
      <c r="Q82" s="90" t="s">
        <v>261</v>
      </c>
      <c r="R82" s="96">
        <v>758484.66999999993</v>
      </c>
      <c r="T82" s="213" t="s">
        <v>248</v>
      </c>
      <c r="U82" s="213" t="s">
        <v>249</v>
      </c>
      <c r="AL82" s="212">
        <v>6477.88</v>
      </c>
    </row>
    <row r="83" spans="2:38" x14ac:dyDescent="0.25">
      <c r="B83" s="90" t="s">
        <v>118</v>
      </c>
      <c r="C83" s="90" t="s">
        <v>119</v>
      </c>
      <c r="D83" s="89">
        <v>418945.95999999996</v>
      </c>
      <c r="G83" s="89"/>
      <c r="H83" s="89">
        <v>418945.95999999996</v>
      </c>
      <c r="J83" s="90" t="s">
        <v>548</v>
      </c>
      <c r="K83" s="90" t="s">
        <v>549</v>
      </c>
      <c r="L83" s="96"/>
      <c r="M83" s="96">
        <v>8206.2800000000007</v>
      </c>
      <c r="P83" s="90" t="s">
        <v>256</v>
      </c>
      <c r="Q83" s="90" t="s">
        <v>257</v>
      </c>
      <c r="R83" s="96">
        <v>1095171.42</v>
      </c>
      <c r="T83" s="213" t="s">
        <v>56</v>
      </c>
      <c r="U83" s="213" t="s">
        <v>57</v>
      </c>
      <c r="AL83" s="212">
        <v>9577.9699999999993</v>
      </c>
    </row>
    <row r="84" spans="2:38" x14ac:dyDescent="0.25">
      <c r="B84" s="90" t="s">
        <v>144</v>
      </c>
      <c r="C84" s="90" t="s">
        <v>145</v>
      </c>
      <c r="D84" s="89">
        <v>451981.70000000007</v>
      </c>
      <c r="G84">
        <v>352345.5</v>
      </c>
      <c r="H84" s="89">
        <v>99636.2</v>
      </c>
      <c r="J84" s="90" t="s">
        <v>592</v>
      </c>
      <c r="K84" s="90" t="s">
        <v>593</v>
      </c>
      <c r="L84" s="96"/>
      <c r="M84" s="96">
        <v>1566.3</v>
      </c>
      <c r="P84" s="90" t="s">
        <v>490</v>
      </c>
      <c r="Q84" s="90" t="s">
        <v>491</v>
      </c>
      <c r="R84" s="96">
        <v>266652.40999999997</v>
      </c>
      <c r="T84" s="213" t="s">
        <v>76</v>
      </c>
      <c r="U84" s="213" t="s">
        <v>77</v>
      </c>
      <c r="Z84" s="212">
        <v>27486.32</v>
      </c>
    </row>
    <row r="85" spans="2:38" x14ac:dyDescent="0.25">
      <c r="B85" s="90" t="s">
        <v>104</v>
      </c>
      <c r="C85" s="90" t="s">
        <v>105</v>
      </c>
      <c r="D85" s="89">
        <v>874326.72000000009</v>
      </c>
      <c r="F85" s="174">
        <v>49325.279999999999</v>
      </c>
      <c r="G85" s="89"/>
      <c r="H85" s="89">
        <v>825001.44000000018</v>
      </c>
      <c r="J85" s="90" t="s">
        <v>274</v>
      </c>
      <c r="K85" s="90" t="s">
        <v>275</v>
      </c>
      <c r="L85" s="96">
        <v>2410.7199999999998</v>
      </c>
      <c r="M85">
        <v>20756.96</v>
      </c>
      <c r="P85" s="90" t="s">
        <v>494</v>
      </c>
      <c r="Q85" s="90" t="s">
        <v>495</v>
      </c>
      <c r="R85" s="96">
        <v>356285.85</v>
      </c>
      <c r="T85" s="213" t="s">
        <v>84</v>
      </c>
      <c r="U85" s="213" t="s">
        <v>85</v>
      </c>
      <c r="AL85" s="212">
        <v>86256.18</v>
      </c>
    </row>
    <row r="86" spans="2:38" x14ac:dyDescent="0.25">
      <c r="B86" s="90" t="s">
        <v>60</v>
      </c>
      <c r="C86" s="90" t="s">
        <v>61</v>
      </c>
      <c r="D86" s="89">
        <v>1624633.8900000004</v>
      </c>
      <c r="F86" s="174">
        <v>95652.33</v>
      </c>
      <c r="H86" s="89">
        <v>1528981.56</v>
      </c>
      <c r="J86" s="90" t="s">
        <v>322</v>
      </c>
      <c r="K86" s="90" t="s">
        <v>323</v>
      </c>
      <c r="L86" s="96">
        <v>2055.9499999999998</v>
      </c>
      <c r="M86" s="96">
        <v>24608.71</v>
      </c>
      <c r="P86" s="90" t="s">
        <v>502</v>
      </c>
      <c r="Q86" s="90" t="s">
        <v>503</v>
      </c>
      <c r="R86" s="96">
        <v>148017.59</v>
      </c>
      <c r="T86" s="213" t="s">
        <v>34</v>
      </c>
      <c r="U86" s="213" t="s">
        <v>35</v>
      </c>
      <c r="AK86" s="212">
        <v>29464.03</v>
      </c>
      <c r="AL86" s="212">
        <v>13186.05</v>
      </c>
    </row>
    <row r="87" spans="2:38" x14ac:dyDescent="0.25">
      <c r="B87" s="90" t="s">
        <v>68</v>
      </c>
      <c r="C87" s="90" t="s">
        <v>69</v>
      </c>
      <c r="D87" s="89">
        <v>2701145.67</v>
      </c>
      <c r="G87">
        <v>24999.97</v>
      </c>
      <c r="H87" s="89">
        <v>2676145.7000000002</v>
      </c>
      <c r="J87" s="90" t="s">
        <v>570</v>
      </c>
      <c r="K87" s="90" t="s">
        <v>571</v>
      </c>
      <c r="L87" s="96"/>
      <c r="M87" s="96">
        <v>6248.23</v>
      </c>
      <c r="P87" s="90" t="s">
        <v>552</v>
      </c>
      <c r="Q87" s="90" t="s">
        <v>553</v>
      </c>
      <c r="R87" s="96">
        <v>66364.989999999991</v>
      </c>
      <c r="T87" s="213" t="s">
        <v>222</v>
      </c>
      <c r="U87" s="213" t="s">
        <v>223</v>
      </c>
      <c r="AH87" s="212">
        <v>122753.27</v>
      </c>
    </row>
    <row r="88" spans="2:38" x14ac:dyDescent="0.25">
      <c r="B88" s="90" t="s">
        <v>516</v>
      </c>
      <c r="C88" s="90" t="s">
        <v>517</v>
      </c>
      <c r="D88" s="89">
        <v>48841.26</v>
      </c>
      <c r="F88" s="180"/>
      <c r="G88">
        <v>34430.82</v>
      </c>
      <c r="H88" s="89">
        <v>14410.44</v>
      </c>
      <c r="J88" s="90" t="s">
        <v>384</v>
      </c>
      <c r="K88" s="90" t="s">
        <v>385</v>
      </c>
      <c r="L88" s="96">
        <v>980</v>
      </c>
      <c r="M88" s="96">
        <v>11956</v>
      </c>
      <c r="P88" s="90" t="s">
        <v>496</v>
      </c>
      <c r="Q88" s="90" t="s">
        <v>497</v>
      </c>
      <c r="R88" s="96">
        <v>204100.08000000002</v>
      </c>
      <c r="T88" s="213" t="s">
        <v>152</v>
      </c>
      <c r="U88" s="213" t="s">
        <v>153</v>
      </c>
      <c r="AH88" s="212">
        <v>65236.76</v>
      </c>
      <c r="AJ88" s="212">
        <v>2750.98</v>
      </c>
    </row>
    <row r="89" spans="2:38" x14ac:dyDescent="0.25">
      <c r="B89" s="90" t="s">
        <v>166</v>
      </c>
      <c r="C89" s="90" t="s">
        <v>167</v>
      </c>
      <c r="D89" s="89">
        <v>337363.00999999995</v>
      </c>
      <c r="F89" s="180">
        <v>99803.86</v>
      </c>
      <c r="G89">
        <v>180053.78999999998</v>
      </c>
      <c r="H89" s="89">
        <v>57505.36</v>
      </c>
      <c r="J89" s="90" t="s">
        <v>420</v>
      </c>
      <c r="K89" s="90" t="s">
        <v>421</v>
      </c>
      <c r="L89" s="96"/>
      <c r="M89" s="96">
        <v>13215.46</v>
      </c>
      <c r="P89" s="90" t="s">
        <v>362</v>
      </c>
      <c r="Q89" s="90" t="s">
        <v>363</v>
      </c>
      <c r="R89" s="96">
        <v>668600.39000000013</v>
      </c>
      <c r="T89" s="213" t="s">
        <v>328</v>
      </c>
      <c r="U89" s="213" t="s">
        <v>329</v>
      </c>
      <c r="AL89" s="212">
        <v>5831.4</v>
      </c>
    </row>
    <row r="90" spans="2:38" x14ac:dyDescent="0.25">
      <c r="B90" s="90" t="s">
        <v>350</v>
      </c>
      <c r="C90" s="90" t="s">
        <v>351</v>
      </c>
      <c r="D90" s="89">
        <v>16340.19</v>
      </c>
      <c r="F90" s="180"/>
      <c r="H90" s="89">
        <v>16340.19</v>
      </c>
      <c r="J90" s="90" t="s">
        <v>354</v>
      </c>
      <c r="K90" s="90" t="s">
        <v>355</v>
      </c>
      <c r="L90" s="96">
        <v>3720.13</v>
      </c>
      <c r="M90" s="96">
        <v>18232.669999999998</v>
      </c>
      <c r="P90" s="90" t="s">
        <v>458</v>
      </c>
      <c r="Q90" s="90" t="s">
        <v>459</v>
      </c>
      <c r="R90" s="96">
        <v>388066.26</v>
      </c>
      <c r="T90" s="213" t="s">
        <v>450</v>
      </c>
      <c r="U90" s="213" t="s">
        <v>451</v>
      </c>
      <c r="AL90" s="212">
        <v>31874.14</v>
      </c>
    </row>
    <row r="91" spans="2:38" x14ac:dyDescent="0.25">
      <c r="B91" s="90" t="s">
        <v>460</v>
      </c>
      <c r="C91" s="90" t="s">
        <v>461</v>
      </c>
      <c r="D91" s="89">
        <v>1545.04</v>
      </c>
      <c r="H91" s="89">
        <v>1545.04</v>
      </c>
      <c r="J91" s="90" t="s">
        <v>340</v>
      </c>
      <c r="K91" s="90" t="s">
        <v>341</v>
      </c>
      <c r="L91" s="96"/>
      <c r="M91" s="96">
        <v>18084</v>
      </c>
      <c r="P91" s="90" t="s">
        <v>106</v>
      </c>
      <c r="Q91" s="90" t="s">
        <v>107</v>
      </c>
      <c r="R91" s="96">
        <v>4356454.3900000006</v>
      </c>
      <c r="T91" s="213" t="s">
        <v>380</v>
      </c>
      <c r="U91" s="213" t="s">
        <v>381</v>
      </c>
      <c r="AL91" s="212">
        <v>22782.92</v>
      </c>
    </row>
    <row r="92" spans="2:38" x14ac:dyDescent="0.25">
      <c r="B92" s="90" t="s">
        <v>548</v>
      </c>
      <c r="C92" s="90" t="s">
        <v>549</v>
      </c>
      <c r="D92" s="89">
        <v>28317.190000000002</v>
      </c>
      <c r="F92" s="180"/>
      <c r="G92" s="89"/>
      <c r="H92" s="89">
        <v>28317.190000000002</v>
      </c>
      <c r="J92" s="90" t="s">
        <v>330</v>
      </c>
      <c r="K92" s="90" t="s">
        <v>331</v>
      </c>
      <c r="L92" s="96">
        <v>80.52</v>
      </c>
      <c r="M92" s="96">
        <v>32208</v>
      </c>
      <c r="P92" s="90" t="s">
        <v>292</v>
      </c>
      <c r="Q92" s="90" t="s">
        <v>293</v>
      </c>
      <c r="R92" s="96">
        <v>893819.35</v>
      </c>
      <c r="T92" s="213" t="s">
        <v>154</v>
      </c>
      <c r="U92" s="213" t="s">
        <v>155</v>
      </c>
      <c r="AL92" s="212">
        <v>30995.08</v>
      </c>
    </row>
    <row r="93" spans="2:38" x14ac:dyDescent="0.25">
      <c r="B93" s="90" t="s">
        <v>274</v>
      </c>
      <c r="C93" s="90" t="s">
        <v>275</v>
      </c>
      <c r="D93" s="89">
        <v>212034.93000000002</v>
      </c>
      <c r="H93" s="89">
        <v>212034.93000000002</v>
      </c>
      <c r="J93" s="90" t="s">
        <v>178</v>
      </c>
      <c r="K93" s="90" t="s">
        <v>179</v>
      </c>
      <c r="L93" s="96">
        <v>12460.68</v>
      </c>
      <c r="M93" s="96">
        <v>57119.040000000001</v>
      </c>
      <c r="P93" s="90" t="s">
        <v>262</v>
      </c>
      <c r="Q93" s="90" t="s">
        <v>263</v>
      </c>
      <c r="R93" s="96">
        <v>629404.30000000005</v>
      </c>
      <c r="T93" s="213" t="s">
        <v>136</v>
      </c>
      <c r="U93" s="213" t="s">
        <v>137</v>
      </c>
      <c r="AC93" s="212">
        <v>18125.34</v>
      </c>
      <c r="AL93" s="212">
        <v>9838.91</v>
      </c>
    </row>
    <row r="94" spans="2:38" x14ac:dyDescent="0.25">
      <c r="B94" s="90" t="s">
        <v>384</v>
      </c>
      <c r="C94" s="90" t="s">
        <v>385</v>
      </c>
      <c r="D94" s="89">
        <v>264.41000000000003</v>
      </c>
      <c r="H94" s="89">
        <v>264.41000000000003</v>
      </c>
      <c r="J94" s="90" t="s">
        <v>400</v>
      </c>
      <c r="K94" s="90" t="s">
        <v>401</v>
      </c>
      <c r="L94" s="96"/>
      <c r="M94" s="96">
        <v>1162.27</v>
      </c>
      <c r="P94" s="90" t="s">
        <v>596</v>
      </c>
      <c r="Q94" s="90" t="s">
        <v>597</v>
      </c>
      <c r="R94" s="96">
        <v>116298.3</v>
      </c>
      <c r="T94" s="213" t="s">
        <v>190</v>
      </c>
      <c r="U94" s="213" t="s">
        <v>191</v>
      </c>
      <c r="AL94" s="212">
        <v>5417.15</v>
      </c>
    </row>
    <row r="95" spans="2:38" x14ac:dyDescent="0.25">
      <c r="B95" s="90" t="s">
        <v>420</v>
      </c>
      <c r="C95" s="90" t="s">
        <v>421</v>
      </c>
      <c r="D95" s="89">
        <v>103000.48</v>
      </c>
      <c r="G95">
        <v>103000.48</v>
      </c>
      <c r="H95" s="89"/>
      <c r="J95" s="90" t="s">
        <v>158</v>
      </c>
      <c r="K95" s="90" t="s">
        <v>159</v>
      </c>
      <c r="L95">
        <v>3575.93</v>
      </c>
      <c r="M95" s="96">
        <v>43380.28</v>
      </c>
      <c r="P95" s="90" t="s">
        <v>566</v>
      </c>
      <c r="Q95" s="90" t="s">
        <v>567</v>
      </c>
      <c r="R95" s="96">
        <v>147630.71000000002</v>
      </c>
      <c r="T95" s="213" t="s">
        <v>30</v>
      </c>
      <c r="U95" s="213" t="s">
        <v>31</v>
      </c>
      <c r="AL95" s="212">
        <v>50476.76</v>
      </c>
    </row>
    <row r="96" spans="2:38" x14ac:dyDescent="0.25">
      <c r="B96" s="90" t="s">
        <v>340</v>
      </c>
      <c r="C96" s="90" t="s">
        <v>341</v>
      </c>
      <c r="D96" s="89">
        <v>270815.53999999998</v>
      </c>
      <c r="G96">
        <v>270815.53999999998</v>
      </c>
      <c r="H96" s="89"/>
      <c r="J96" s="90" t="s">
        <v>130</v>
      </c>
      <c r="K96" s="90" t="s">
        <v>131</v>
      </c>
      <c r="L96">
        <v>2216.39</v>
      </c>
      <c r="M96" s="96">
        <v>71662.25</v>
      </c>
      <c r="P96" s="90" t="s">
        <v>366</v>
      </c>
      <c r="Q96" s="90" t="s">
        <v>367</v>
      </c>
      <c r="R96" s="96">
        <v>304443.66000000003</v>
      </c>
      <c r="T96" s="213" t="s">
        <v>78</v>
      </c>
      <c r="U96" s="213" t="s">
        <v>79</v>
      </c>
      <c r="Z96" s="212">
        <v>3642.97</v>
      </c>
      <c r="AJ96" s="212">
        <v>653.61</v>
      </c>
      <c r="AL96" s="212">
        <v>44455.39</v>
      </c>
    </row>
    <row r="97" spans="2:38" x14ac:dyDescent="0.25">
      <c r="B97" s="90" t="s">
        <v>526</v>
      </c>
      <c r="C97" s="90" t="s">
        <v>527</v>
      </c>
      <c r="D97" s="89">
        <v>49124.59</v>
      </c>
      <c r="G97">
        <v>49124.59</v>
      </c>
      <c r="H97" s="89"/>
      <c r="J97" s="90" t="s">
        <v>374</v>
      </c>
      <c r="K97" s="90" t="s">
        <v>375</v>
      </c>
      <c r="L97" s="96">
        <v>1238.58</v>
      </c>
      <c r="M97" s="96">
        <v>23257.24</v>
      </c>
      <c r="P97" s="90" t="s">
        <v>288</v>
      </c>
      <c r="Q97" s="90" t="s">
        <v>289</v>
      </c>
      <c r="R97" s="96">
        <v>661919.00999999989</v>
      </c>
      <c r="T97" s="213" t="s">
        <v>46</v>
      </c>
      <c r="U97" s="213" t="s">
        <v>47</v>
      </c>
      <c r="Z97" s="212">
        <v>20402.64</v>
      </c>
      <c r="AB97" s="212">
        <v>31442.43</v>
      </c>
      <c r="AL97" s="212">
        <v>246443.56</v>
      </c>
    </row>
    <row r="98" spans="2:38" x14ac:dyDescent="0.25">
      <c r="B98" s="90" t="s">
        <v>324</v>
      </c>
      <c r="C98" s="90" t="s">
        <v>325</v>
      </c>
      <c r="D98" s="89">
        <v>219176.88999999998</v>
      </c>
      <c r="G98" s="89">
        <v>219176.88999999998</v>
      </c>
      <c r="J98" s="90" t="s">
        <v>334</v>
      </c>
      <c r="K98" s="90" t="s">
        <v>335</v>
      </c>
      <c r="L98" s="96"/>
      <c r="M98" s="96">
        <v>16181.44</v>
      </c>
      <c r="P98" s="90" t="s">
        <v>278</v>
      </c>
      <c r="Q98" s="90" t="s">
        <v>279</v>
      </c>
      <c r="R98" s="96">
        <v>1096426.5</v>
      </c>
      <c r="T98" s="213" t="s">
        <v>24</v>
      </c>
      <c r="U98" s="213" t="s">
        <v>25</v>
      </c>
      <c r="AK98" s="212">
        <v>44041.53</v>
      </c>
      <c r="AL98" s="212">
        <v>83100.2</v>
      </c>
    </row>
    <row r="99" spans="2:38" x14ac:dyDescent="0.25">
      <c r="B99" s="90" t="s">
        <v>178</v>
      </c>
      <c r="C99" s="90" t="s">
        <v>179</v>
      </c>
      <c r="D99" s="89">
        <v>169128.22000000003</v>
      </c>
      <c r="G99" s="89"/>
      <c r="H99">
        <v>169128.22000000003</v>
      </c>
      <c r="J99" s="90" t="s">
        <v>214</v>
      </c>
      <c r="K99" s="90" t="s">
        <v>215</v>
      </c>
      <c r="L99">
        <v>485.16</v>
      </c>
      <c r="M99" s="96">
        <v>24224.639999999999</v>
      </c>
      <c r="P99" s="90" t="s">
        <v>4</v>
      </c>
      <c r="Q99" s="90" t="s">
        <v>5</v>
      </c>
      <c r="R99" s="96">
        <v>20515334.039999999</v>
      </c>
      <c r="T99" s="213" t="s">
        <v>114</v>
      </c>
      <c r="U99" s="213" t="s">
        <v>115</v>
      </c>
      <c r="AH99" s="212">
        <v>28914.22</v>
      </c>
      <c r="AL99" s="212">
        <v>8084.2</v>
      </c>
    </row>
    <row r="100" spans="2:38" x14ac:dyDescent="0.25">
      <c r="B100" s="90" t="s">
        <v>400</v>
      </c>
      <c r="C100" s="90" t="s">
        <v>401</v>
      </c>
      <c r="D100" s="89">
        <v>148286.23000000001</v>
      </c>
      <c r="G100" s="89">
        <v>148286.23000000001</v>
      </c>
      <c r="J100" s="90" t="s">
        <v>512</v>
      </c>
      <c r="K100" s="90" t="s">
        <v>513</v>
      </c>
      <c r="L100" s="96">
        <v>579.74</v>
      </c>
      <c r="M100" s="96">
        <v>5971.9</v>
      </c>
      <c r="P100" s="90" t="s">
        <v>20</v>
      </c>
      <c r="Q100" s="90" t="s">
        <v>21</v>
      </c>
      <c r="R100" s="96">
        <v>14860589.93</v>
      </c>
      <c r="T100" s="213" t="s">
        <v>62</v>
      </c>
      <c r="U100" s="213" t="s">
        <v>63</v>
      </c>
      <c r="AH100" s="212">
        <v>147690</v>
      </c>
      <c r="AL100" s="212">
        <v>34035</v>
      </c>
    </row>
    <row r="101" spans="2:38" x14ac:dyDescent="0.25">
      <c r="B101" s="90" t="s">
        <v>158</v>
      </c>
      <c r="C101" s="90" t="s">
        <v>159</v>
      </c>
      <c r="D101" s="89">
        <v>443956.01999999996</v>
      </c>
      <c r="G101" s="89"/>
      <c r="H101">
        <v>443956.01999999996</v>
      </c>
      <c r="J101" s="90" t="s">
        <v>284</v>
      </c>
      <c r="K101" s="90" t="s">
        <v>285</v>
      </c>
      <c r="L101" s="96">
        <v>670.98</v>
      </c>
      <c r="M101" s="96">
        <v>65634.320000000007</v>
      </c>
      <c r="P101" s="90" t="s">
        <v>142</v>
      </c>
      <c r="Q101" s="90" t="s">
        <v>143</v>
      </c>
      <c r="R101" s="96">
        <v>3142860.8099999996</v>
      </c>
      <c r="T101" s="213" t="s">
        <v>208</v>
      </c>
      <c r="U101" s="213" t="s">
        <v>209</v>
      </c>
      <c r="AL101" s="212">
        <v>6313.62</v>
      </c>
    </row>
    <row r="102" spans="2:38" x14ac:dyDescent="0.25">
      <c r="B102" s="90" t="s">
        <v>376</v>
      </c>
      <c r="C102" s="90" t="s">
        <v>377</v>
      </c>
      <c r="D102" s="89">
        <v>26257.78</v>
      </c>
      <c r="G102">
        <v>283.27999999999997</v>
      </c>
      <c r="H102" s="89">
        <v>25974.5</v>
      </c>
      <c r="J102" s="90" t="s">
        <v>296</v>
      </c>
      <c r="K102" s="90" t="s">
        <v>297</v>
      </c>
      <c r="L102" s="96">
        <v>380.38</v>
      </c>
      <c r="M102" s="96">
        <v>25348.09</v>
      </c>
      <c r="P102" s="90" t="s">
        <v>132</v>
      </c>
      <c r="Q102" s="90" t="s">
        <v>133</v>
      </c>
      <c r="R102" s="96">
        <v>2183504.84</v>
      </c>
      <c r="T102" s="213" t="s">
        <v>220</v>
      </c>
      <c r="U102" s="213" t="s">
        <v>221</v>
      </c>
      <c r="AL102" s="212">
        <v>26156.67</v>
      </c>
    </row>
    <row r="103" spans="2:38" x14ac:dyDescent="0.25">
      <c r="B103" s="90" t="s">
        <v>542</v>
      </c>
      <c r="C103" s="90" t="s">
        <v>543</v>
      </c>
      <c r="D103" s="89">
        <v>71985.929999999993</v>
      </c>
      <c r="G103" s="89"/>
      <c r="H103">
        <v>71985.929999999993</v>
      </c>
      <c r="J103" s="90" t="s">
        <v>428</v>
      </c>
      <c r="K103" s="90" t="s">
        <v>429</v>
      </c>
      <c r="L103" s="96">
        <v>520</v>
      </c>
      <c r="M103" s="96">
        <v>5300</v>
      </c>
      <c r="P103" s="90" t="s">
        <v>32</v>
      </c>
      <c r="Q103" s="90" t="s">
        <v>33</v>
      </c>
      <c r="R103" s="96">
        <v>10559579.640000002</v>
      </c>
      <c r="T103" s="213" t="s">
        <v>406</v>
      </c>
      <c r="U103" s="213" t="s">
        <v>407</v>
      </c>
      <c r="AH103" s="212">
        <v>19358.21</v>
      </c>
    </row>
    <row r="104" spans="2:38" x14ac:dyDescent="0.25">
      <c r="B104" s="90" t="s">
        <v>518</v>
      </c>
      <c r="C104" s="90" t="s">
        <v>519</v>
      </c>
      <c r="D104" s="89">
        <v>63022.22</v>
      </c>
      <c r="G104">
        <v>63022.22</v>
      </c>
      <c r="H104" s="89"/>
      <c r="J104" s="90" t="s">
        <v>360</v>
      </c>
      <c r="K104" s="90" t="s">
        <v>361</v>
      </c>
      <c r="L104" s="96">
        <v>2873.2</v>
      </c>
      <c r="M104" s="96">
        <v>53513.98</v>
      </c>
      <c r="P104" s="90" t="s">
        <v>242</v>
      </c>
      <c r="Q104" s="90" t="s">
        <v>243</v>
      </c>
      <c r="R104" s="96">
        <v>830461.75999999989</v>
      </c>
      <c r="T104" s="213" t="s">
        <v>6</v>
      </c>
      <c r="U104" s="213" t="s">
        <v>7</v>
      </c>
      <c r="V104" s="212">
        <v>146729.69</v>
      </c>
      <c r="Z104" s="212">
        <v>56155.72</v>
      </c>
      <c r="AB104" s="212">
        <v>11717.5</v>
      </c>
      <c r="AJ104" s="212">
        <v>225156.7</v>
      </c>
      <c r="AL104" s="212">
        <v>566256.93000000005</v>
      </c>
    </row>
    <row r="105" spans="2:38" x14ac:dyDescent="0.25">
      <c r="B105" s="90" t="s">
        <v>130</v>
      </c>
      <c r="C105" s="90" t="s">
        <v>131</v>
      </c>
      <c r="D105" s="89">
        <v>184903.72</v>
      </c>
      <c r="G105" s="89"/>
      <c r="H105" s="89">
        <v>184903.72</v>
      </c>
      <c r="J105" s="90" t="s">
        <v>282</v>
      </c>
      <c r="K105" s="90" t="s">
        <v>283</v>
      </c>
      <c r="L105" s="96">
        <v>377.52</v>
      </c>
      <c r="M105" s="96">
        <v>13979.56</v>
      </c>
      <c r="P105" s="90" t="s">
        <v>44</v>
      </c>
      <c r="Q105" s="90" t="s">
        <v>45</v>
      </c>
      <c r="R105" s="96">
        <v>8522785.4199999999</v>
      </c>
      <c r="T105" s="213" t="s">
        <v>258</v>
      </c>
      <c r="U105" s="213" t="s">
        <v>259</v>
      </c>
      <c r="AH105" s="212">
        <v>15785</v>
      </c>
    </row>
    <row r="106" spans="2:38" x14ac:dyDescent="0.25">
      <c r="B106" s="90" t="s">
        <v>334</v>
      </c>
      <c r="C106" s="90" t="s">
        <v>335</v>
      </c>
      <c r="D106" s="89">
        <v>40078.76</v>
      </c>
      <c r="H106" s="89">
        <v>40078.76</v>
      </c>
      <c r="J106" s="90" t="s">
        <v>290</v>
      </c>
      <c r="K106" s="90" t="s">
        <v>291</v>
      </c>
      <c r="L106" s="96">
        <v>1008.61</v>
      </c>
      <c r="M106" s="96">
        <v>29026.92</v>
      </c>
      <c r="P106" s="90" t="s">
        <v>568</v>
      </c>
      <c r="Q106" s="90" t="s">
        <v>569</v>
      </c>
      <c r="R106" s="96">
        <v>110099.71</v>
      </c>
      <c r="T106" s="213" t="s">
        <v>226</v>
      </c>
      <c r="U106" s="213" t="s">
        <v>227</v>
      </c>
      <c r="AL106" s="212">
        <v>15985.16</v>
      </c>
    </row>
    <row r="107" spans="2:38" x14ac:dyDescent="0.25">
      <c r="B107" s="90" t="s">
        <v>214</v>
      </c>
      <c r="C107" s="90" t="s">
        <v>215</v>
      </c>
      <c r="D107" s="89">
        <v>219.28</v>
      </c>
      <c r="G107" s="89"/>
      <c r="H107">
        <v>219.28</v>
      </c>
      <c r="J107" s="90" t="s">
        <v>358</v>
      </c>
      <c r="K107" s="90" t="s">
        <v>359</v>
      </c>
      <c r="L107" s="96"/>
      <c r="M107" s="96">
        <v>12607.9</v>
      </c>
      <c r="P107" s="90" t="s">
        <v>28</v>
      </c>
      <c r="Q107" s="90" t="s">
        <v>29</v>
      </c>
      <c r="R107" s="96">
        <v>8045546.1600000011</v>
      </c>
      <c r="T107" s="213" t="s">
        <v>70</v>
      </c>
      <c r="U107" s="213" t="s">
        <v>71</v>
      </c>
      <c r="AL107" s="212">
        <v>3916</v>
      </c>
    </row>
    <row r="108" spans="2:38" x14ac:dyDescent="0.25">
      <c r="B108" s="90" t="s">
        <v>120</v>
      </c>
      <c r="C108" s="90" t="s">
        <v>121</v>
      </c>
      <c r="D108" s="89">
        <v>591030.66999999993</v>
      </c>
      <c r="G108">
        <v>587616.37999999989</v>
      </c>
      <c r="H108" s="89">
        <v>3414.29</v>
      </c>
      <c r="J108" s="90" t="s">
        <v>394</v>
      </c>
      <c r="K108" s="90" t="s">
        <v>395</v>
      </c>
      <c r="L108" s="96"/>
      <c r="M108" s="96">
        <v>11429.08</v>
      </c>
      <c r="P108" s="90" t="s">
        <v>182</v>
      </c>
      <c r="Q108" s="90" t="s">
        <v>183</v>
      </c>
      <c r="R108" s="96">
        <v>1918901.49</v>
      </c>
      <c r="T108" s="213" t="s">
        <v>50</v>
      </c>
      <c r="U108" s="213" t="s">
        <v>51</v>
      </c>
      <c r="AL108" s="212">
        <v>7561.09</v>
      </c>
    </row>
    <row r="109" spans="2:38" x14ac:dyDescent="0.25">
      <c r="B109" s="90" t="s">
        <v>296</v>
      </c>
      <c r="C109" s="90" t="s">
        <v>297</v>
      </c>
      <c r="D109" s="89">
        <v>2500</v>
      </c>
      <c r="H109" s="89">
        <v>2500</v>
      </c>
      <c r="J109" s="90" t="s">
        <v>286</v>
      </c>
      <c r="K109" s="90" t="s">
        <v>287</v>
      </c>
      <c r="L109" s="96">
        <v>2203.9299999999998</v>
      </c>
      <c r="M109" s="96">
        <v>14239.55</v>
      </c>
      <c r="P109" s="90" t="s">
        <v>168</v>
      </c>
      <c r="Q109" s="90" t="s">
        <v>169</v>
      </c>
      <c r="R109" s="96">
        <v>1580828.9800000002</v>
      </c>
      <c r="T109" s="213" t="s">
        <v>126</v>
      </c>
      <c r="U109" s="213" t="s">
        <v>127</v>
      </c>
      <c r="Z109" s="212">
        <v>1985</v>
      </c>
      <c r="AH109" s="212">
        <v>531480.94999999995</v>
      </c>
      <c r="AL109" s="212">
        <v>279.95999999999998</v>
      </c>
    </row>
    <row r="110" spans="2:38" x14ac:dyDescent="0.25">
      <c r="B110" s="90" t="s">
        <v>360</v>
      </c>
      <c r="C110" s="90" t="s">
        <v>361</v>
      </c>
      <c r="D110" s="89">
        <v>12341.89</v>
      </c>
      <c r="G110" s="89">
        <v>6176.98</v>
      </c>
      <c r="H110">
        <v>6164.91</v>
      </c>
      <c r="J110" s="90" t="s">
        <v>170</v>
      </c>
      <c r="K110" s="90" t="s">
        <v>171</v>
      </c>
      <c r="L110" s="96">
        <v>36739.300000000003</v>
      </c>
      <c r="M110" s="96">
        <v>52262.86</v>
      </c>
      <c r="P110" s="90" t="s">
        <v>42</v>
      </c>
      <c r="Q110" s="90" t="s">
        <v>43</v>
      </c>
      <c r="R110" s="96">
        <v>13733750.170000002</v>
      </c>
      <c r="T110" s="213" t="s">
        <v>202</v>
      </c>
      <c r="U110" s="213" t="s">
        <v>203</v>
      </c>
      <c r="W110" s="212">
        <v>544856.31000000006</v>
      </c>
    </row>
    <row r="111" spans="2:38" x14ac:dyDescent="0.25">
      <c r="B111" s="90" t="s">
        <v>282</v>
      </c>
      <c r="C111" s="90" t="s">
        <v>283</v>
      </c>
      <c r="D111" s="89">
        <v>69561.299999999988</v>
      </c>
      <c r="H111" s="89">
        <v>69561.299999999988</v>
      </c>
      <c r="J111" s="90" t="s">
        <v>18</v>
      </c>
      <c r="K111" s="90" t="s">
        <v>19</v>
      </c>
      <c r="L111" s="96">
        <v>107951.62</v>
      </c>
      <c r="M111" s="96">
        <v>732529.63</v>
      </c>
      <c r="P111" s="90" t="s">
        <v>82</v>
      </c>
      <c r="Q111" s="90" t="s">
        <v>83</v>
      </c>
      <c r="R111" s="96">
        <v>2475835.3499999996</v>
      </c>
      <c r="T111" s="213" t="s">
        <v>250</v>
      </c>
      <c r="U111" s="213" t="s">
        <v>251</v>
      </c>
      <c r="AH111" s="212">
        <v>8498.02</v>
      </c>
      <c r="AL111" s="212">
        <v>32645.75</v>
      </c>
    </row>
    <row r="112" spans="2:38" x14ac:dyDescent="0.25">
      <c r="B112" s="90" t="s">
        <v>290</v>
      </c>
      <c r="C112" s="90" t="s">
        <v>291</v>
      </c>
      <c r="D112" s="89">
        <v>94447.44</v>
      </c>
      <c r="G112">
        <v>94447.44</v>
      </c>
      <c r="H112" s="89"/>
      <c r="J112" s="90" t="s">
        <v>10</v>
      </c>
      <c r="K112" s="90" t="s">
        <v>11</v>
      </c>
      <c r="L112" s="96">
        <v>1932840.14</v>
      </c>
      <c r="M112" s="96">
        <v>768495.01</v>
      </c>
      <c r="P112" s="90" t="s">
        <v>90</v>
      </c>
      <c r="Q112" s="90" t="s">
        <v>91</v>
      </c>
      <c r="R112" s="96">
        <v>2721254.9</v>
      </c>
      <c r="T112" s="213" t="s">
        <v>474</v>
      </c>
      <c r="U112" s="213" t="s">
        <v>475</v>
      </c>
      <c r="AL112" s="212">
        <v>7766.91</v>
      </c>
    </row>
    <row r="113" spans="2:38" x14ac:dyDescent="0.25">
      <c r="B113" s="90" t="s">
        <v>358</v>
      </c>
      <c r="C113" s="90" t="s">
        <v>359</v>
      </c>
      <c r="D113" s="89">
        <v>1867889.0499999996</v>
      </c>
      <c r="G113">
        <v>1788078.8099999996</v>
      </c>
      <c r="H113" s="89">
        <v>79810.240000000005</v>
      </c>
      <c r="J113" s="90" t="s">
        <v>112</v>
      </c>
      <c r="K113" s="90" t="s">
        <v>113</v>
      </c>
      <c r="L113">
        <v>20623.400000000001</v>
      </c>
      <c r="M113" s="96">
        <v>62956.6</v>
      </c>
      <c r="P113" s="90" t="s">
        <v>26</v>
      </c>
      <c r="Q113" s="90" t="s">
        <v>27</v>
      </c>
      <c r="R113" s="96">
        <v>7808614.669999999</v>
      </c>
      <c r="T113" s="213" t="s">
        <v>110</v>
      </c>
      <c r="U113" s="213" t="s">
        <v>111</v>
      </c>
      <c r="AL113" s="212">
        <v>17298.3</v>
      </c>
    </row>
    <row r="114" spans="2:38" x14ac:dyDescent="0.25">
      <c r="B114" s="90" t="s">
        <v>418</v>
      </c>
      <c r="C114" s="90" t="s">
        <v>419</v>
      </c>
      <c r="D114" s="89">
        <v>255.94</v>
      </c>
      <c r="G114">
        <v>255.94</v>
      </c>
      <c r="H114" s="89"/>
      <c r="J114" s="90" t="s">
        <v>74</v>
      </c>
      <c r="K114" s="90" t="s">
        <v>75</v>
      </c>
      <c r="L114">
        <v>46671.32</v>
      </c>
      <c r="M114" s="96">
        <v>250735.27</v>
      </c>
      <c r="P114" s="90" t="s">
        <v>72</v>
      </c>
      <c r="Q114" s="90" t="s">
        <v>73</v>
      </c>
      <c r="R114" s="96">
        <v>4168702.8099999996</v>
      </c>
      <c r="T114" s="213" t="s">
        <v>66</v>
      </c>
      <c r="U114" s="213" t="s">
        <v>67</v>
      </c>
      <c r="Y114" s="212">
        <v>21464</v>
      </c>
      <c r="AL114" s="212">
        <v>28672.47</v>
      </c>
    </row>
    <row r="115" spans="2:38" x14ac:dyDescent="0.25">
      <c r="B115" s="90" t="s">
        <v>440</v>
      </c>
      <c r="C115" s="90" t="s">
        <v>441</v>
      </c>
      <c r="D115" s="89">
        <v>2920.3799999999997</v>
      </c>
      <c r="G115" s="89"/>
      <c r="H115" s="89">
        <v>2920.3799999999997</v>
      </c>
      <c r="J115" s="90" t="s">
        <v>248</v>
      </c>
      <c r="K115" s="90" t="s">
        <v>249</v>
      </c>
      <c r="L115" s="96">
        <v>130.6</v>
      </c>
      <c r="M115" s="96">
        <v>11489</v>
      </c>
      <c r="P115" s="90" t="s">
        <v>8</v>
      </c>
      <c r="Q115" s="90" t="s">
        <v>9</v>
      </c>
      <c r="R115" s="96">
        <v>9786055.3600000013</v>
      </c>
      <c r="T115" s="213" t="s">
        <v>318</v>
      </c>
      <c r="U115" s="213" t="s">
        <v>319</v>
      </c>
      <c r="AD115" s="212">
        <v>10611.09</v>
      </c>
    </row>
    <row r="116" spans="2:38" x14ac:dyDescent="0.25">
      <c r="B116" s="90" t="s">
        <v>18</v>
      </c>
      <c r="C116" s="90" t="s">
        <v>19</v>
      </c>
      <c r="D116" s="89">
        <v>1112370.2299999997</v>
      </c>
      <c r="G116" s="89"/>
      <c r="H116" s="89">
        <v>1112370.2299999997</v>
      </c>
      <c r="J116" s="90" t="s">
        <v>56</v>
      </c>
      <c r="K116" s="90" t="s">
        <v>57</v>
      </c>
      <c r="L116" s="96">
        <v>77884.759999999995</v>
      </c>
      <c r="M116" s="96">
        <v>603266.21</v>
      </c>
      <c r="P116" s="90" t="s">
        <v>12</v>
      </c>
      <c r="Q116" s="90" t="s">
        <v>13</v>
      </c>
      <c r="R116" s="96">
        <v>15143272.919999998</v>
      </c>
      <c r="T116" s="213" t="s">
        <v>108</v>
      </c>
      <c r="U116" s="213" t="s">
        <v>109</v>
      </c>
      <c r="AL116" s="212">
        <v>14238.68</v>
      </c>
    </row>
    <row r="117" spans="2:38" x14ac:dyDescent="0.25">
      <c r="B117" s="90" t="s">
        <v>10</v>
      </c>
      <c r="C117" s="90" t="s">
        <v>11</v>
      </c>
      <c r="D117" s="89">
        <v>4370030.4399999995</v>
      </c>
      <c r="G117">
        <v>3051466.5399999996</v>
      </c>
      <c r="H117" s="89">
        <v>1318563.9000000001</v>
      </c>
      <c r="J117" s="90" t="s">
        <v>84</v>
      </c>
      <c r="K117" s="90" t="s">
        <v>85</v>
      </c>
      <c r="L117" s="96">
        <v>53924.65</v>
      </c>
      <c r="M117" s="96"/>
      <c r="P117" s="90" t="s">
        <v>22</v>
      </c>
      <c r="Q117" s="90" t="s">
        <v>23</v>
      </c>
      <c r="R117" s="96">
        <v>9946603.3000000007</v>
      </c>
      <c r="T117" s="213" t="s">
        <v>332</v>
      </c>
      <c r="U117" s="213" t="s">
        <v>333</v>
      </c>
      <c r="AL117" s="212">
        <v>16838.740000000002</v>
      </c>
    </row>
    <row r="118" spans="2:38" x14ac:dyDescent="0.25">
      <c r="B118" s="90" t="s">
        <v>484</v>
      </c>
      <c r="C118" s="90" t="s">
        <v>485</v>
      </c>
      <c r="D118" s="89">
        <v>2997.88</v>
      </c>
      <c r="H118" s="89">
        <v>2997.88</v>
      </c>
      <c r="J118" s="90" t="s">
        <v>34</v>
      </c>
      <c r="K118" s="90" t="s">
        <v>35</v>
      </c>
      <c r="L118" s="96">
        <v>54943.519999999997</v>
      </c>
      <c r="M118" s="96">
        <v>803667.17</v>
      </c>
      <c r="P118" s="90" t="s">
        <v>480</v>
      </c>
      <c r="Q118" s="90" t="s">
        <v>481</v>
      </c>
      <c r="R118" s="96">
        <v>42692.789999999994</v>
      </c>
      <c r="T118" s="213" t="s">
        <v>58</v>
      </c>
      <c r="U118" s="213" t="s">
        <v>59</v>
      </c>
      <c r="AH118" s="212">
        <v>135348.44</v>
      </c>
      <c r="AL118" s="212">
        <v>1902.66</v>
      </c>
    </row>
    <row r="119" spans="2:38" x14ac:dyDescent="0.25">
      <c r="B119" s="90" t="s">
        <v>112</v>
      </c>
      <c r="C119" s="90" t="s">
        <v>113</v>
      </c>
      <c r="D119" s="89">
        <v>630891.83999999985</v>
      </c>
      <c r="F119" s="174">
        <v>27034.010000000002</v>
      </c>
      <c r="H119" s="89">
        <v>603857.82999999996</v>
      </c>
      <c r="J119" s="90" t="s">
        <v>222</v>
      </c>
      <c r="K119" s="90" t="s">
        <v>223</v>
      </c>
      <c r="L119" s="96">
        <v>4530.7299999999996</v>
      </c>
      <c r="M119" s="96">
        <v>33522.269999999997</v>
      </c>
      <c r="P119" s="90" t="s">
        <v>392</v>
      </c>
      <c r="Q119" s="90" t="s">
        <v>393</v>
      </c>
      <c r="R119" s="96">
        <v>99921.59</v>
      </c>
      <c r="T119" s="213" t="s">
        <v>124</v>
      </c>
      <c r="U119" s="213" t="s">
        <v>125</v>
      </c>
      <c r="AL119" s="212">
        <v>4308.84</v>
      </c>
    </row>
    <row r="120" spans="2:38" x14ac:dyDescent="0.25">
      <c r="B120" s="90" t="s">
        <v>74</v>
      </c>
      <c r="C120" s="90" t="s">
        <v>75</v>
      </c>
      <c r="D120" s="89">
        <v>2609949.5599999996</v>
      </c>
      <c r="G120" s="89">
        <v>1840622.01</v>
      </c>
      <c r="H120" s="89">
        <v>769327.54999999993</v>
      </c>
      <c r="J120" s="90" t="s">
        <v>156</v>
      </c>
      <c r="K120" s="90" t="s">
        <v>157</v>
      </c>
      <c r="L120" s="96">
        <v>4159.74</v>
      </c>
      <c r="M120" s="96">
        <v>41712.660000000003</v>
      </c>
      <c r="P120" s="90" t="s">
        <v>998</v>
      </c>
      <c r="Q120" s="90" t="s">
        <v>1001</v>
      </c>
      <c r="R120" s="96">
        <v>163237.35</v>
      </c>
      <c r="T120" s="213" t="s">
        <v>212</v>
      </c>
      <c r="U120" s="213" t="s">
        <v>213</v>
      </c>
      <c r="AH120" s="212">
        <v>30760.48</v>
      </c>
    </row>
    <row r="121" spans="2:38" x14ac:dyDescent="0.25">
      <c r="B121" s="90" t="s">
        <v>248</v>
      </c>
      <c r="C121" s="90" t="s">
        <v>249</v>
      </c>
      <c r="D121" s="89">
        <v>252433.90999999997</v>
      </c>
      <c r="G121">
        <v>220935.65999999997</v>
      </c>
      <c r="H121" s="89">
        <v>31498.25</v>
      </c>
      <c r="J121" s="90" t="s">
        <v>152</v>
      </c>
      <c r="K121" s="90" t="s">
        <v>153</v>
      </c>
      <c r="L121" s="96">
        <v>754.3</v>
      </c>
      <c r="M121" s="96">
        <v>13377.18</v>
      </c>
      <c r="P121" s="90" t="s">
        <v>444</v>
      </c>
      <c r="Q121" s="90" t="s">
        <v>445</v>
      </c>
      <c r="R121" s="96">
        <v>324553</v>
      </c>
      <c r="T121" s="213" t="s">
        <v>172</v>
      </c>
      <c r="U121" s="213" t="s">
        <v>173</v>
      </c>
      <c r="AL121" s="212">
        <v>7602.75</v>
      </c>
    </row>
    <row r="122" spans="2:38" x14ac:dyDescent="0.25">
      <c r="B122" s="90" t="s">
        <v>198</v>
      </c>
      <c r="C122" s="90" t="s">
        <v>199</v>
      </c>
      <c r="D122" s="89">
        <v>44452.310000000005</v>
      </c>
      <c r="F122" s="180"/>
      <c r="H122" s="89">
        <v>44452.310000000005</v>
      </c>
      <c r="J122" s="90" t="s">
        <v>608</v>
      </c>
      <c r="K122" s="90" t="s">
        <v>609</v>
      </c>
      <c r="L122" s="96">
        <v>0.12</v>
      </c>
      <c r="M122">
        <v>1237.68</v>
      </c>
      <c r="P122" s="90" t="s">
        <v>999</v>
      </c>
      <c r="Q122" s="90" t="s">
        <v>1198</v>
      </c>
      <c r="R122" s="96">
        <v>127561.36999999998</v>
      </c>
      <c r="T122" s="213" t="s">
        <v>224</v>
      </c>
      <c r="U122" s="213" t="s">
        <v>225</v>
      </c>
      <c r="AL122" s="212">
        <v>4074.68</v>
      </c>
    </row>
    <row r="123" spans="2:38" x14ac:dyDescent="0.25">
      <c r="B123" s="90" t="s">
        <v>56</v>
      </c>
      <c r="C123" s="90" t="s">
        <v>57</v>
      </c>
      <c r="D123" s="89">
        <v>4172102.120000001</v>
      </c>
      <c r="G123" s="89">
        <v>3975647.8300000005</v>
      </c>
      <c r="H123" s="89">
        <v>196454.29</v>
      </c>
      <c r="J123" s="90" t="s">
        <v>328</v>
      </c>
      <c r="K123" s="90" t="s">
        <v>329</v>
      </c>
      <c r="L123" s="96">
        <v>257.67</v>
      </c>
      <c r="M123" s="96">
        <v>20018.560000000001</v>
      </c>
      <c r="P123" s="90" t="s">
        <v>1156</v>
      </c>
      <c r="Q123" s="90" t="s">
        <v>1197</v>
      </c>
      <c r="R123" s="96">
        <v>356612.59</v>
      </c>
      <c r="T123" s="213" t="s">
        <v>586</v>
      </c>
      <c r="U123" s="213" t="s">
        <v>587</v>
      </c>
      <c r="AL123" s="212">
        <v>8119.48</v>
      </c>
    </row>
    <row r="124" spans="2:38" x14ac:dyDescent="0.25">
      <c r="B124" s="90" t="s">
        <v>76</v>
      </c>
      <c r="C124" s="90" t="s">
        <v>77</v>
      </c>
      <c r="D124" s="89">
        <v>373293.81</v>
      </c>
      <c r="E124" s="174">
        <v>2202.87</v>
      </c>
      <c r="G124" s="89">
        <v>2461.42</v>
      </c>
      <c r="H124">
        <v>368629.52</v>
      </c>
      <c r="J124" s="90" t="s">
        <v>450</v>
      </c>
      <c r="K124" s="90" t="s">
        <v>451</v>
      </c>
      <c r="L124" s="96">
        <v>1690.37</v>
      </c>
      <c r="M124" s="96"/>
      <c r="P124" s="90" t="s">
        <v>1158</v>
      </c>
      <c r="Q124" s="90" t="s">
        <v>1177</v>
      </c>
      <c r="R124" s="96">
        <v>261578.1</v>
      </c>
      <c r="T124" s="213" t="s">
        <v>504</v>
      </c>
      <c r="U124" s="213" t="s">
        <v>505</v>
      </c>
      <c r="AL124" s="212">
        <v>4045.17</v>
      </c>
    </row>
    <row r="125" spans="2:38" x14ac:dyDescent="0.25">
      <c r="B125" s="90" t="s">
        <v>84</v>
      </c>
      <c r="C125" s="90" t="s">
        <v>85</v>
      </c>
      <c r="D125" s="89">
        <v>820685.06999999983</v>
      </c>
      <c r="G125">
        <v>780051.34</v>
      </c>
      <c r="H125" s="89">
        <v>40633.729999999996</v>
      </c>
      <c r="J125" s="90" t="s">
        <v>154</v>
      </c>
      <c r="K125" s="90" t="s">
        <v>155</v>
      </c>
      <c r="L125" s="96">
        <v>10738.37</v>
      </c>
      <c r="M125" s="96">
        <v>48766.92</v>
      </c>
      <c r="P125" s="90" t="s">
        <v>1196</v>
      </c>
      <c r="Q125" s="90" t="s">
        <v>1195</v>
      </c>
      <c r="R125" s="96">
        <v>110485.19</v>
      </c>
      <c r="T125" s="213" t="s">
        <v>492</v>
      </c>
      <c r="U125" s="213" t="s">
        <v>493</v>
      </c>
      <c r="AL125" s="212">
        <v>9058.1200000000008</v>
      </c>
    </row>
    <row r="126" spans="2:38" x14ac:dyDescent="0.25">
      <c r="B126" s="90" t="s">
        <v>34</v>
      </c>
      <c r="C126" s="90" t="s">
        <v>35</v>
      </c>
      <c r="D126" s="89">
        <v>2582880.9900000002</v>
      </c>
      <c r="G126" s="89">
        <v>1424892.79</v>
      </c>
      <c r="H126" s="89">
        <v>1157988.2</v>
      </c>
      <c r="J126" s="90" t="s">
        <v>136</v>
      </c>
      <c r="K126" s="90" t="s">
        <v>137</v>
      </c>
      <c r="L126" s="96">
        <v>6797.59</v>
      </c>
      <c r="M126" s="96">
        <v>30171.96</v>
      </c>
      <c r="P126" s="90" t="s">
        <v>1255</v>
      </c>
      <c r="Q126" s="90" t="s">
        <v>1256</v>
      </c>
      <c r="R126" s="96">
        <v>185684.74000000002</v>
      </c>
      <c r="T126" s="213" t="s">
        <v>356</v>
      </c>
      <c r="U126" s="213" t="s">
        <v>357</v>
      </c>
      <c r="W126" s="212">
        <v>151177.57999999999</v>
      </c>
      <c r="X126" s="212">
        <v>12322.14</v>
      </c>
    </row>
    <row r="127" spans="2:38" x14ac:dyDescent="0.25">
      <c r="B127" s="90" t="s">
        <v>222</v>
      </c>
      <c r="C127" s="90" t="s">
        <v>223</v>
      </c>
      <c r="D127" s="89">
        <v>458770.79</v>
      </c>
      <c r="E127" s="180"/>
      <c r="G127">
        <v>306284.37</v>
      </c>
      <c r="H127" s="89">
        <v>152486.41999999998</v>
      </c>
      <c r="J127" s="90" t="s">
        <v>190</v>
      </c>
      <c r="K127" s="90" t="s">
        <v>191</v>
      </c>
      <c r="L127" s="96">
        <v>2323.6</v>
      </c>
      <c r="M127" s="96">
        <v>65182.11</v>
      </c>
      <c r="N127">
        <v>700</v>
      </c>
      <c r="P127" s="90" t="s">
        <v>118</v>
      </c>
      <c r="Q127" s="90" t="s">
        <v>119</v>
      </c>
      <c r="R127" s="96">
        <v>3389937.14</v>
      </c>
      <c r="T127" s="213" t="s">
        <v>40</v>
      </c>
      <c r="U127" s="213" t="s">
        <v>41</v>
      </c>
      <c r="Z127" s="212">
        <v>12746.92</v>
      </c>
      <c r="AL127" s="212">
        <v>59391.45</v>
      </c>
    </row>
    <row r="128" spans="2:38" x14ac:dyDescent="0.25">
      <c r="B128" s="90" t="s">
        <v>156</v>
      </c>
      <c r="C128" s="90" t="s">
        <v>157</v>
      </c>
      <c r="D128" s="89">
        <v>1202554.3099999998</v>
      </c>
      <c r="G128" s="89">
        <v>270075.05</v>
      </c>
      <c r="H128" s="89">
        <v>932479.26</v>
      </c>
      <c r="J128" s="90" t="s">
        <v>396</v>
      </c>
      <c r="K128" s="90" t="s">
        <v>397</v>
      </c>
      <c r="L128" s="96">
        <v>584</v>
      </c>
      <c r="M128">
        <v>13906.96</v>
      </c>
      <c r="P128" s="90" t="s">
        <v>144</v>
      </c>
      <c r="Q128" s="90" t="s">
        <v>145</v>
      </c>
      <c r="R128" s="96">
        <v>2174877.12</v>
      </c>
      <c r="T128" s="213" t="s">
        <v>176</v>
      </c>
      <c r="U128" s="213" t="s">
        <v>1184</v>
      </c>
      <c r="AH128" s="212">
        <v>304746.43</v>
      </c>
      <c r="AL128" s="212">
        <v>73844.2</v>
      </c>
    </row>
    <row r="129" spans="2:38" x14ac:dyDescent="0.25">
      <c r="B129" s="90" t="s">
        <v>152</v>
      </c>
      <c r="C129" s="90" t="s">
        <v>153</v>
      </c>
      <c r="D129" s="89">
        <v>489976.14999999991</v>
      </c>
      <c r="F129" s="180"/>
      <c r="G129" s="89">
        <v>451812.85</v>
      </c>
      <c r="H129" s="89">
        <v>38163.300000000003</v>
      </c>
      <c r="J129" s="90" t="s">
        <v>94</v>
      </c>
      <c r="K129" s="90" t="s">
        <v>95</v>
      </c>
      <c r="L129" s="96">
        <v>9523.8799999999992</v>
      </c>
      <c r="M129" s="96">
        <v>145836.20000000001</v>
      </c>
      <c r="P129" s="90" t="s">
        <v>104</v>
      </c>
      <c r="Q129" s="90" t="s">
        <v>105</v>
      </c>
      <c r="R129" s="96">
        <v>2898977.1699999995</v>
      </c>
      <c r="T129" s="213" t="s">
        <v>160</v>
      </c>
      <c r="U129" s="213" t="s">
        <v>161</v>
      </c>
      <c r="AL129" s="212">
        <v>385033.57</v>
      </c>
    </row>
    <row r="130" spans="2:38" x14ac:dyDescent="0.25">
      <c r="B130" s="90" t="s">
        <v>1154</v>
      </c>
      <c r="C130" s="90" t="s">
        <v>1155</v>
      </c>
      <c r="D130" s="89">
        <v>1780221.4499999997</v>
      </c>
      <c r="G130" s="89">
        <v>1780221.4499999997</v>
      </c>
      <c r="H130" s="89"/>
      <c r="J130" s="90" t="s">
        <v>560</v>
      </c>
      <c r="K130" s="90" t="s">
        <v>561</v>
      </c>
      <c r="L130" s="96"/>
      <c r="M130" s="96">
        <v>4388.8999999999996</v>
      </c>
      <c r="P130" s="90" t="s">
        <v>60</v>
      </c>
      <c r="Q130" s="90" t="s">
        <v>61</v>
      </c>
      <c r="R130" s="96">
        <v>4851161.29</v>
      </c>
      <c r="T130" s="213" t="s">
        <v>310</v>
      </c>
      <c r="U130" s="213" t="s">
        <v>311</v>
      </c>
      <c r="AK130" s="212">
        <v>29547.15</v>
      </c>
    </row>
    <row r="131" spans="2:38" x14ac:dyDescent="0.25">
      <c r="B131" s="90" t="s">
        <v>328</v>
      </c>
      <c r="C131" s="90" t="s">
        <v>329</v>
      </c>
      <c r="D131" s="89">
        <v>3000</v>
      </c>
      <c r="G131" s="89"/>
      <c r="H131" s="89">
        <v>3000</v>
      </c>
      <c r="J131" s="90" t="s">
        <v>600</v>
      </c>
      <c r="K131" s="90" t="s">
        <v>601</v>
      </c>
      <c r="L131" s="96"/>
      <c r="M131">
        <v>5574.51</v>
      </c>
      <c r="P131" s="90" t="s">
        <v>68</v>
      </c>
      <c r="Q131" s="90" t="s">
        <v>69</v>
      </c>
      <c r="R131" s="96">
        <v>5100087.7700000005</v>
      </c>
      <c r="T131" s="213" t="s">
        <v>148</v>
      </c>
      <c r="U131" s="213" t="s">
        <v>149</v>
      </c>
      <c r="Z131" s="212">
        <v>14112.7</v>
      </c>
      <c r="AG131" s="212">
        <v>12283.24</v>
      </c>
    </row>
    <row r="132" spans="2:38" x14ac:dyDescent="0.25">
      <c r="B132" s="90" t="s">
        <v>320</v>
      </c>
      <c r="C132" s="90" t="s">
        <v>321</v>
      </c>
      <c r="D132" s="89">
        <v>196419.38999999998</v>
      </c>
      <c r="G132">
        <v>192571.33</v>
      </c>
      <c r="H132" s="89">
        <v>3848.06</v>
      </c>
      <c r="J132" s="90" t="s">
        <v>306</v>
      </c>
      <c r="K132" s="90" t="s">
        <v>307</v>
      </c>
      <c r="L132" s="96">
        <v>2351.3000000000002</v>
      </c>
      <c r="M132" s="96">
        <v>74938.559999999998</v>
      </c>
      <c r="P132" s="90" t="s">
        <v>1159</v>
      </c>
      <c r="Q132" s="90" t="s">
        <v>1176</v>
      </c>
      <c r="R132" s="96">
        <v>498968.85999999993</v>
      </c>
      <c r="T132" s="213" t="s">
        <v>98</v>
      </c>
      <c r="U132" s="213" t="s">
        <v>99</v>
      </c>
      <c r="W132" s="212">
        <v>291894.74</v>
      </c>
      <c r="Z132" s="212">
        <v>5576.29</v>
      </c>
      <c r="AL132" s="212">
        <v>47360.43</v>
      </c>
    </row>
    <row r="133" spans="2:38" x14ac:dyDescent="0.25">
      <c r="B133" s="90" t="s">
        <v>380</v>
      </c>
      <c r="C133" s="90" t="s">
        <v>381</v>
      </c>
      <c r="D133" s="89">
        <v>24993.13</v>
      </c>
      <c r="F133" s="174">
        <v>4776.1400000000003</v>
      </c>
      <c r="G133" s="89"/>
      <c r="H133">
        <v>20216.990000000002</v>
      </c>
      <c r="J133" s="90" t="s">
        <v>30</v>
      </c>
      <c r="K133" s="90" t="s">
        <v>31</v>
      </c>
      <c r="L133" s="96">
        <v>62722.18</v>
      </c>
      <c r="M133" s="96">
        <v>659507.56000000006</v>
      </c>
      <c r="P133" s="90" t="s">
        <v>516</v>
      </c>
      <c r="Q133" s="90" t="s">
        <v>517</v>
      </c>
      <c r="R133" s="96">
        <v>137541.39000000001</v>
      </c>
      <c r="T133" s="213" t="s">
        <v>138</v>
      </c>
      <c r="U133" s="213" t="s">
        <v>139</v>
      </c>
      <c r="AJ133" s="212">
        <v>37988.559999999998</v>
      </c>
    </row>
    <row r="134" spans="2:38" x14ac:dyDescent="0.25">
      <c r="B134" s="90" t="s">
        <v>154</v>
      </c>
      <c r="C134" s="90" t="s">
        <v>155</v>
      </c>
      <c r="D134" s="89">
        <v>56643.090000000004</v>
      </c>
      <c r="H134" s="89">
        <v>56643.090000000004</v>
      </c>
      <c r="J134" s="90" t="s">
        <v>78</v>
      </c>
      <c r="K134" s="90" t="s">
        <v>79</v>
      </c>
      <c r="L134">
        <v>44566.75</v>
      </c>
      <c r="M134">
        <v>345125.15</v>
      </c>
      <c r="N134" s="96"/>
      <c r="P134" s="90" t="s">
        <v>508</v>
      </c>
      <c r="Q134" s="90" t="s">
        <v>509</v>
      </c>
      <c r="R134" s="96">
        <v>312648.24</v>
      </c>
      <c r="T134" s="213" t="s">
        <v>164</v>
      </c>
      <c r="U134" s="213" t="s">
        <v>165</v>
      </c>
      <c r="AL134" s="212">
        <v>76786.98</v>
      </c>
    </row>
    <row r="135" spans="2:38" x14ac:dyDescent="0.25">
      <c r="B135" s="90" t="s">
        <v>136</v>
      </c>
      <c r="C135" s="90" t="s">
        <v>137</v>
      </c>
      <c r="D135" s="89">
        <v>708769.6</v>
      </c>
      <c r="G135" s="89"/>
      <c r="H135" s="89">
        <v>708769.6</v>
      </c>
      <c r="J135" s="90" t="s">
        <v>46</v>
      </c>
      <c r="K135" s="90" t="s">
        <v>47</v>
      </c>
      <c r="L135" s="96">
        <v>17009.37</v>
      </c>
      <c r="M135" s="96">
        <v>133011.63</v>
      </c>
      <c r="P135" s="90" t="s">
        <v>166</v>
      </c>
      <c r="Q135" s="90" t="s">
        <v>167</v>
      </c>
      <c r="R135" s="96">
        <v>1843979.5199999996</v>
      </c>
      <c r="T135" s="213" t="s">
        <v>116</v>
      </c>
      <c r="U135" s="213" t="s">
        <v>1183</v>
      </c>
      <c r="AH135" s="212">
        <v>501644.01999999996</v>
      </c>
      <c r="AL135" s="212">
        <v>114055.7</v>
      </c>
    </row>
    <row r="136" spans="2:38" x14ac:dyDescent="0.25">
      <c r="B136" s="90" t="s">
        <v>190</v>
      </c>
      <c r="C136" s="90" t="s">
        <v>191</v>
      </c>
      <c r="D136" s="89">
        <v>75100.34</v>
      </c>
      <c r="H136" s="89">
        <v>75100.34</v>
      </c>
      <c r="J136" s="90" t="s">
        <v>24</v>
      </c>
      <c r="K136" s="90" t="s">
        <v>25</v>
      </c>
      <c r="L136" s="96">
        <v>41020.36</v>
      </c>
      <c r="M136" s="96">
        <v>307239.64</v>
      </c>
      <c r="P136" s="90" t="s">
        <v>350</v>
      </c>
      <c r="Q136" s="90" t="s">
        <v>351</v>
      </c>
      <c r="R136" s="96">
        <v>404317.18999999994</v>
      </c>
      <c r="T136" s="90"/>
      <c r="U136" s="90"/>
      <c r="V136" s="96"/>
      <c r="Z136" s="96"/>
      <c r="AA136" s="96"/>
      <c r="AC136" s="96"/>
      <c r="AF136" s="96"/>
      <c r="AH136" s="96"/>
    </row>
    <row r="137" spans="2:38" x14ac:dyDescent="0.25">
      <c r="B137" s="90" t="s">
        <v>94</v>
      </c>
      <c r="C137" s="90" t="s">
        <v>95</v>
      </c>
      <c r="D137" s="89">
        <v>111663.99999999999</v>
      </c>
      <c r="G137" s="89"/>
      <c r="H137" s="89">
        <v>111663.99999999999</v>
      </c>
      <c r="J137" s="90" t="s">
        <v>114</v>
      </c>
      <c r="K137" s="90" t="s">
        <v>115</v>
      </c>
      <c r="L137" s="96">
        <v>44430.32</v>
      </c>
      <c r="M137" s="96">
        <v>518836.53</v>
      </c>
      <c r="P137" s="90" t="s">
        <v>314</v>
      </c>
      <c r="Q137" s="90" t="s">
        <v>315</v>
      </c>
      <c r="R137" s="96">
        <v>476791.89999999997</v>
      </c>
      <c r="T137" s="90"/>
      <c r="U137" s="90"/>
      <c r="AK137" s="96"/>
    </row>
    <row r="138" spans="2:38" x14ac:dyDescent="0.25">
      <c r="B138" s="90" t="s">
        <v>536</v>
      </c>
      <c r="C138" s="90" t="s">
        <v>537</v>
      </c>
      <c r="D138" s="89">
        <v>411.52</v>
      </c>
      <c r="H138" s="89">
        <v>411.52</v>
      </c>
      <c r="J138" s="90" t="s">
        <v>62</v>
      </c>
      <c r="K138" s="90" t="s">
        <v>63</v>
      </c>
      <c r="L138" s="96">
        <v>252895.29</v>
      </c>
      <c r="M138" s="96">
        <v>15395</v>
      </c>
      <c r="P138" s="90" t="s">
        <v>538</v>
      </c>
      <c r="Q138" s="90" t="s">
        <v>539</v>
      </c>
      <c r="R138" s="96">
        <v>190187.97000000003</v>
      </c>
      <c r="T138" s="90"/>
      <c r="U138" s="90"/>
      <c r="AA138" s="96"/>
    </row>
    <row r="139" spans="2:38" x14ac:dyDescent="0.25">
      <c r="B139" s="90" t="s">
        <v>306</v>
      </c>
      <c r="C139" s="90" t="s">
        <v>307</v>
      </c>
      <c r="D139" s="89">
        <v>2674.14</v>
      </c>
      <c r="H139" s="89">
        <v>2674.14</v>
      </c>
      <c r="J139" s="90" t="s">
        <v>96</v>
      </c>
      <c r="K139" s="90" t="s">
        <v>97</v>
      </c>
      <c r="L139" s="96">
        <v>33624.44</v>
      </c>
      <c r="M139" s="96">
        <v>869758.18</v>
      </c>
      <c r="P139" s="90" t="s">
        <v>534</v>
      </c>
      <c r="Q139" s="90" t="s">
        <v>535</v>
      </c>
      <c r="R139" s="96">
        <v>82644.759999999995</v>
      </c>
      <c r="T139" s="90"/>
      <c r="U139" s="90"/>
    </row>
    <row r="140" spans="2:38" x14ac:dyDescent="0.25">
      <c r="B140" s="90" t="s">
        <v>30</v>
      </c>
      <c r="C140" s="90" t="s">
        <v>31</v>
      </c>
      <c r="D140" s="89">
        <v>4093156.11</v>
      </c>
      <c r="G140">
        <v>3510443.5799999996</v>
      </c>
      <c r="H140" s="89">
        <v>582712.53</v>
      </c>
      <c r="J140" s="90" t="s">
        <v>64</v>
      </c>
      <c r="K140" s="90" t="s">
        <v>65</v>
      </c>
      <c r="L140" s="96">
        <v>120436.83</v>
      </c>
      <c r="M140" s="96">
        <v>1717353.94</v>
      </c>
      <c r="P140" s="90" t="s">
        <v>460</v>
      </c>
      <c r="Q140" s="90" t="s">
        <v>461</v>
      </c>
      <c r="R140" s="96">
        <v>125734.08</v>
      </c>
      <c r="T140" s="90"/>
      <c r="U140" s="90"/>
    </row>
    <row r="141" spans="2:38" x14ac:dyDescent="0.25">
      <c r="B141" s="90" t="s">
        <v>78</v>
      </c>
      <c r="C141" s="90" t="s">
        <v>79</v>
      </c>
      <c r="D141" s="89">
        <v>2040663.7600000007</v>
      </c>
      <c r="F141" s="174">
        <v>496600.86</v>
      </c>
      <c r="G141" s="89">
        <v>994346.12</v>
      </c>
      <c r="H141" s="89">
        <v>549716.78</v>
      </c>
      <c r="J141" s="90" t="s">
        <v>220</v>
      </c>
      <c r="K141" s="90" t="s">
        <v>221</v>
      </c>
      <c r="L141" s="96">
        <v>4935.7299999999996</v>
      </c>
      <c r="M141" s="96">
        <v>55001.87</v>
      </c>
      <c r="P141" s="90" t="s">
        <v>546</v>
      </c>
      <c r="Q141" s="90" t="s">
        <v>547</v>
      </c>
      <c r="R141" s="96">
        <v>125055</v>
      </c>
      <c r="T141" s="90"/>
      <c r="U141" s="90"/>
    </row>
    <row r="142" spans="2:38" x14ac:dyDescent="0.25">
      <c r="B142" s="90" t="s">
        <v>46</v>
      </c>
      <c r="C142" s="90" t="s">
        <v>47</v>
      </c>
      <c r="D142" s="89">
        <v>20916.16</v>
      </c>
      <c r="F142" s="180"/>
      <c r="G142" s="89"/>
      <c r="H142" s="89">
        <v>20916.16</v>
      </c>
      <c r="J142" s="90" t="s">
        <v>128</v>
      </c>
      <c r="K142" s="90" t="s">
        <v>129</v>
      </c>
      <c r="L142">
        <v>7815.6</v>
      </c>
      <c r="M142" s="96">
        <v>77477.600000000006</v>
      </c>
      <c r="P142" s="90" t="s">
        <v>548</v>
      </c>
      <c r="Q142" s="90" t="s">
        <v>549</v>
      </c>
      <c r="R142" s="96">
        <v>145880.79999999999</v>
      </c>
      <c r="T142" s="90"/>
      <c r="U142" s="90"/>
    </row>
    <row r="143" spans="2:38" x14ac:dyDescent="0.25">
      <c r="B143" s="90" t="s">
        <v>24</v>
      </c>
      <c r="C143" s="90" t="s">
        <v>25</v>
      </c>
      <c r="D143" s="89">
        <v>3166665.55</v>
      </c>
      <c r="G143">
        <v>2372270.12</v>
      </c>
      <c r="H143" s="89">
        <v>794395.42999999993</v>
      </c>
      <c r="J143" s="90" t="s">
        <v>6</v>
      </c>
      <c r="K143" s="90" t="s">
        <v>7</v>
      </c>
      <c r="L143" s="96">
        <v>309163.92</v>
      </c>
      <c r="M143" s="96">
        <v>6535545.1299999999</v>
      </c>
      <c r="P143" s="90" t="s">
        <v>592</v>
      </c>
      <c r="Q143" s="90" t="s">
        <v>593</v>
      </c>
      <c r="R143" s="96">
        <v>1456.67</v>
      </c>
      <c r="T143" s="90"/>
      <c r="U143" s="90"/>
      <c r="V143" s="96"/>
    </row>
    <row r="144" spans="2:38" x14ac:dyDescent="0.25">
      <c r="B144" s="90" t="s">
        <v>114</v>
      </c>
      <c r="C144" s="90" t="s">
        <v>115</v>
      </c>
      <c r="D144" s="89">
        <v>903912.35999999987</v>
      </c>
      <c r="G144" s="89">
        <v>624185.05999999994</v>
      </c>
      <c r="H144" s="89">
        <v>279727.3</v>
      </c>
      <c r="J144" s="90" t="s">
        <v>258</v>
      </c>
      <c r="K144" s="90" t="s">
        <v>259</v>
      </c>
      <c r="L144">
        <v>157.58000000000001</v>
      </c>
      <c r="M144">
        <v>22728.79</v>
      </c>
      <c r="N144" s="96"/>
      <c r="P144" s="90" t="s">
        <v>304</v>
      </c>
      <c r="Q144" s="90" t="s">
        <v>305</v>
      </c>
      <c r="R144" s="96">
        <v>556716.94000000006</v>
      </c>
      <c r="T144" s="90"/>
      <c r="U144" s="90"/>
      <c r="Z144" s="96"/>
    </row>
    <row r="145" spans="2:32" x14ac:dyDescent="0.25">
      <c r="B145" s="90" t="s">
        <v>62</v>
      </c>
      <c r="C145" s="90" t="s">
        <v>63</v>
      </c>
      <c r="D145" s="89">
        <v>2857468.4399999995</v>
      </c>
      <c r="G145" s="89">
        <v>2142314.31</v>
      </c>
      <c r="H145" s="89">
        <v>715154.13</v>
      </c>
      <c r="J145" s="90" t="s">
        <v>70</v>
      </c>
      <c r="K145" s="90" t="s">
        <v>71</v>
      </c>
      <c r="L145" s="96">
        <v>3432.55</v>
      </c>
      <c r="M145" s="96">
        <v>108639.25</v>
      </c>
      <c r="P145" s="90" t="s">
        <v>274</v>
      </c>
      <c r="Q145" s="90" t="s">
        <v>275</v>
      </c>
      <c r="R145" s="96">
        <v>691623.89</v>
      </c>
      <c r="T145" s="90"/>
      <c r="U145" s="90"/>
      <c r="V145" s="96"/>
      <c r="AF145" s="96"/>
    </row>
    <row r="146" spans="2:32" x14ac:dyDescent="0.25">
      <c r="B146" s="90" t="s">
        <v>96</v>
      </c>
      <c r="C146" s="90" t="s">
        <v>97</v>
      </c>
      <c r="D146" s="89">
        <v>731056.52</v>
      </c>
      <c r="G146" s="89"/>
      <c r="H146" s="89">
        <v>731056.52</v>
      </c>
      <c r="J146" s="90" t="s">
        <v>50</v>
      </c>
      <c r="K146" s="90" t="s">
        <v>51</v>
      </c>
      <c r="L146" s="96">
        <v>44748.95</v>
      </c>
      <c r="M146" s="96">
        <v>626424.9</v>
      </c>
      <c r="P146" s="90" t="s">
        <v>456</v>
      </c>
      <c r="Q146" s="90" t="s">
        <v>457</v>
      </c>
      <c r="R146" s="96">
        <v>187629.23</v>
      </c>
      <c r="T146" s="90"/>
      <c r="U146" s="90"/>
      <c r="Y146" s="96"/>
      <c r="AA146" s="96"/>
    </row>
    <row r="147" spans="2:32" x14ac:dyDescent="0.25">
      <c r="B147" s="90" t="s">
        <v>64</v>
      </c>
      <c r="C147" s="90" t="s">
        <v>65</v>
      </c>
      <c r="D147" s="89">
        <v>5323238.7100000018</v>
      </c>
      <c r="F147" s="174">
        <v>2771.7200000000003</v>
      </c>
      <c r="G147">
        <v>910803.31</v>
      </c>
      <c r="H147" s="89">
        <v>4409663.6800000006</v>
      </c>
      <c r="J147" s="90" t="s">
        <v>312</v>
      </c>
      <c r="K147" s="90" t="s">
        <v>313</v>
      </c>
      <c r="L147" s="96">
        <v>5259.24</v>
      </c>
      <c r="M147" s="96"/>
      <c r="P147" s="90" t="s">
        <v>322</v>
      </c>
      <c r="Q147" s="90" t="s">
        <v>323</v>
      </c>
      <c r="R147" s="96">
        <v>320828</v>
      </c>
      <c r="T147" s="90"/>
      <c r="U147" s="90"/>
      <c r="Z147" s="96"/>
      <c r="AA147" s="96"/>
    </row>
    <row r="148" spans="2:32" x14ac:dyDescent="0.25">
      <c r="B148" s="90" t="s">
        <v>208</v>
      </c>
      <c r="C148" s="90" t="s">
        <v>209</v>
      </c>
      <c r="D148" s="89">
        <v>377056.50999999995</v>
      </c>
      <c r="G148" s="89">
        <v>278696.55999999994</v>
      </c>
      <c r="H148" s="89">
        <v>98359.95</v>
      </c>
      <c r="J148" s="90" t="s">
        <v>140</v>
      </c>
      <c r="K148" s="90" t="s">
        <v>1191</v>
      </c>
      <c r="L148">
        <v>34143.440000000002</v>
      </c>
      <c r="M148" s="96">
        <v>345229.03</v>
      </c>
      <c r="P148" s="90" t="s">
        <v>570</v>
      </c>
      <c r="Q148" s="90" t="s">
        <v>571</v>
      </c>
      <c r="R148" s="96">
        <v>52979.939999999995</v>
      </c>
      <c r="T148" s="90"/>
      <c r="U148" s="90"/>
    </row>
    <row r="149" spans="2:32" x14ac:dyDescent="0.25">
      <c r="B149" s="90" t="s">
        <v>220</v>
      </c>
      <c r="C149" s="90" t="s">
        <v>221</v>
      </c>
      <c r="D149" s="89">
        <v>9427.33</v>
      </c>
      <c r="G149" s="89">
        <v>9427.33</v>
      </c>
      <c r="J149" s="90" t="s">
        <v>150</v>
      </c>
      <c r="K149" s="90" t="s">
        <v>1190</v>
      </c>
      <c r="L149" s="96">
        <v>5348.94</v>
      </c>
      <c r="M149" s="96">
        <v>172935.06</v>
      </c>
      <c r="P149" s="90" t="s">
        <v>384</v>
      </c>
      <c r="Q149" s="90" t="s">
        <v>385</v>
      </c>
      <c r="R149" s="96">
        <v>482859.20999999996</v>
      </c>
      <c r="T149" s="90"/>
      <c r="U149" s="90"/>
    </row>
    <row r="150" spans="2:32" x14ac:dyDescent="0.25">
      <c r="B150" s="90" t="s">
        <v>406</v>
      </c>
      <c r="C150" s="90" t="s">
        <v>407</v>
      </c>
      <c r="D150" s="89">
        <v>949.17</v>
      </c>
      <c r="H150" s="89">
        <v>949.17</v>
      </c>
      <c r="J150" s="90" t="s">
        <v>202</v>
      </c>
      <c r="K150" s="90" t="s">
        <v>203</v>
      </c>
      <c r="M150" s="96"/>
      <c r="N150" s="96">
        <v>10500</v>
      </c>
      <c r="P150" s="90" t="s">
        <v>420</v>
      </c>
      <c r="Q150" s="90" t="s">
        <v>421</v>
      </c>
      <c r="R150" s="96">
        <v>311180.5</v>
      </c>
      <c r="T150" s="90"/>
      <c r="U150" s="90"/>
      <c r="Z150" s="96"/>
      <c r="AA150" s="96"/>
    </row>
    <row r="151" spans="2:32" x14ac:dyDescent="0.25">
      <c r="B151" s="90" t="s">
        <v>128</v>
      </c>
      <c r="C151" s="90" t="s">
        <v>129</v>
      </c>
      <c r="D151" s="89">
        <v>137014.88</v>
      </c>
      <c r="H151" s="89">
        <v>137014.88</v>
      </c>
      <c r="J151" s="90" t="s">
        <v>250</v>
      </c>
      <c r="K151" s="90" t="s">
        <v>251</v>
      </c>
      <c r="L151" s="96">
        <v>503.21</v>
      </c>
      <c r="M151" s="96">
        <v>11176.81</v>
      </c>
      <c r="P151" s="90" t="s">
        <v>354</v>
      </c>
      <c r="Q151" s="90" t="s">
        <v>355</v>
      </c>
      <c r="R151" s="96">
        <v>453328.69</v>
      </c>
      <c r="T151" s="90"/>
      <c r="U151" s="90"/>
      <c r="Z151" s="96"/>
      <c r="AA151" s="96"/>
    </row>
    <row r="152" spans="2:32" x14ac:dyDescent="0.25">
      <c r="B152" s="90" t="s">
        <v>6</v>
      </c>
      <c r="C152" s="90" t="s">
        <v>7</v>
      </c>
      <c r="D152" s="89">
        <v>21225660.349999998</v>
      </c>
      <c r="G152" s="89">
        <v>13677411.23</v>
      </c>
      <c r="H152">
        <v>7548249.1199999992</v>
      </c>
      <c r="J152" s="90" t="s">
        <v>442</v>
      </c>
      <c r="K152" s="90" t="s">
        <v>443</v>
      </c>
      <c r="L152" s="96"/>
      <c r="M152" s="96">
        <v>15177.86</v>
      </c>
      <c r="P152" s="90" t="s">
        <v>340</v>
      </c>
      <c r="Q152" s="90" t="s">
        <v>341</v>
      </c>
      <c r="R152" s="96">
        <v>640790.89999999991</v>
      </c>
      <c r="T152" s="90"/>
      <c r="U152" s="90"/>
    </row>
    <row r="153" spans="2:32" x14ac:dyDescent="0.25">
      <c r="B153" s="90" t="s">
        <v>258</v>
      </c>
      <c r="C153" s="90" t="s">
        <v>259</v>
      </c>
      <c r="D153" s="89">
        <v>190303.47000000003</v>
      </c>
      <c r="G153">
        <v>190069.47000000003</v>
      </c>
      <c r="H153" s="89">
        <v>234</v>
      </c>
      <c r="J153" s="90" t="s">
        <v>1160</v>
      </c>
      <c r="K153" s="90" t="s">
        <v>1178</v>
      </c>
      <c r="L153" s="96">
        <v>233477.98</v>
      </c>
      <c r="M153" s="96">
        <v>144811.04</v>
      </c>
      <c r="P153" s="90" t="s">
        <v>526</v>
      </c>
      <c r="Q153" s="90" t="s">
        <v>527</v>
      </c>
      <c r="R153" s="96">
        <v>116606.48999999999</v>
      </c>
      <c r="T153" s="90"/>
      <c r="U153" s="90"/>
      <c r="V153" s="96"/>
      <c r="Z153" s="96"/>
      <c r="AA153" s="96"/>
      <c r="AF153" s="96"/>
    </row>
    <row r="154" spans="2:32" x14ac:dyDescent="0.25">
      <c r="B154" s="90" t="s">
        <v>226</v>
      </c>
      <c r="C154" s="90" t="s">
        <v>227</v>
      </c>
      <c r="D154" s="89">
        <v>398863.25</v>
      </c>
      <c r="G154" s="89"/>
      <c r="H154" s="89">
        <v>398863.25</v>
      </c>
      <c r="J154" s="90" t="s">
        <v>448</v>
      </c>
      <c r="K154" s="90" t="s">
        <v>1252</v>
      </c>
      <c r="L154" s="96">
        <v>282583</v>
      </c>
      <c r="M154" s="96">
        <v>538350.52</v>
      </c>
      <c r="P154" s="90" t="s">
        <v>330</v>
      </c>
      <c r="Q154" s="90" t="s">
        <v>331</v>
      </c>
      <c r="R154" s="96">
        <v>592758.81999999995</v>
      </c>
      <c r="T154" s="90"/>
      <c r="U154" s="90"/>
    </row>
    <row r="155" spans="2:32" x14ac:dyDescent="0.25">
      <c r="B155" s="90" t="s">
        <v>70</v>
      </c>
      <c r="C155" s="90" t="s">
        <v>71</v>
      </c>
      <c r="D155" s="89">
        <v>432046.19</v>
      </c>
      <c r="F155" s="174">
        <v>1702.46</v>
      </c>
      <c r="H155" s="89">
        <v>430343.73</v>
      </c>
      <c r="J155" s="90" t="s">
        <v>326</v>
      </c>
      <c r="K155" s="90" t="s">
        <v>327</v>
      </c>
      <c r="L155">
        <v>2352.44</v>
      </c>
      <c r="M155" s="96">
        <v>7583.56</v>
      </c>
      <c r="P155" s="90" t="s">
        <v>324</v>
      </c>
      <c r="Q155" s="90" t="s">
        <v>325</v>
      </c>
      <c r="R155" s="96">
        <v>624838.75000000012</v>
      </c>
      <c r="T155" s="90"/>
      <c r="U155" s="90"/>
    </row>
    <row r="156" spans="2:32" x14ac:dyDescent="0.25">
      <c r="B156" s="90" t="s">
        <v>50</v>
      </c>
      <c r="C156" s="90" t="s">
        <v>51</v>
      </c>
      <c r="D156" s="89">
        <v>8693777.7400000002</v>
      </c>
      <c r="F156" s="174">
        <v>43110.83</v>
      </c>
      <c r="G156">
        <v>8081008.9700000007</v>
      </c>
      <c r="H156" s="89">
        <v>569657.93999999994</v>
      </c>
      <c r="J156" s="90" t="s">
        <v>230</v>
      </c>
      <c r="K156" s="90" t="s">
        <v>231</v>
      </c>
      <c r="L156" s="96">
        <v>2191.58</v>
      </c>
      <c r="M156" s="96">
        <v>44252.39</v>
      </c>
      <c r="P156" s="90" t="s">
        <v>436</v>
      </c>
      <c r="Q156" s="90" t="s">
        <v>437</v>
      </c>
      <c r="R156" s="96">
        <v>240713.62999999998</v>
      </c>
      <c r="T156" s="90"/>
      <c r="U156" s="90"/>
      <c r="AF156" s="96"/>
    </row>
    <row r="157" spans="2:32" x14ac:dyDescent="0.25">
      <c r="B157" s="90" t="s">
        <v>312</v>
      </c>
      <c r="C157" s="90" t="s">
        <v>313</v>
      </c>
      <c r="D157" s="89">
        <v>10985.91</v>
      </c>
      <c r="F157" s="180"/>
      <c r="G157" s="89">
        <v>10985.91</v>
      </c>
      <c r="H157" s="89"/>
      <c r="J157" s="90" t="s">
        <v>500</v>
      </c>
      <c r="K157" s="90" t="s">
        <v>1188</v>
      </c>
      <c r="L157" s="96"/>
      <c r="M157" s="96">
        <v>2825.9</v>
      </c>
      <c r="P157" s="90" t="s">
        <v>178</v>
      </c>
      <c r="Q157" s="90" t="s">
        <v>179</v>
      </c>
      <c r="R157" s="96">
        <v>1613474.3599999999</v>
      </c>
      <c r="T157" s="90"/>
      <c r="U157" s="90"/>
      <c r="V157" s="96"/>
      <c r="Z157" s="96"/>
    </row>
    <row r="158" spans="2:32" x14ac:dyDescent="0.25">
      <c r="B158" s="90" t="s">
        <v>126</v>
      </c>
      <c r="C158" s="90" t="s">
        <v>127</v>
      </c>
      <c r="D158" s="89">
        <v>1014253.5899999999</v>
      </c>
      <c r="G158" s="89">
        <v>962359.0199999999</v>
      </c>
      <c r="H158">
        <v>51894.57</v>
      </c>
      <c r="J158" s="90" t="s">
        <v>382</v>
      </c>
      <c r="K158" s="90" t="s">
        <v>383</v>
      </c>
      <c r="L158" s="96">
        <v>2378.9499999999998</v>
      </c>
      <c r="M158" s="96">
        <v>30143.52</v>
      </c>
      <c r="P158" s="90" t="s">
        <v>400</v>
      </c>
      <c r="Q158" s="90" t="s">
        <v>401</v>
      </c>
      <c r="R158" s="96">
        <v>330798.67000000004</v>
      </c>
      <c r="T158" s="90"/>
      <c r="U158" s="90"/>
      <c r="AA158" s="96"/>
      <c r="AF158" s="96"/>
    </row>
    <row r="159" spans="2:32" x14ac:dyDescent="0.25">
      <c r="B159" s="90" t="s">
        <v>140</v>
      </c>
      <c r="C159" s="90" t="s">
        <v>1191</v>
      </c>
      <c r="D159" s="89">
        <v>1400975.32</v>
      </c>
      <c r="G159">
        <v>1386942.03</v>
      </c>
      <c r="H159" s="89">
        <v>14033.29</v>
      </c>
      <c r="J159" s="90" t="s">
        <v>298</v>
      </c>
      <c r="K159" s="90" t="s">
        <v>299</v>
      </c>
      <c r="L159" s="96">
        <v>270.64</v>
      </c>
      <c r="M159" s="96">
        <v>3196.75</v>
      </c>
      <c r="P159" s="90" t="s">
        <v>158</v>
      </c>
      <c r="Q159" s="90" t="s">
        <v>159</v>
      </c>
      <c r="R159" s="96">
        <v>2479880.4099999997</v>
      </c>
      <c r="T159" s="90"/>
      <c r="U159" s="90"/>
      <c r="AA159" s="96"/>
      <c r="AF159" s="96"/>
    </row>
    <row r="160" spans="2:32" x14ac:dyDescent="0.25">
      <c r="B160" s="90" t="s">
        <v>150</v>
      </c>
      <c r="C160" s="90" t="s">
        <v>1190</v>
      </c>
      <c r="D160" s="89">
        <v>764175.37</v>
      </c>
      <c r="G160" s="89">
        <v>764175.37</v>
      </c>
      <c r="H160" s="89"/>
      <c r="J160" s="90" t="s">
        <v>110</v>
      </c>
      <c r="K160" s="90" t="s">
        <v>111</v>
      </c>
      <c r="N160" s="96">
        <v>3350</v>
      </c>
      <c r="P160" s="90" t="s">
        <v>550</v>
      </c>
      <c r="Q160" s="90" t="s">
        <v>551</v>
      </c>
      <c r="R160" s="96">
        <v>108505.99999999999</v>
      </c>
      <c r="T160" s="90"/>
      <c r="U160" s="90"/>
    </row>
    <row r="161" spans="2:37" x14ac:dyDescent="0.25">
      <c r="B161" s="90" t="s">
        <v>202</v>
      </c>
      <c r="C161" s="90" t="s">
        <v>203</v>
      </c>
      <c r="D161" s="89">
        <v>820622.36</v>
      </c>
      <c r="G161" s="89">
        <v>820622.36</v>
      </c>
      <c r="H161" s="89"/>
      <c r="J161" s="90" t="s">
        <v>48</v>
      </c>
      <c r="K161" s="90" t="s">
        <v>49</v>
      </c>
      <c r="L161" s="96">
        <v>16599.63</v>
      </c>
      <c r="M161" s="96">
        <v>77727.45</v>
      </c>
      <c r="P161" s="90" t="s">
        <v>376</v>
      </c>
      <c r="Q161" s="90" t="s">
        <v>377</v>
      </c>
      <c r="R161" s="96">
        <v>384130.70999999996</v>
      </c>
      <c r="T161" s="90"/>
      <c r="U161" s="90"/>
      <c r="AK161" s="96"/>
    </row>
    <row r="162" spans="2:37" x14ac:dyDescent="0.25">
      <c r="B162" s="90" t="s">
        <v>250</v>
      </c>
      <c r="C162" s="90" t="s">
        <v>251</v>
      </c>
      <c r="D162" s="89">
        <v>657946.28</v>
      </c>
      <c r="G162" s="89">
        <v>657389.34000000008</v>
      </c>
      <c r="H162">
        <v>556.94000000000005</v>
      </c>
      <c r="J162" s="90" t="s">
        <v>92</v>
      </c>
      <c r="K162" s="90" t="s">
        <v>93</v>
      </c>
      <c r="L162" s="96">
        <v>60660</v>
      </c>
      <c r="M162" s="96"/>
      <c r="P162" s="90" t="s">
        <v>542</v>
      </c>
      <c r="Q162" s="90" t="s">
        <v>543</v>
      </c>
      <c r="R162" s="96">
        <v>189567.29</v>
      </c>
      <c r="T162" s="90"/>
      <c r="U162" s="90"/>
    </row>
    <row r="163" spans="2:37" x14ac:dyDescent="0.25">
      <c r="B163" s="90" t="s">
        <v>442</v>
      </c>
      <c r="C163" s="90" t="s">
        <v>443</v>
      </c>
      <c r="D163" s="89">
        <v>114562.82000000002</v>
      </c>
      <c r="G163" s="89"/>
      <c r="H163" s="89">
        <v>114562.82000000002</v>
      </c>
      <c r="J163" s="90" t="s">
        <v>66</v>
      </c>
      <c r="K163" s="90" t="s">
        <v>67</v>
      </c>
      <c r="L163" s="96">
        <v>6881.45</v>
      </c>
      <c r="M163" s="96">
        <v>41166.550000000003</v>
      </c>
      <c r="P163" s="90" t="s">
        <v>530</v>
      </c>
      <c r="Q163" s="90" t="s">
        <v>531</v>
      </c>
      <c r="R163" s="96">
        <v>151725.13999999998</v>
      </c>
      <c r="T163" s="90"/>
      <c r="U163" s="90"/>
      <c r="Z163" s="96"/>
    </row>
    <row r="164" spans="2:37" x14ac:dyDescent="0.25">
      <c r="B164" s="90" t="s">
        <v>578</v>
      </c>
      <c r="C164" s="90" t="s">
        <v>579</v>
      </c>
      <c r="D164" s="89">
        <v>14754.56</v>
      </c>
      <c r="G164">
        <v>14754.56</v>
      </c>
      <c r="H164" s="89"/>
      <c r="J164" s="90" t="s">
        <v>318</v>
      </c>
      <c r="K164" s="90" t="s">
        <v>319</v>
      </c>
      <c r="L164" s="96">
        <v>1944</v>
      </c>
      <c r="M164" s="96">
        <v>7776</v>
      </c>
      <c r="P164" s="90" t="s">
        <v>446</v>
      </c>
      <c r="Q164" s="90" t="s">
        <v>447</v>
      </c>
      <c r="R164" s="96">
        <v>188605.03</v>
      </c>
      <c r="T164" s="90"/>
      <c r="U164" s="90"/>
      <c r="AF164" s="96"/>
    </row>
    <row r="165" spans="2:37" x14ac:dyDescent="0.25">
      <c r="B165" s="90" t="s">
        <v>326</v>
      </c>
      <c r="C165" s="90" t="s">
        <v>327</v>
      </c>
      <c r="D165" s="89">
        <v>2558.62</v>
      </c>
      <c r="H165" s="89">
        <v>2558.62</v>
      </c>
      <c r="J165" s="90" t="s">
        <v>352</v>
      </c>
      <c r="K165" s="90" t="s">
        <v>353</v>
      </c>
      <c r="L165" s="96"/>
      <c r="M165" s="96">
        <v>17337.509999999998</v>
      </c>
      <c r="P165" s="90" t="s">
        <v>438</v>
      </c>
      <c r="Q165" s="90" t="s">
        <v>439</v>
      </c>
      <c r="R165" s="96">
        <v>159302.87</v>
      </c>
      <c r="T165" s="90"/>
      <c r="U165" s="90"/>
    </row>
    <row r="166" spans="2:37" x14ac:dyDescent="0.25">
      <c r="B166" s="90" t="s">
        <v>404</v>
      </c>
      <c r="C166" s="90" t="s">
        <v>405</v>
      </c>
      <c r="D166" s="89">
        <v>11711.03</v>
      </c>
      <c r="G166" s="89"/>
      <c r="H166">
        <v>11711.03</v>
      </c>
      <c r="J166" s="90" t="s">
        <v>210</v>
      </c>
      <c r="K166" s="90" t="s">
        <v>211</v>
      </c>
      <c r="L166">
        <v>739.97</v>
      </c>
      <c r="M166">
        <v>3460.03</v>
      </c>
      <c r="N166" s="96"/>
      <c r="P166" s="90" t="s">
        <v>518</v>
      </c>
      <c r="Q166" s="90" t="s">
        <v>519</v>
      </c>
      <c r="R166" s="96">
        <v>228323.33</v>
      </c>
      <c r="T166" s="90"/>
      <c r="U166" s="90"/>
      <c r="V166" s="96"/>
    </row>
    <row r="167" spans="2:37" x14ac:dyDescent="0.25">
      <c r="B167" s="90" t="s">
        <v>338</v>
      </c>
      <c r="C167" s="90" t="s">
        <v>339</v>
      </c>
      <c r="D167" s="89">
        <v>1106498.2</v>
      </c>
      <c r="G167">
        <v>894061.52999999991</v>
      </c>
      <c r="H167" s="89">
        <v>212436.66999999998</v>
      </c>
      <c r="J167" s="90" t="s">
        <v>276</v>
      </c>
      <c r="K167" s="90" t="s">
        <v>277</v>
      </c>
      <c r="L167" s="96">
        <v>3780.88</v>
      </c>
      <c r="M167" s="96">
        <v>36226.120000000003</v>
      </c>
      <c r="P167" s="90" t="s">
        <v>368</v>
      </c>
      <c r="Q167" s="90" t="s">
        <v>369</v>
      </c>
      <c r="R167" s="96">
        <v>429547.62</v>
      </c>
      <c r="T167" s="90"/>
      <c r="U167" s="90"/>
      <c r="W167" s="96"/>
      <c r="AF167" s="96"/>
    </row>
    <row r="168" spans="2:37" x14ac:dyDescent="0.25">
      <c r="B168" s="90" t="s">
        <v>382</v>
      </c>
      <c r="C168" s="90" t="s">
        <v>383</v>
      </c>
      <c r="D168" s="89">
        <v>109601.73999999999</v>
      </c>
      <c r="G168" s="89">
        <v>43186.59</v>
      </c>
      <c r="H168" s="89">
        <v>66415.149999999994</v>
      </c>
      <c r="J168" t="s">
        <v>434</v>
      </c>
      <c r="K168" t="s">
        <v>435</v>
      </c>
      <c r="L168">
        <v>51636.75</v>
      </c>
      <c r="P168" s="90" t="s">
        <v>464</v>
      </c>
      <c r="Q168" s="90" t="s">
        <v>465</v>
      </c>
      <c r="R168" s="96">
        <v>142529.74</v>
      </c>
      <c r="T168" s="90"/>
      <c r="U168" s="90"/>
      <c r="V168" s="96"/>
      <c r="Y168" s="96"/>
      <c r="AA168" s="96"/>
      <c r="AB168" s="96"/>
      <c r="AF168" s="96"/>
      <c r="AG168" s="96"/>
    </row>
    <row r="169" spans="2:37" x14ac:dyDescent="0.25">
      <c r="B169" s="90" t="s">
        <v>298</v>
      </c>
      <c r="C169" s="90" t="s">
        <v>299</v>
      </c>
      <c r="D169" s="89">
        <v>542749.98</v>
      </c>
      <c r="G169" s="89">
        <v>542749.98</v>
      </c>
      <c r="H169" s="89"/>
      <c r="J169" s="223" t="s">
        <v>58</v>
      </c>
      <c r="K169" s="223" t="s">
        <v>59</v>
      </c>
      <c r="L169" s="96">
        <v>51800.35</v>
      </c>
      <c r="M169" s="96">
        <v>262945.89</v>
      </c>
      <c r="P169" s="90" t="s">
        <v>466</v>
      </c>
      <c r="Q169" s="90" t="s">
        <v>467</v>
      </c>
      <c r="R169" s="96">
        <v>202520.4</v>
      </c>
      <c r="T169" s="90"/>
      <c r="U169" s="90"/>
      <c r="Z169" s="96"/>
    </row>
    <row r="170" spans="2:37" x14ac:dyDescent="0.25">
      <c r="B170" s="90" t="s">
        <v>48</v>
      </c>
      <c r="C170" s="90" t="s">
        <v>49</v>
      </c>
      <c r="D170" s="89">
        <v>225883.26</v>
      </c>
      <c r="G170" s="89">
        <v>95138.35</v>
      </c>
      <c r="H170">
        <v>130744.91</v>
      </c>
      <c r="J170" s="223" t="s">
        <v>124</v>
      </c>
      <c r="K170" s="223" t="s">
        <v>125</v>
      </c>
      <c r="L170" s="96">
        <v>22648.09</v>
      </c>
      <c r="M170" s="96">
        <v>224099.1</v>
      </c>
      <c r="P170" s="90" t="s">
        <v>130</v>
      </c>
      <c r="Q170" s="90" t="s">
        <v>131</v>
      </c>
      <c r="R170" s="96">
        <v>2890339.7999999993</v>
      </c>
      <c r="T170" s="90"/>
      <c r="U170" s="90"/>
      <c r="V170" s="96"/>
      <c r="AD170" s="96"/>
      <c r="AF170" s="96"/>
    </row>
    <row r="171" spans="2:37" x14ac:dyDescent="0.25">
      <c r="B171" s="90" t="s">
        <v>92</v>
      </c>
      <c r="C171" s="90" t="s">
        <v>93</v>
      </c>
      <c r="D171" s="89">
        <v>608692.02</v>
      </c>
      <c r="F171" s="174">
        <v>608108.58000000007</v>
      </c>
      <c r="H171" s="89">
        <v>583.44000000000005</v>
      </c>
      <c r="J171" s="223" t="s">
        <v>212</v>
      </c>
      <c r="K171" s="223" t="s">
        <v>213</v>
      </c>
      <c r="L171" s="96">
        <v>4211.72</v>
      </c>
      <c r="M171" s="96">
        <v>33607.81</v>
      </c>
      <c r="P171" s="90" t="s">
        <v>374</v>
      </c>
      <c r="Q171" s="90" t="s">
        <v>375</v>
      </c>
      <c r="R171" s="96">
        <v>286548.31</v>
      </c>
      <c r="T171" s="90"/>
      <c r="U171" s="90"/>
      <c r="AF171" s="96"/>
    </row>
    <row r="172" spans="2:37" x14ac:dyDescent="0.25">
      <c r="B172" s="90" t="s">
        <v>66</v>
      </c>
      <c r="C172" s="90" t="s">
        <v>67</v>
      </c>
      <c r="D172" s="89">
        <v>731224.48</v>
      </c>
      <c r="F172" s="180"/>
      <c r="G172">
        <v>536386.6</v>
      </c>
      <c r="H172" s="89">
        <v>194837.88</v>
      </c>
      <c r="J172" s="223" t="s">
        <v>172</v>
      </c>
      <c r="K172" s="223" t="s">
        <v>173</v>
      </c>
      <c r="L172" s="96">
        <v>71463.5</v>
      </c>
      <c r="M172" s="96">
        <v>181296.81</v>
      </c>
      <c r="P172" s="90" t="s">
        <v>334</v>
      </c>
      <c r="Q172" s="90" t="s">
        <v>335</v>
      </c>
      <c r="R172" s="96">
        <v>531436.53999999992</v>
      </c>
      <c r="T172" s="90"/>
      <c r="U172" s="90"/>
      <c r="V172" s="96"/>
    </row>
    <row r="173" spans="2:37" x14ac:dyDescent="0.25">
      <c r="B173" s="90" t="s">
        <v>318</v>
      </c>
      <c r="C173" s="90" t="s">
        <v>319</v>
      </c>
      <c r="D173" s="89">
        <v>55245.53</v>
      </c>
      <c r="G173" s="89">
        <v>55245.53</v>
      </c>
      <c r="H173" s="89"/>
      <c r="J173" s="223" t="s">
        <v>224</v>
      </c>
      <c r="K173" s="223" t="s">
        <v>225</v>
      </c>
      <c r="L173" s="96">
        <v>30468.97</v>
      </c>
      <c r="M173" s="96">
        <v>16484.32</v>
      </c>
      <c r="P173" s="90" t="s">
        <v>214</v>
      </c>
      <c r="Q173" s="90" t="s">
        <v>215</v>
      </c>
      <c r="R173" s="96">
        <v>1821032.23</v>
      </c>
      <c r="T173" s="90"/>
      <c r="U173" s="90"/>
      <c r="AF173" s="96"/>
    </row>
    <row r="174" spans="2:37" x14ac:dyDescent="0.25">
      <c r="B174" s="90" t="s">
        <v>352</v>
      </c>
      <c r="C174" s="90" t="s">
        <v>353</v>
      </c>
      <c r="D174" s="89">
        <v>579.24</v>
      </c>
      <c r="G174" s="89"/>
      <c r="H174">
        <v>579.24</v>
      </c>
      <c r="J174" s="223" t="s">
        <v>1187</v>
      </c>
      <c r="K174" s="223" t="s">
        <v>1186</v>
      </c>
      <c r="L174" s="96">
        <v>6095.03</v>
      </c>
      <c r="M174" s="96">
        <v>63214.67</v>
      </c>
      <c r="P174" s="90" t="s">
        <v>424</v>
      </c>
      <c r="Q174" s="90" t="s">
        <v>425</v>
      </c>
      <c r="R174" s="96">
        <v>396699.04999999993</v>
      </c>
      <c r="T174" s="90"/>
      <c r="U174" s="90"/>
      <c r="AF174" s="96"/>
      <c r="AG174" s="96"/>
    </row>
    <row r="175" spans="2:37" x14ac:dyDescent="0.25">
      <c r="B175" s="90" t="s">
        <v>210</v>
      </c>
      <c r="C175" s="90" t="s">
        <v>211</v>
      </c>
      <c r="D175" s="89">
        <v>635.68000000000006</v>
      </c>
      <c r="G175">
        <v>635.68000000000006</v>
      </c>
      <c r="H175" s="89"/>
      <c r="J175" s="223" t="s">
        <v>586</v>
      </c>
      <c r="K175" s="223" t="s">
        <v>587</v>
      </c>
      <c r="L175" s="96"/>
      <c r="M175" s="96">
        <v>3079.56</v>
      </c>
      <c r="P175" s="90" t="s">
        <v>512</v>
      </c>
      <c r="Q175" s="90" t="s">
        <v>513</v>
      </c>
      <c r="R175" s="96">
        <v>247479.32</v>
      </c>
      <c r="T175" s="90"/>
      <c r="U175" s="90"/>
      <c r="V175" s="96"/>
    </row>
    <row r="176" spans="2:37" x14ac:dyDescent="0.25">
      <c r="B176" s="90" t="s">
        <v>1000</v>
      </c>
      <c r="C176" s="90" t="s">
        <v>1002</v>
      </c>
      <c r="D176" s="89">
        <v>2597.9499999999998</v>
      </c>
      <c r="F176" s="174">
        <v>200</v>
      </c>
      <c r="G176" s="89"/>
      <c r="H176" s="89">
        <v>2397.9499999999998</v>
      </c>
      <c r="J176" s="223" t="s">
        <v>520</v>
      </c>
      <c r="K176" s="223" t="s">
        <v>521</v>
      </c>
      <c r="L176" s="96">
        <v>5821.26</v>
      </c>
      <c r="M176" s="96"/>
      <c r="P176" s="90" t="s">
        <v>120</v>
      </c>
      <c r="Q176" s="90" t="s">
        <v>121</v>
      </c>
      <c r="R176" s="96">
        <v>957095.66</v>
      </c>
      <c r="T176" s="90"/>
      <c r="U176" s="90"/>
      <c r="V176" s="96"/>
      <c r="AF176" s="96"/>
    </row>
    <row r="177" spans="2:38" x14ac:dyDescent="0.25">
      <c r="B177" s="90" t="s">
        <v>108</v>
      </c>
      <c r="C177" s="90" t="s">
        <v>109</v>
      </c>
      <c r="D177" s="89">
        <v>225286.03</v>
      </c>
      <c r="G177" s="89">
        <v>33954.22</v>
      </c>
      <c r="H177" s="89">
        <v>191331.81</v>
      </c>
      <c r="J177" s="223" t="s">
        <v>266</v>
      </c>
      <c r="K177" s="223" t="s">
        <v>267</v>
      </c>
      <c r="L177" s="96">
        <v>12180.59</v>
      </c>
      <c r="M177" s="96">
        <v>101925.93</v>
      </c>
      <c r="P177" s="90" t="s">
        <v>284</v>
      </c>
      <c r="Q177" s="90" t="s">
        <v>285</v>
      </c>
      <c r="R177" s="96">
        <v>717439.36</v>
      </c>
      <c r="T177" s="90"/>
      <c r="U177" s="90"/>
      <c r="V177" s="96"/>
      <c r="AF177" s="96"/>
      <c r="AK177" s="96"/>
    </row>
    <row r="178" spans="2:38" x14ac:dyDescent="0.25">
      <c r="B178" s="90" t="s">
        <v>264</v>
      </c>
      <c r="C178" s="90" t="s">
        <v>265</v>
      </c>
      <c r="D178" s="89">
        <v>13200.4</v>
      </c>
      <c r="G178" s="89">
        <v>59.660000000000004</v>
      </c>
      <c r="H178">
        <v>13140.74</v>
      </c>
      <c r="J178" s="223" t="s">
        <v>176</v>
      </c>
      <c r="K178" s="223" t="s">
        <v>1184</v>
      </c>
      <c r="L178" s="96">
        <v>7702.99</v>
      </c>
      <c r="M178" s="96">
        <v>142429.79999999999</v>
      </c>
      <c r="P178" s="90" t="s">
        <v>296</v>
      </c>
      <c r="Q178" s="90" t="s">
        <v>297</v>
      </c>
      <c r="R178" s="96">
        <v>792086.77</v>
      </c>
      <c r="T178" s="90"/>
      <c r="U178" s="90"/>
      <c r="AF178" s="96"/>
      <c r="AG178" s="96"/>
      <c r="AH178" s="96"/>
    </row>
    <row r="179" spans="2:38" x14ac:dyDescent="0.25">
      <c r="B179" s="90" t="s">
        <v>468</v>
      </c>
      <c r="C179" s="90" t="s">
        <v>469</v>
      </c>
      <c r="D179" s="89">
        <v>28474.3</v>
      </c>
      <c r="G179" s="89"/>
      <c r="H179" s="89">
        <v>28474.3</v>
      </c>
      <c r="J179" s="223" t="s">
        <v>160</v>
      </c>
      <c r="K179" s="223" t="s">
        <v>161</v>
      </c>
      <c r="L179" s="96">
        <v>41073.31</v>
      </c>
      <c r="M179" s="96"/>
      <c r="P179" s="90" t="s">
        <v>428</v>
      </c>
      <c r="Q179" s="90" t="s">
        <v>429</v>
      </c>
      <c r="R179" s="96">
        <v>210408.89</v>
      </c>
      <c r="T179" s="90"/>
      <c r="U179" s="90"/>
      <c r="V179" s="96"/>
      <c r="AF179" s="96"/>
    </row>
    <row r="180" spans="2:38" x14ac:dyDescent="0.25">
      <c r="B180" s="90" t="s">
        <v>430</v>
      </c>
      <c r="C180" s="90" t="s">
        <v>431</v>
      </c>
      <c r="D180" s="89">
        <v>62599.06</v>
      </c>
      <c r="G180">
        <v>62599.06</v>
      </c>
      <c r="H180" s="89"/>
      <c r="J180" s="223" t="s">
        <v>148</v>
      </c>
      <c r="K180" s="223" t="s">
        <v>149</v>
      </c>
      <c r="L180" s="96">
        <v>7218.4</v>
      </c>
      <c r="M180" s="96">
        <v>139136.6</v>
      </c>
      <c r="P180" s="90" t="s">
        <v>360</v>
      </c>
      <c r="Q180" s="90" t="s">
        <v>361</v>
      </c>
      <c r="R180" s="96">
        <v>525823.49000000011</v>
      </c>
      <c r="T180" s="90"/>
      <c r="U180" s="90"/>
      <c r="V180" s="96"/>
    </row>
    <row r="181" spans="2:38" x14ac:dyDescent="0.25">
      <c r="B181" s="90" t="s">
        <v>58</v>
      </c>
      <c r="C181" s="90" t="s">
        <v>59</v>
      </c>
      <c r="D181" s="89">
        <v>1328108.4900000007</v>
      </c>
      <c r="G181">
        <v>874464.4600000002</v>
      </c>
      <c r="H181" s="89">
        <v>453644.03</v>
      </c>
      <c r="J181" s="223" t="s">
        <v>98</v>
      </c>
      <c r="K181" s="223" t="s">
        <v>99</v>
      </c>
      <c r="L181" s="96">
        <v>7623.77</v>
      </c>
      <c r="M181" s="96">
        <v>169947.7</v>
      </c>
      <c r="P181" s="90" t="s">
        <v>282</v>
      </c>
      <c r="Q181" s="90" t="s">
        <v>283</v>
      </c>
      <c r="R181" s="96">
        <v>733158.42</v>
      </c>
      <c r="T181" s="90"/>
      <c r="U181" s="90"/>
    </row>
    <row r="182" spans="2:38" x14ac:dyDescent="0.25">
      <c r="B182" s="90" t="s">
        <v>124</v>
      </c>
      <c r="C182" s="90" t="s">
        <v>125</v>
      </c>
      <c r="D182" s="89">
        <v>38566.89</v>
      </c>
      <c r="H182" s="89">
        <v>38566.89</v>
      </c>
      <c r="J182" s="223" t="s">
        <v>138</v>
      </c>
      <c r="K182" s="223" t="s">
        <v>139</v>
      </c>
      <c r="L182" s="96"/>
      <c r="M182" s="96"/>
      <c r="N182">
        <v>1549.71</v>
      </c>
      <c r="P182" s="90" t="s">
        <v>372</v>
      </c>
      <c r="Q182" s="90" t="s">
        <v>373</v>
      </c>
      <c r="R182" s="96">
        <v>467650.55</v>
      </c>
      <c r="T182" s="90"/>
      <c r="U182" s="90"/>
      <c r="V182" s="96"/>
      <c r="Z182" s="96"/>
      <c r="AD182" s="96"/>
    </row>
    <row r="183" spans="2:38" x14ac:dyDescent="0.25">
      <c r="B183" s="90" t="s">
        <v>212</v>
      </c>
      <c r="C183" s="90" t="s">
        <v>213</v>
      </c>
      <c r="D183" s="89">
        <v>34495.560000000005</v>
      </c>
      <c r="H183" s="89">
        <v>34495.560000000005</v>
      </c>
      <c r="J183" s="223" t="s">
        <v>246</v>
      </c>
      <c r="K183" s="223" t="s">
        <v>247</v>
      </c>
      <c r="L183" s="96">
        <v>5912.05</v>
      </c>
      <c r="M183" s="96">
        <v>46754.87</v>
      </c>
      <c r="P183" s="90" t="s">
        <v>1257</v>
      </c>
      <c r="Q183" s="90" t="s">
        <v>1258</v>
      </c>
      <c r="R183" s="96">
        <v>134884.31</v>
      </c>
      <c r="T183" s="90"/>
      <c r="U183" s="90"/>
      <c r="V183" s="96"/>
      <c r="AA183" s="96"/>
    </row>
    <row r="184" spans="2:38" x14ac:dyDescent="0.25">
      <c r="B184" s="90" t="s">
        <v>172</v>
      </c>
      <c r="C184" s="90" t="s">
        <v>173</v>
      </c>
      <c r="D184" s="89">
        <v>8220.2300000000014</v>
      </c>
      <c r="H184" s="89">
        <v>8220.2300000000014</v>
      </c>
      <c r="J184" s="223" t="s">
        <v>164</v>
      </c>
      <c r="K184" s="223" t="s">
        <v>165</v>
      </c>
      <c r="L184" s="96">
        <v>3305.93</v>
      </c>
      <c r="M184" s="96">
        <v>39952.720000000001</v>
      </c>
      <c r="N184">
        <v>550</v>
      </c>
      <c r="P184" s="90" t="s">
        <v>290</v>
      </c>
      <c r="Q184" s="90" t="s">
        <v>291</v>
      </c>
      <c r="R184" s="96">
        <v>688938.04</v>
      </c>
      <c r="T184" s="90"/>
      <c r="U184" s="90"/>
    </row>
    <row r="185" spans="2:38" x14ac:dyDescent="0.25">
      <c r="B185" s="90" t="s">
        <v>236</v>
      </c>
      <c r="C185" s="90" t="s">
        <v>237</v>
      </c>
      <c r="D185" s="89">
        <v>254920.37</v>
      </c>
      <c r="G185">
        <v>1715.21</v>
      </c>
      <c r="H185" s="89">
        <v>253205.16000000003</v>
      </c>
      <c r="P185" s="90" t="s">
        <v>364</v>
      </c>
      <c r="Q185" s="90" t="s">
        <v>365</v>
      </c>
      <c r="R185" s="96">
        <v>446758.29000000004</v>
      </c>
      <c r="T185" s="90"/>
      <c r="U185" s="90"/>
      <c r="AC185" s="96"/>
    </row>
    <row r="186" spans="2:38" x14ac:dyDescent="0.25">
      <c r="B186" s="90" t="s">
        <v>224</v>
      </c>
      <c r="C186" s="90" t="s">
        <v>225</v>
      </c>
      <c r="D186" s="89">
        <v>28380.409999999996</v>
      </c>
      <c r="G186" s="89"/>
      <c r="H186">
        <v>28380.409999999996</v>
      </c>
      <c r="P186" s="90" t="s">
        <v>358</v>
      </c>
      <c r="Q186" s="90" t="s">
        <v>359</v>
      </c>
      <c r="R186" s="96">
        <v>465890.99</v>
      </c>
      <c r="T186" s="90"/>
      <c r="U186" s="90"/>
      <c r="V186" s="96"/>
    </row>
    <row r="187" spans="2:38" x14ac:dyDescent="0.25">
      <c r="B187" s="90" t="s">
        <v>470</v>
      </c>
      <c r="C187" s="90" t="s">
        <v>471</v>
      </c>
      <c r="D187" s="89">
        <v>10348.619999999999</v>
      </c>
      <c r="G187" s="89">
        <v>10348.619999999999</v>
      </c>
      <c r="H187" s="89"/>
      <c r="P187" s="90" t="s">
        <v>394</v>
      </c>
      <c r="Q187" s="90" t="s">
        <v>395</v>
      </c>
      <c r="R187" s="96">
        <v>214428.27000000002</v>
      </c>
      <c r="T187" s="90"/>
      <c r="U187" s="90"/>
      <c r="AF187" s="96"/>
    </row>
    <row r="188" spans="2:38" x14ac:dyDescent="0.25">
      <c r="B188" s="90" t="s">
        <v>186</v>
      </c>
      <c r="C188" s="90" t="s">
        <v>187</v>
      </c>
      <c r="D188" s="89">
        <v>7594.59</v>
      </c>
      <c r="G188" s="89"/>
      <c r="H188" s="89">
        <v>7594.59</v>
      </c>
      <c r="P188" s="90" t="s">
        <v>418</v>
      </c>
      <c r="Q188" s="90" t="s">
        <v>419</v>
      </c>
      <c r="R188" s="96">
        <v>326252.06</v>
      </c>
      <c r="T188" s="90"/>
      <c r="U188" s="90"/>
      <c r="V188" s="96"/>
      <c r="AF188" s="96"/>
      <c r="AK188" s="96"/>
    </row>
    <row r="189" spans="2:38" x14ac:dyDescent="0.25">
      <c r="B189" s="90" t="s">
        <v>476</v>
      </c>
      <c r="C189" s="90" t="s">
        <v>477</v>
      </c>
      <c r="D189" s="89">
        <v>35989.370000000003</v>
      </c>
      <c r="G189" s="89">
        <v>35989.370000000003</v>
      </c>
      <c r="P189" s="90" t="s">
        <v>558</v>
      </c>
      <c r="Q189" s="90" t="s">
        <v>559</v>
      </c>
      <c r="R189" s="96">
        <v>124651.32</v>
      </c>
      <c r="T189" s="90"/>
      <c r="U189" s="90"/>
      <c r="V189" s="96"/>
      <c r="AF189" s="96"/>
    </row>
    <row r="190" spans="2:38" x14ac:dyDescent="0.25">
      <c r="B190" s="90" t="s">
        <v>522</v>
      </c>
      <c r="C190" s="90" t="s">
        <v>523</v>
      </c>
      <c r="D190" s="89">
        <v>64019.18</v>
      </c>
      <c r="G190" s="89">
        <v>64019.18</v>
      </c>
      <c r="P190" s="90" t="s">
        <v>286</v>
      </c>
      <c r="Q190" s="90" t="s">
        <v>287</v>
      </c>
      <c r="R190" s="96">
        <v>894188.97</v>
      </c>
      <c r="T190" s="90"/>
      <c r="U190" s="90"/>
    </row>
    <row r="191" spans="2:38" x14ac:dyDescent="0.25">
      <c r="B191" s="90" t="s">
        <v>584</v>
      </c>
      <c r="C191" s="90" t="s">
        <v>585</v>
      </c>
      <c r="D191" s="89">
        <v>10916.510000000002</v>
      </c>
      <c r="G191" s="89">
        <v>10916.510000000002</v>
      </c>
      <c r="P191" s="90" t="s">
        <v>452</v>
      </c>
      <c r="Q191" s="90" t="s">
        <v>453</v>
      </c>
      <c r="R191" s="96">
        <v>230798.35</v>
      </c>
      <c r="T191" s="90"/>
      <c r="U191" s="90"/>
    </row>
    <row r="192" spans="2:38" x14ac:dyDescent="0.25">
      <c r="B192" s="90" t="s">
        <v>504</v>
      </c>
      <c r="C192" s="90" t="s">
        <v>505</v>
      </c>
      <c r="D192" s="89">
        <v>213348.9</v>
      </c>
      <c r="G192" s="89">
        <v>213348.9</v>
      </c>
      <c r="P192" s="90" t="s">
        <v>440</v>
      </c>
      <c r="Q192" s="90" t="s">
        <v>441</v>
      </c>
      <c r="R192" s="96">
        <v>336725.87</v>
      </c>
      <c r="T192" s="90"/>
      <c r="U192" s="90"/>
      <c r="W192" s="96"/>
      <c r="Z192" s="96"/>
      <c r="AA192" s="96"/>
      <c r="AL192" s="96"/>
    </row>
    <row r="193" spans="2:35" x14ac:dyDescent="0.25">
      <c r="B193" s="90" t="s">
        <v>532</v>
      </c>
      <c r="C193" s="90" t="s">
        <v>533</v>
      </c>
      <c r="D193" s="89">
        <v>36207.03</v>
      </c>
      <c r="G193" s="89">
        <v>36207.03</v>
      </c>
      <c r="P193" s="90" t="s">
        <v>170</v>
      </c>
      <c r="Q193" s="90" t="s">
        <v>171</v>
      </c>
      <c r="R193" s="96">
        <v>1493663.69</v>
      </c>
      <c r="T193" s="90"/>
      <c r="U193" s="90"/>
    </row>
    <row r="194" spans="2:35" x14ac:dyDescent="0.25">
      <c r="B194" s="90" t="s">
        <v>486</v>
      </c>
      <c r="C194" s="90" t="s">
        <v>487</v>
      </c>
      <c r="D194" s="89">
        <v>50437.229999999996</v>
      </c>
      <c r="G194" s="89">
        <v>50437.229999999996</v>
      </c>
      <c r="P194" s="90" t="s">
        <v>18</v>
      </c>
      <c r="Q194" s="90" t="s">
        <v>19</v>
      </c>
      <c r="R194" s="96">
        <v>10377046.969999999</v>
      </c>
      <c r="T194" s="90"/>
      <c r="U194" s="90"/>
    </row>
    <row r="195" spans="2:35" x14ac:dyDescent="0.25">
      <c r="B195" s="90" t="s">
        <v>492</v>
      </c>
      <c r="C195" s="90" t="s">
        <v>493</v>
      </c>
      <c r="D195" s="89">
        <v>34142.14</v>
      </c>
      <c r="G195">
        <v>34142.14</v>
      </c>
      <c r="H195" s="89"/>
      <c r="P195" s="90" t="s">
        <v>10</v>
      </c>
      <c r="Q195" s="90" t="s">
        <v>11</v>
      </c>
      <c r="R195" s="96">
        <v>21671209.290000003</v>
      </c>
      <c r="T195" s="90"/>
      <c r="U195" s="90"/>
      <c r="V195" s="96"/>
      <c r="AF195" s="96"/>
    </row>
    <row r="196" spans="2:35" x14ac:dyDescent="0.25">
      <c r="B196" s="90" t="s">
        <v>520</v>
      </c>
      <c r="C196" s="90" t="s">
        <v>521</v>
      </c>
      <c r="D196" s="89">
        <v>3212.06</v>
      </c>
      <c r="G196" s="89">
        <v>3212.06</v>
      </c>
      <c r="H196" s="89"/>
      <c r="P196" s="90" t="s">
        <v>484</v>
      </c>
      <c r="Q196" s="90" t="s">
        <v>485</v>
      </c>
      <c r="R196" s="96">
        <v>92524.28</v>
      </c>
      <c r="T196" s="90"/>
      <c r="U196" s="90"/>
      <c r="V196" s="96"/>
      <c r="Y196" s="96"/>
      <c r="AC196" s="96"/>
      <c r="AD196" s="96"/>
      <c r="AF196" s="96"/>
      <c r="AG196" s="96"/>
    </row>
    <row r="197" spans="2:35" x14ac:dyDescent="0.25">
      <c r="B197" s="90" t="s">
        <v>356</v>
      </c>
      <c r="C197" s="90" t="s">
        <v>357</v>
      </c>
      <c r="D197" s="89">
        <v>3634.61</v>
      </c>
      <c r="F197" s="180"/>
      <c r="H197" s="89">
        <v>3634.61</v>
      </c>
      <c r="P197" s="90" t="s">
        <v>112</v>
      </c>
      <c r="Q197" s="90" t="s">
        <v>113</v>
      </c>
      <c r="R197" s="96">
        <v>3447988.5900000003</v>
      </c>
      <c r="T197" s="90"/>
      <c r="U197" s="90"/>
      <c r="V197" s="96"/>
      <c r="AD197" s="96"/>
      <c r="AI197" s="96"/>
    </row>
    <row r="198" spans="2:35" x14ac:dyDescent="0.25">
      <c r="B198" s="90" t="s">
        <v>266</v>
      </c>
      <c r="C198" s="90" t="s">
        <v>267</v>
      </c>
      <c r="D198" s="89">
        <v>4166</v>
      </c>
      <c r="H198" s="89">
        <v>4166</v>
      </c>
      <c r="P198" s="90" t="s">
        <v>74</v>
      </c>
      <c r="Q198" s="90" t="s">
        <v>75</v>
      </c>
      <c r="R198" s="96">
        <v>4420404.7300000004</v>
      </c>
      <c r="T198" s="90"/>
      <c r="U198" s="90"/>
      <c r="V198" s="96"/>
      <c r="AD198" s="96"/>
      <c r="AF198" s="96"/>
    </row>
    <row r="199" spans="2:35" x14ac:dyDescent="0.25">
      <c r="B199" s="90" t="s">
        <v>40</v>
      </c>
      <c r="C199" s="90" t="s">
        <v>41</v>
      </c>
      <c r="D199" s="89">
        <v>523535.58000000007</v>
      </c>
      <c r="G199">
        <v>457585.80000000005</v>
      </c>
      <c r="H199" s="89">
        <v>65949.78</v>
      </c>
      <c r="P199" s="90" t="s">
        <v>248</v>
      </c>
      <c r="Q199" s="90" t="s">
        <v>249</v>
      </c>
      <c r="R199" s="96">
        <v>796470.64000000013</v>
      </c>
      <c r="T199" s="90"/>
      <c r="U199" s="90"/>
      <c r="V199" s="96"/>
      <c r="Y199" s="96"/>
      <c r="AF199" s="96"/>
    </row>
    <row r="200" spans="2:35" x14ac:dyDescent="0.25">
      <c r="B200" s="90" t="s">
        <v>160</v>
      </c>
      <c r="C200" s="90" t="s">
        <v>161</v>
      </c>
      <c r="D200" s="89">
        <v>58573.16</v>
      </c>
      <c r="F200" s="180">
        <v>36607.97</v>
      </c>
      <c r="H200">
        <v>21965.19</v>
      </c>
      <c r="P200" s="90" t="s">
        <v>198</v>
      </c>
      <c r="Q200" s="90" t="s">
        <v>199</v>
      </c>
      <c r="R200" s="96">
        <v>1402364.39</v>
      </c>
      <c r="T200" s="90"/>
      <c r="U200" s="90"/>
      <c r="V200" s="96"/>
      <c r="Z200" s="96"/>
    </row>
    <row r="201" spans="2:35" x14ac:dyDescent="0.25">
      <c r="B201" s="90" t="s">
        <v>310</v>
      </c>
      <c r="C201" s="90" t="s">
        <v>311</v>
      </c>
      <c r="D201" s="89">
        <v>59987.24</v>
      </c>
      <c r="G201" s="89"/>
      <c r="H201" s="89">
        <v>59987.24</v>
      </c>
      <c r="P201" s="90" t="s">
        <v>56</v>
      </c>
      <c r="Q201" s="90" t="s">
        <v>57</v>
      </c>
      <c r="R201" s="96">
        <v>9570532.8600000013</v>
      </c>
      <c r="T201" s="90"/>
      <c r="U201" s="90"/>
    </row>
    <row r="202" spans="2:35" x14ac:dyDescent="0.25">
      <c r="B202" s="90" t="s">
        <v>148</v>
      </c>
      <c r="C202" s="90" t="s">
        <v>149</v>
      </c>
      <c r="D202" s="89">
        <v>3818.62</v>
      </c>
      <c r="G202" s="89"/>
      <c r="H202" s="89">
        <v>3818.62</v>
      </c>
      <c r="P202" s="90" t="s">
        <v>76</v>
      </c>
      <c r="Q202" s="90" t="s">
        <v>77</v>
      </c>
      <c r="R202" s="96">
        <v>4002721.79</v>
      </c>
      <c r="T202" s="90"/>
      <c r="U202" s="90"/>
      <c r="W202" s="96"/>
      <c r="Z202" s="96"/>
    </row>
    <row r="203" spans="2:35" x14ac:dyDescent="0.25">
      <c r="B203" t="s">
        <v>98</v>
      </c>
      <c r="C203" t="s">
        <v>99</v>
      </c>
      <c r="D203">
        <v>15440.19</v>
      </c>
      <c r="H203">
        <v>15440.19</v>
      </c>
      <c r="P203" s="90" t="s">
        <v>84</v>
      </c>
      <c r="Q203" s="90" t="s">
        <v>85</v>
      </c>
      <c r="R203" s="96">
        <v>5650928.96</v>
      </c>
      <c r="T203" s="90"/>
      <c r="U203" s="90"/>
      <c r="V203" s="96"/>
      <c r="AF203" s="96"/>
      <c r="AG203" s="96"/>
    </row>
    <row r="204" spans="2:35" x14ac:dyDescent="0.25">
      <c r="B204" s="223" t="s">
        <v>138</v>
      </c>
      <c r="C204" s="223" t="s">
        <v>139</v>
      </c>
      <c r="D204" s="89">
        <v>2353198.54</v>
      </c>
      <c r="G204">
        <v>2275723.5700000003</v>
      </c>
      <c r="H204" s="89">
        <v>77474.97</v>
      </c>
      <c r="P204" s="90" t="s">
        <v>34</v>
      </c>
      <c r="Q204" s="90" t="s">
        <v>35</v>
      </c>
      <c r="R204" s="96">
        <v>13296625.82</v>
      </c>
      <c r="T204" s="90"/>
      <c r="U204" s="90"/>
      <c r="Z204" s="96"/>
    </row>
    <row r="205" spans="2:35" x14ac:dyDescent="0.25">
      <c r="B205" s="223" t="s">
        <v>246</v>
      </c>
      <c r="C205" s="223" t="s">
        <v>247</v>
      </c>
      <c r="D205" s="89">
        <v>880918.99</v>
      </c>
      <c r="G205">
        <v>869339.73</v>
      </c>
      <c r="H205" s="89">
        <v>11579.26</v>
      </c>
      <c r="P205" s="90" t="s">
        <v>222</v>
      </c>
      <c r="Q205" s="90" t="s">
        <v>223</v>
      </c>
      <c r="R205" s="96">
        <v>1344447.76</v>
      </c>
      <c r="T205" s="90"/>
      <c r="U205" s="90"/>
      <c r="Z205" s="96"/>
    </row>
    <row r="206" spans="2:35" x14ac:dyDescent="0.25">
      <c r="B206" s="223" t="s">
        <v>116</v>
      </c>
      <c r="C206" s="223" t="s">
        <v>1183</v>
      </c>
      <c r="D206" s="89">
        <v>144964.28999999998</v>
      </c>
      <c r="G206">
        <v>94867.5</v>
      </c>
      <c r="H206" s="89">
        <v>50096.789999999994</v>
      </c>
      <c r="P206" s="90" t="s">
        <v>156</v>
      </c>
      <c r="Q206" s="90" t="s">
        <v>157</v>
      </c>
      <c r="R206" s="96">
        <v>2147929.8399999994</v>
      </c>
      <c r="T206" s="90"/>
      <c r="U206" s="90"/>
      <c r="AF206" s="96"/>
    </row>
    <row r="207" spans="2:35" x14ac:dyDescent="0.25">
      <c r="B207" s="223" t="s">
        <v>302</v>
      </c>
      <c r="C207" s="223" t="s">
        <v>303</v>
      </c>
      <c r="D207" s="89">
        <v>65573.41</v>
      </c>
      <c r="G207">
        <v>60631.759999999995</v>
      </c>
      <c r="H207" s="89">
        <v>4941.6500000000005</v>
      </c>
      <c r="P207" s="90" t="s">
        <v>152</v>
      </c>
      <c r="Q207" s="90" t="s">
        <v>153</v>
      </c>
      <c r="R207" s="96">
        <v>2437902.9499999997</v>
      </c>
      <c r="T207" s="90"/>
      <c r="U207" s="90"/>
    </row>
    <row r="208" spans="2:35" x14ac:dyDescent="0.25">
      <c r="P208" s="90" t="s">
        <v>1154</v>
      </c>
      <c r="Q208" s="90" t="s">
        <v>1155</v>
      </c>
      <c r="R208" s="96">
        <v>572226.11</v>
      </c>
      <c r="T208" s="90"/>
      <c r="U208" s="90"/>
    </row>
    <row r="209" spans="16:36" x14ac:dyDescent="0.25">
      <c r="P209" s="90" t="s">
        <v>1193</v>
      </c>
      <c r="Q209" s="90" t="s">
        <v>1192</v>
      </c>
      <c r="R209" s="96">
        <v>209898.02000000002</v>
      </c>
      <c r="T209" s="90"/>
      <c r="U209" s="90"/>
      <c r="V209" s="96"/>
      <c r="W209" s="96"/>
      <c r="AD209" s="96"/>
      <c r="AF209" s="96"/>
      <c r="AG209" s="96"/>
      <c r="AH209" s="96"/>
      <c r="AI209" s="96"/>
      <c r="AJ209" s="96"/>
    </row>
    <row r="210" spans="16:36" x14ac:dyDescent="0.25">
      <c r="P210" s="90" t="s">
        <v>514</v>
      </c>
      <c r="Q210" s="90" t="s">
        <v>515</v>
      </c>
      <c r="R210" s="96">
        <v>54365.04</v>
      </c>
      <c r="T210" s="90"/>
      <c r="U210" s="90"/>
      <c r="V210" s="96"/>
      <c r="W210" s="96"/>
      <c r="Z210" s="96"/>
      <c r="AD210" s="96"/>
    </row>
    <row r="211" spans="16:36" x14ac:dyDescent="0.25">
      <c r="P211" s="90" t="s">
        <v>328</v>
      </c>
      <c r="Q211" s="90" t="s">
        <v>329</v>
      </c>
      <c r="R211" s="96">
        <v>425443.68</v>
      </c>
      <c r="T211" s="90"/>
      <c r="U211" s="90"/>
      <c r="Z211" s="96"/>
    </row>
    <row r="212" spans="16:36" x14ac:dyDescent="0.25">
      <c r="P212" s="90" t="s">
        <v>450</v>
      </c>
      <c r="Q212" s="90" t="s">
        <v>451</v>
      </c>
      <c r="R212" s="96">
        <v>278316.12</v>
      </c>
      <c r="T212" s="90"/>
      <c r="U212" s="90"/>
    </row>
    <row r="213" spans="16:36" x14ac:dyDescent="0.25">
      <c r="P213" s="90" t="s">
        <v>320</v>
      </c>
      <c r="Q213" s="90" t="s">
        <v>321</v>
      </c>
      <c r="R213" s="96">
        <v>547557.26</v>
      </c>
      <c r="T213" s="90"/>
      <c r="U213" s="90"/>
      <c r="V213" s="96"/>
    </row>
    <row r="214" spans="16:36" x14ac:dyDescent="0.25">
      <c r="P214" s="90" t="s">
        <v>380</v>
      </c>
      <c r="Q214" s="90" t="s">
        <v>381</v>
      </c>
      <c r="R214" s="96">
        <v>593198.64</v>
      </c>
      <c r="T214" s="90"/>
      <c r="U214" s="90"/>
      <c r="V214" s="96"/>
    </row>
    <row r="215" spans="16:36" x14ac:dyDescent="0.25">
      <c r="P215" s="90" t="s">
        <v>154</v>
      </c>
      <c r="Q215" s="90" t="s">
        <v>155</v>
      </c>
      <c r="R215" s="96">
        <v>2608171.4500000002</v>
      </c>
      <c r="T215" s="90"/>
      <c r="U215" s="90"/>
      <c r="AF215" s="96"/>
      <c r="AH215" s="96"/>
    </row>
    <row r="216" spans="16:36" x14ac:dyDescent="0.25">
      <c r="P216" s="90" t="s">
        <v>136</v>
      </c>
      <c r="Q216" s="90" t="s">
        <v>137</v>
      </c>
      <c r="R216" s="96">
        <v>3390570.11</v>
      </c>
      <c r="T216" s="90"/>
      <c r="U216" s="90"/>
      <c r="V216" s="96"/>
    </row>
    <row r="217" spans="16:36" x14ac:dyDescent="0.25">
      <c r="P217" s="90" t="s">
        <v>190</v>
      </c>
      <c r="Q217" s="90" t="s">
        <v>191</v>
      </c>
      <c r="R217" s="96">
        <v>1522767.34</v>
      </c>
      <c r="T217" s="90"/>
      <c r="U217" s="90"/>
      <c r="AA217" s="96"/>
    </row>
    <row r="218" spans="16:36" x14ac:dyDescent="0.25">
      <c r="P218" s="90" t="s">
        <v>378</v>
      </c>
      <c r="Q218" s="90" t="s">
        <v>379</v>
      </c>
      <c r="R218" s="96">
        <v>471169.57</v>
      </c>
      <c r="T218" s="90"/>
      <c r="U218" s="90"/>
      <c r="V218" s="96"/>
      <c r="Y218" s="96"/>
    </row>
    <row r="219" spans="16:36" x14ac:dyDescent="0.25">
      <c r="P219" s="90" t="s">
        <v>396</v>
      </c>
      <c r="Q219" s="90" t="s">
        <v>397</v>
      </c>
      <c r="R219" s="96">
        <v>249230.83</v>
      </c>
      <c r="T219" s="90"/>
      <c r="U219" s="90"/>
      <c r="Z219" s="96"/>
    </row>
    <row r="220" spans="16:36" x14ac:dyDescent="0.25">
      <c r="P220" s="90" t="s">
        <v>94</v>
      </c>
      <c r="Q220" s="90" t="s">
        <v>95</v>
      </c>
      <c r="R220" s="96">
        <v>4689511.63</v>
      </c>
      <c r="T220" s="90"/>
      <c r="U220" s="90"/>
      <c r="AD220" s="96"/>
    </row>
    <row r="221" spans="16:36" x14ac:dyDescent="0.25">
      <c r="P221" s="90" t="s">
        <v>536</v>
      </c>
      <c r="Q221" s="90" t="s">
        <v>537</v>
      </c>
      <c r="R221" s="96">
        <v>120061.85</v>
      </c>
      <c r="T221" s="90"/>
      <c r="U221" s="90"/>
      <c r="Z221" s="96"/>
    </row>
    <row r="222" spans="16:36" x14ac:dyDescent="0.25">
      <c r="P222" s="90" t="s">
        <v>560</v>
      </c>
      <c r="Q222" s="90" t="s">
        <v>561</v>
      </c>
      <c r="R222" s="96">
        <v>1863.5500000000002</v>
      </c>
      <c r="T222" s="90"/>
      <c r="U222" s="90"/>
    </row>
    <row r="223" spans="16:36" x14ac:dyDescent="0.25">
      <c r="P223" s="90" t="s">
        <v>600</v>
      </c>
      <c r="Q223" s="90" t="s">
        <v>601</v>
      </c>
      <c r="R223" s="96">
        <v>102005.51000000001</v>
      </c>
      <c r="T223" s="90"/>
      <c r="U223" s="90"/>
    </row>
    <row r="224" spans="16:36" x14ac:dyDescent="0.25">
      <c r="P224" s="90" t="s">
        <v>306</v>
      </c>
      <c r="Q224" s="90" t="s">
        <v>307</v>
      </c>
      <c r="R224" s="96">
        <v>521276.57999999996</v>
      </c>
      <c r="T224" s="90"/>
      <c r="U224" s="90"/>
      <c r="V224" s="96"/>
    </row>
    <row r="225" spans="16:38" x14ac:dyDescent="0.25">
      <c r="P225" s="90" t="s">
        <v>30</v>
      </c>
      <c r="Q225" s="90" t="s">
        <v>31</v>
      </c>
      <c r="R225" s="96">
        <v>11227160.190000003</v>
      </c>
      <c r="T225" s="90"/>
      <c r="U225" s="90"/>
    </row>
    <row r="226" spans="16:38" x14ac:dyDescent="0.25">
      <c r="P226" s="90" t="s">
        <v>78</v>
      </c>
      <c r="Q226" s="90" t="s">
        <v>79</v>
      </c>
      <c r="R226" s="96">
        <v>5553075.0799999991</v>
      </c>
      <c r="T226" s="90"/>
      <c r="U226" s="90"/>
    </row>
    <row r="227" spans="16:38" x14ac:dyDescent="0.25">
      <c r="P227" s="90" t="s">
        <v>46</v>
      </c>
      <c r="Q227" s="90" t="s">
        <v>47</v>
      </c>
      <c r="R227" s="96">
        <v>8735314.0300000012</v>
      </c>
      <c r="T227" s="90"/>
      <c r="U227" s="90"/>
    </row>
    <row r="228" spans="16:38" x14ac:dyDescent="0.25">
      <c r="P228" s="90" t="s">
        <v>24</v>
      </c>
      <c r="Q228" s="90" t="s">
        <v>25</v>
      </c>
      <c r="R228" s="96">
        <v>8824096.629999999</v>
      </c>
      <c r="T228" s="90"/>
      <c r="U228" s="90"/>
      <c r="AA228" s="96"/>
    </row>
    <row r="229" spans="16:38" x14ac:dyDescent="0.25">
      <c r="P229" s="90" t="s">
        <v>114</v>
      </c>
      <c r="Q229" s="90" t="s">
        <v>115</v>
      </c>
      <c r="R229" s="96">
        <v>3011996.36</v>
      </c>
      <c r="T229" s="90"/>
      <c r="U229" s="90"/>
    </row>
    <row r="230" spans="16:38" x14ac:dyDescent="0.25">
      <c r="P230" s="90" t="s">
        <v>62</v>
      </c>
      <c r="Q230" s="90" t="s">
        <v>63</v>
      </c>
      <c r="R230" s="96">
        <v>6403170.5699999994</v>
      </c>
      <c r="T230" s="90"/>
      <c r="U230" s="90"/>
    </row>
    <row r="231" spans="16:38" x14ac:dyDescent="0.25">
      <c r="P231" s="90" t="s">
        <v>582</v>
      </c>
      <c r="Q231" s="90" t="s">
        <v>583</v>
      </c>
      <c r="R231" s="96">
        <v>16709.550000000003</v>
      </c>
      <c r="T231" s="90"/>
      <c r="U231" s="90"/>
    </row>
    <row r="232" spans="16:38" x14ac:dyDescent="0.25">
      <c r="P232" s="90" t="s">
        <v>96</v>
      </c>
      <c r="Q232" s="90" t="s">
        <v>97</v>
      </c>
      <c r="R232" s="96">
        <v>2316779.5900000003</v>
      </c>
      <c r="T232" s="90"/>
      <c r="U232" s="90"/>
    </row>
    <row r="233" spans="16:38" x14ac:dyDescent="0.25">
      <c r="P233" s="90" t="s">
        <v>64</v>
      </c>
      <c r="Q233" s="90" t="s">
        <v>65</v>
      </c>
      <c r="R233" s="96">
        <v>3107575.9099999997</v>
      </c>
      <c r="T233" s="90"/>
      <c r="U233" s="90"/>
      <c r="V233" s="96"/>
      <c r="AF233" s="96"/>
      <c r="AG233" s="96"/>
      <c r="AH233" s="96"/>
      <c r="AL233" s="96"/>
    </row>
    <row r="234" spans="16:38" x14ac:dyDescent="0.25">
      <c r="P234" s="90" t="s">
        <v>208</v>
      </c>
      <c r="Q234" s="90" t="s">
        <v>209</v>
      </c>
      <c r="R234" s="96">
        <v>1630418.2400000002</v>
      </c>
      <c r="T234" s="90"/>
      <c r="U234" s="90"/>
    </row>
    <row r="235" spans="16:38" x14ac:dyDescent="0.25">
      <c r="P235" s="90" t="s">
        <v>220</v>
      </c>
      <c r="Q235" s="90" t="s">
        <v>221</v>
      </c>
      <c r="R235" s="96">
        <v>1310701.31</v>
      </c>
      <c r="T235" s="90"/>
      <c r="U235" s="90"/>
    </row>
    <row r="236" spans="16:38" x14ac:dyDescent="0.25">
      <c r="P236" s="90" t="s">
        <v>406</v>
      </c>
      <c r="Q236" s="90" t="s">
        <v>407</v>
      </c>
      <c r="R236" s="96">
        <v>587519.91</v>
      </c>
      <c r="T236" s="90"/>
      <c r="U236" s="90"/>
      <c r="AA236" s="96"/>
    </row>
    <row r="237" spans="16:38" x14ac:dyDescent="0.25">
      <c r="P237" s="90" t="s">
        <v>218</v>
      </c>
      <c r="Q237" s="90" t="s">
        <v>219</v>
      </c>
      <c r="R237" s="96">
        <v>1518941.38</v>
      </c>
      <c r="T237" s="90"/>
      <c r="U237" s="90"/>
      <c r="V237" s="96"/>
      <c r="Y237" s="96"/>
      <c r="AF237" s="96"/>
      <c r="AH237" s="96"/>
    </row>
    <row r="238" spans="16:38" x14ac:dyDescent="0.25">
      <c r="P238" s="90" t="s">
        <v>128</v>
      </c>
      <c r="Q238" s="90" t="s">
        <v>129</v>
      </c>
      <c r="R238" s="96">
        <v>2651512.8800000004</v>
      </c>
      <c r="T238" s="90"/>
      <c r="U238" s="90"/>
    </row>
    <row r="239" spans="16:38" x14ac:dyDescent="0.25">
      <c r="P239" s="90" t="s">
        <v>6</v>
      </c>
      <c r="Q239" s="90" t="s">
        <v>7</v>
      </c>
      <c r="R239" s="96">
        <v>21812972.080000006</v>
      </c>
      <c r="T239" s="90"/>
      <c r="U239" s="90"/>
      <c r="AF239" s="96"/>
      <c r="AH239" s="96"/>
    </row>
    <row r="240" spans="16:38" x14ac:dyDescent="0.25">
      <c r="P240" s="90" t="s">
        <v>540</v>
      </c>
      <c r="Q240" s="90" t="s">
        <v>541</v>
      </c>
      <c r="R240" s="96">
        <v>3567.6699999999996</v>
      </c>
      <c r="T240" s="90"/>
      <c r="U240" s="90"/>
      <c r="V240" s="96"/>
    </row>
    <row r="241" spans="16:37" x14ac:dyDescent="0.25">
      <c r="P241" s="90" t="s">
        <v>572</v>
      </c>
      <c r="Q241" s="90" t="s">
        <v>573</v>
      </c>
      <c r="R241" s="96">
        <v>33236.19</v>
      </c>
      <c r="T241" s="90"/>
      <c r="U241" s="90"/>
      <c r="V241" s="96"/>
      <c r="AD241" s="96"/>
      <c r="AF241" s="96"/>
      <c r="AG241" s="96"/>
      <c r="AH241" s="96"/>
      <c r="AI241" s="96"/>
      <c r="AK241" s="96"/>
    </row>
    <row r="242" spans="16:37" x14ac:dyDescent="0.25">
      <c r="P242" s="90" t="s">
        <v>258</v>
      </c>
      <c r="Q242" s="90" t="s">
        <v>259</v>
      </c>
      <c r="R242" s="96">
        <v>737961.97</v>
      </c>
      <c r="T242" s="90"/>
      <c r="U242" s="90"/>
      <c r="AA242" s="96"/>
    </row>
    <row r="243" spans="16:37" x14ac:dyDescent="0.25">
      <c r="P243" s="90" t="s">
        <v>226</v>
      </c>
      <c r="Q243" s="90" t="s">
        <v>227</v>
      </c>
      <c r="R243" s="96">
        <v>1451172.7100000002</v>
      </c>
      <c r="T243" s="90"/>
      <c r="U243" s="90"/>
    </row>
    <row r="244" spans="16:37" x14ac:dyDescent="0.25">
      <c r="P244" s="90" t="s">
        <v>70</v>
      </c>
      <c r="Q244" s="90" t="s">
        <v>71</v>
      </c>
      <c r="R244" s="96">
        <v>5102757.75</v>
      </c>
      <c r="T244" s="90"/>
      <c r="U244" s="90"/>
      <c r="V244" s="96"/>
      <c r="AF244" s="96"/>
    </row>
    <row r="245" spans="16:37" x14ac:dyDescent="0.25">
      <c r="P245" s="90" t="s">
        <v>50</v>
      </c>
      <c r="Q245" s="90" t="s">
        <v>51</v>
      </c>
      <c r="R245" s="96">
        <v>8894401.5599999987</v>
      </c>
      <c r="T245" s="90"/>
      <c r="U245" s="90"/>
    </row>
    <row r="246" spans="16:37" x14ac:dyDescent="0.25">
      <c r="P246" s="90" t="s">
        <v>312</v>
      </c>
      <c r="Q246" s="90" t="s">
        <v>313</v>
      </c>
      <c r="R246" s="96">
        <v>424553.02</v>
      </c>
      <c r="T246" s="90"/>
      <c r="U246" s="90"/>
      <c r="V246" s="96"/>
    </row>
    <row r="247" spans="16:37" x14ac:dyDescent="0.25">
      <c r="P247" s="90" t="s">
        <v>126</v>
      </c>
      <c r="Q247" s="90" t="s">
        <v>127</v>
      </c>
      <c r="R247" s="96">
        <v>4575911.4799999995</v>
      </c>
      <c r="T247" s="90"/>
      <c r="U247" s="90"/>
      <c r="V247" s="96"/>
      <c r="AF247" s="96"/>
    </row>
    <row r="248" spans="16:37" x14ac:dyDescent="0.25">
      <c r="P248" s="90" t="s">
        <v>140</v>
      </c>
      <c r="Q248" s="90" t="s">
        <v>1191</v>
      </c>
      <c r="R248" s="96">
        <v>3001245.9499999997</v>
      </c>
      <c r="T248" s="90"/>
      <c r="U248" s="90"/>
      <c r="Z248" s="96"/>
    </row>
    <row r="249" spans="16:37" x14ac:dyDescent="0.25">
      <c r="P249" s="90" t="s">
        <v>390</v>
      </c>
      <c r="Q249" s="90" t="s">
        <v>391</v>
      </c>
      <c r="R249" s="96">
        <v>418048.63</v>
      </c>
      <c r="T249" s="90"/>
      <c r="U249" s="90"/>
      <c r="V249" s="96"/>
      <c r="AA249" s="96"/>
    </row>
    <row r="250" spans="16:37" x14ac:dyDescent="0.25">
      <c r="P250" s="90" t="s">
        <v>150</v>
      </c>
      <c r="Q250" s="90" t="s">
        <v>1190</v>
      </c>
      <c r="R250" s="96">
        <v>2496297.2400000002</v>
      </c>
      <c r="T250" s="90"/>
      <c r="U250" s="90"/>
      <c r="V250" s="96"/>
      <c r="Z250" s="96"/>
      <c r="AD250" s="96"/>
      <c r="AF250" s="96"/>
    </row>
    <row r="251" spans="16:37" x14ac:dyDescent="0.25">
      <c r="P251" s="90" t="s">
        <v>202</v>
      </c>
      <c r="Q251" s="90" t="s">
        <v>203</v>
      </c>
      <c r="R251" s="96">
        <v>1255987.6399999999</v>
      </c>
      <c r="T251" s="90"/>
      <c r="U251" s="90"/>
    </row>
    <row r="252" spans="16:37" x14ac:dyDescent="0.25">
      <c r="P252" s="90" t="s">
        <v>250</v>
      </c>
      <c r="Q252" s="90" t="s">
        <v>251</v>
      </c>
      <c r="R252" s="96">
        <v>1026205.6999999998</v>
      </c>
      <c r="T252" s="90"/>
      <c r="U252" s="90"/>
      <c r="V252" s="96"/>
    </row>
    <row r="253" spans="16:37" x14ac:dyDescent="0.25">
      <c r="P253" s="90" t="s">
        <v>442</v>
      </c>
      <c r="Q253" s="90" t="s">
        <v>443</v>
      </c>
      <c r="R253" s="96">
        <v>635729.76000000013</v>
      </c>
      <c r="T253" s="90"/>
      <c r="U253" s="90"/>
      <c r="V253" s="96"/>
    </row>
    <row r="254" spans="16:37" x14ac:dyDescent="0.25">
      <c r="P254" s="90" t="s">
        <v>1160</v>
      </c>
      <c r="Q254" s="90" t="s">
        <v>1178</v>
      </c>
      <c r="R254" s="96">
        <v>23422.05</v>
      </c>
      <c r="T254" s="90"/>
      <c r="U254" s="90"/>
      <c r="Y254" s="96"/>
    </row>
    <row r="255" spans="16:37" x14ac:dyDescent="0.25">
      <c r="P255" s="90" t="s">
        <v>448</v>
      </c>
      <c r="Q255" s="90" t="s">
        <v>1252</v>
      </c>
      <c r="R255" s="96">
        <v>155004.16</v>
      </c>
      <c r="T255" s="90"/>
      <c r="U255" s="90"/>
      <c r="V255" s="96"/>
    </row>
    <row r="256" spans="16:37" x14ac:dyDescent="0.25">
      <c r="P256" s="90" t="s">
        <v>578</v>
      </c>
      <c r="Q256" s="90" t="s">
        <v>579</v>
      </c>
      <c r="R256" s="96">
        <v>124838.16</v>
      </c>
      <c r="T256" s="90"/>
      <c r="U256" s="90"/>
    </row>
    <row r="257" spans="16:35" x14ac:dyDescent="0.25">
      <c r="P257" s="90" t="s">
        <v>326</v>
      </c>
      <c r="Q257" s="90" t="s">
        <v>327</v>
      </c>
      <c r="R257" s="96">
        <v>583559.12</v>
      </c>
      <c r="T257" s="90"/>
      <c r="U257" s="90"/>
      <c r="V257" s="96"/>
    </row>
    <row r="258" spans="16:35" x14ac:dyDescent="0.25">
      <c r="P258" s="90" t="s">
        <v>404</v>
      </c>
      <c r="Q258" s="90" t="s">
        <v>405</v>
      </c>
      <c r="R258" s="96">
        <v>424724.52</v>
      </c>
      <c r="T258" s="90"/>
      <c r="U258" s="90"/>
    </row>
    <row r="259" spans="16:35" x14ac:dyDescent="0.25">
      <c r="P259" s="90" t="s">
        <v>338</v>
      </c>
      <c r="Q259" s="90" t="s">
        <v>339</v>
      </c>
      <c r="R259" s="96">
        <v>496326.76</v>
      </c>
      <c r="T259" s="90"/>
      <c r="U259" s="90"/>
      <c r="Z259" s="96"/>
    </row>
    <row r="260" spans="16:35" x14ac:dyDescent="0.25">
      <c r="P260" s="90" t="s">
        <v>230</v>
      </c>
      <c r="Q260" s="90" t="s">
        <v>231</v>
      </c>
      <c r="R260" s="96">
        <v>1319793.96</v>
      </c>
      <c r="T260" s="90"/>
      <c r="U260" s="90"/>
    </row>
    <row r="261" spans="16:35" x14ac:dyDescent="0.25">
      <c r="P261" s="90" t="s">
        <v>474</v>
      </c>
      <c r="Q261" s="90" t="s">
        <v>475</v>
      </c>
      <c r="R261" s="96">
        <v>263436.71000000002</v>
      </c>
      <c r="T261" s="90"/>
      <c r="U261" s="90"/>
      <c r="V261" s="96"/>
    </row>
    <row r="262" spans="16:35" x14ac:dyDescent="0.25">
      <c r="P262" s="90" t="s">
        <v>554</v>
      </c>
      <c r="Q262" s="90" t="s">
        <v>555</v>
      </c>
      <c r="R262" s="96">
        <v>128092.72</v>
      </c>
      <c r="T262" s="90"/>
      <c r="U262" s="90"/>
      <c r="V262" s="96"/>
      <c r="Z262" s="96"/>
    </row>
    <row r="263" spans="16:35" x14ac:dyDescent="0.25">
      <c r="P263" s="90" t="s">
        <v>590</v>
      </c>
      <c r="Q263" s="90" t="s">
        <v>1189</v>
      </c>
      <c r="R263" s="96">
        <v>93105.96</v>
      </c>
      <c r="T263" s="90"/>
      <c r="U263" s="90"/>
      <c r="V263" s="96"/>
      <c r="Z263" s="96"/>
      <c r="AF263" s="96"/>
    </row>
    <row r="264" spans="16:35" x14ac:dyDescent="0.25">
      <c r="P264" s="90" t="s">
        <v>500</v>
      </c>
      <c r="Q264" s="90" t="s">
        <v>1188</v>
      </c>
      <c r="R264" s="96">
        <v>182143.31</v>
      </c>
      <c r="T264" s="90"/>
      <c r="U264" s="90"/>
      <c r="V264" s="96"/>
      <c r="Z264" s="96"/>
    </row>
    <row r="265" spans="16:35" x14ac:dyDescent="0.25">
      <c r="P265" s="90" t="s">
        <v>382</v>
      </c>
      <c r="Q265" s="90" t="s">
        <v>383</v>
      </c>
      <c r="R265" s="96">
        <v>445070.78</v>
      </c>
      <c r="T265" s="90"/>
      <c r="U265" s="90"/>
      <c r="V265" s="96"/>
      <c r="W265" s="96"/>
      <c r="AF265" s="96"/>
      <c r="AG265" s="96"/>
    </row>
    <row r="266" spans="16:35" x14ac:dyDescent="0.25">
      <c r="P266" s="90" t="s">
        <v>454</v>
      </c>
      <c r="Q266" s="90" t="s">
        <v>455</v>
      </c>
      <c r="R266" s="96">
        <v>245080.91</v>
      </c>
      <c r="T266" s="90"/>
      <c r="U266" s="90"/>
      <c r="V266" s="96"/>
      <c r="Z266" s="96"/>
      <c r="AA266" s="96"/>
      <c r="AD266" s="96"/>
      <c r="AF266" s="96"/>
      <c r="AH266" s="96"/>
      <c r="AI266" s="96"/>
    </row>
    <row r="267" spans="16:35" x14ac:dyDescent="0.25">
      <c r="P267" s="90" t="s">
        <v>298</v>
      </c>
      <c r="Q267" s="90" t="s">
        <v>299</v>
      </c>
      <c r="R267" s="96">
        <v>714291.98</v>
      </c>
      <c r="T267" s="90"/>
      <c r="U267" s="90"/>
      <c r="V267" s="96"/>
      <c r="AF267" s="96"/>
      <c r="AG267" s="96"/>
    </row>
    <row r="268" spans="16:35" x14ac:dyDescent="0.25">
      <c r="P268" s="90" t="s">
        <v>110</v>
      </c>
      <c r="Q268" s="90" t="s">
        <v>111</v>
      </c>
      <c r="R268" s="96">
        <v>3381900.31</v>
      </c>
      <c r="T268" s="90"/>
      <c r="U268" s="90"/>
      <c r="V268" s="96"/>
      <c r="AA268" s="96"/>
      <c r="AF268" s="96"/>
    </row>
    <row r="269" spans="16:35" x14ac:dyDescent="0.25">
      <c r="P269" s="90" t="s">
        <v>48</v>
      </c>
      <c r="Q269" s="90" t="s">
        <v>49</v>
      </c>
      <c r="R269" s="96">
        <v>8489462.8000000007</v>
      </c>
      <c r="T269" s="90"/>
      <c r="U269" s="90"/>
      <c r="Z269" s="96"/>
    </row>
    <row r="270" spans="16:35" x14ac:dyDescent="0.25">
      <c r="P270" s="90" t="s">
        <v>92</v>
      </c>
      <c r="Q270" s="90" t="s">
        <v>93</v>
      </c>
      <c r="R270" s="96">
        <v>3108351.75</v>
      </c>
      <c r="T270" s="90"/>
      <c r="U270" s="90"/>
      <c r="V270" s="96"/>
      <c r="Z270" s="96"/>
      <c r="AF270" s="96"/>
      <c r="AG270" s="96"/>
    </row>
    <row r="271" spans="16:35" x14ac:dyDescent="0.25">
      <c r="P271" s="90" t="s">
        <v>66</v>
      </c>
      <c r="Q271" s="90" t="s">
        <v>67</v>
      </c>
      <c r="R271" s="96">
        <v>4649429.8199999994</v>
      </c>
      <c r="T271" s="90"/>
      <c r="U271" s="90"/>
      <c r="AA271" s="96"/>
      <c r="AF271" s="96"/>
    </row>
    <row r="272" spans="16:35" x14ac:dyDescent="0.25">
      <c r="P272" s="90" t="s">
        <v>318</v>
      </c>
      <c r="Q272" s="90" t="s">
        <v>319</v>
      </c>
      <c r="R272" s="96">
        <v>707989.65999999992</v>
      </c>
      <c r="T272" s="90"/>
      <c r="U272" s="90"/>
      <c r="Z272" s="96"/>
      <c r="AA272" s="96"/>
    </row>
    <row r="273" spans="16:33" x14ac:dyDescent="0.25">
      <c r="P273" s="90" t="s">
        <v>352</v>
      </c>
      <c r="Q273" s="90" t="s">
        <v>353</v>
      </c>
      <c r="R273" s="96">
        <v>313923.99</v>
      </c>
      <c r="T273" s="90"/>
      <c r="U273" s="90"/>
      <c r="Z273" s="96"/>
    </row>
    <row r="274" spans="16:33" x14ac:dyDescent="0.25">
      <c r="P274" s="90" t="s">
        <v>210</v>
      </c>
      <c r="Q274" s="90" t="s">
        <v>211</v>
      </c>
      <c r="R274" s="96">
        <v>1195882.47</v>
      </c>
      <c r="T274" s="90"/>
      <c r="U274" s="90"/>
      <c r="AA274" s="96"/>
      <c r="AF274" s="96"/>
    </row>
    <row r="275" spans="16:33" x14ac:dyDescent="0.25">
      <c r="P275" s="90" t="s">
        <v>276</v>
      </c>
      <c r="Q275" s="90" t="s">
        <v>277</v>
      </c>
      <c r="R275" s="96">
        <v>890899.51</v>
      </c>
      <c r="T275" s="90"/>
      <c r="U275" s="90"/>
      <c r="V275" s="96"/>
    </row>
    <row r="276" spans="16:33" x14ac:dyDescent="0.25">
      <c r="P276" s="90" t="s">
        <v>398</v>
      </c>
      <c r="Q276" s="90" t="s">
        <v>399</v>
      </c>
      <c r="R276" s="96">
        <v>316223.71999999997</v>
      </c>
      <c r="T276" s="90"/>
      <c r="U276" s="90"/>
      <c r="AA276" s="96"/>
    </row>
    <row r="277" spans="16:33" x14ac:dyDescent="0.25">
      <c r="P277" s="90" t="s">
        <v>602</v>
      </c>
      <c r="Q277" s="90" t="s">
        <v>603</v>
      </c>
      <c r="R277" s="96">
        <v>64960.81</v>
      </c>
      <c r="T277" s="90"/>
      <c r="U277" s="90"/>
      <c r="V277" s="96"/>
      <c r="AF277" s="96"/>
      <c r="AG277" s="96"/>
    </row>
    <row r="278" spans="16:33" x14ac:dyDescent="0.25">
      <c r="P278" s="90" t="s">
        <v>108</v>
      </c>
      <c r="Q278" s="90" t="s">
        <v>109</v>
      </c>
      <c r="R278" s="96">
        <v>3344127.1</v>
      </c>
      <c r="T278" s="90"/>
      <c r="U278" s="90"/>
      <c r="Z278" s="96"/>
      <c r="AA278" s="96"/>
    </row>
    <row r="279" spans="16:33" x14ac:dyDescent="0.25">
      <c r="P279" s="90" t="s">
        <v>264</v>
      </c>
      <c r="Q279" s="90" t="s">
        <v>265</v>
      </c>
      <c r="R279" s="96">
        <v>1053821.1299999999</v>
      </c>
    </row>
    <row r="280" spans="16:33" x14ac:dyDescent="0.25">
      <c r="P280" s="90" t="s">
        <v>468</v>
      </c>
      <c r="Q280" s="90" t="s">
        <v>469</v>
      </c>
      <c r="R280" s="96">
        <v>244211.43999999997</v>
      </c>
    </row>
    <row r="281" spans="16:33" x14ac:dyDescent="0.25">
      <c r="P281" s="90" t="s">
        <v>332</v>
      </c>
      <c r="Q281" s="90" t="s">
        <v>333</v>
      </c>
      <c r="R281" s="96">
        <v>642150.05000000005</v>
      </c>
    </row>
    <row r="282" spans="16:33" x14ac:dyDescent="0.25">
      <c r="P282" s="90" t="s">
        <v>430</v>
      </c>
      <c r="Q282" s="90" t="s">
        <v>431</v>
      </c>
      <c r="R282" s="96">
        <v>268893.92000000004</v>
      </c>
    </row>
    <row r="283" spans="16:33" x14ac:dyDescent="0.25">
      <c r="P283" s="90" t="s">
        <v>434</v>
      </c>
      <c r="Q283" s="90" t="s">
        <v>435</v>
      </c>
      <c r="R283" s="96">
        <v>591647.46</v>
      </c>
    </row>
    <row r="284" spans="16:33" x14ac:dyDescent="0.25">
      <c r="P284" s="90" t="s">
        <v>58</v>
      </c>
      <c r="Q284" s="90" t="s">
        <v>59</v>
      </c>
      <c r="R284" s="96">
        <v>6038819.9200000018</v>
      </c>
    </row>
    <row r="285" spans="16:33" x14ac:dyDescent="0.25">
      <c r="P285" s="90" t="s">
        <v>124</v>
      </c>
      <c r="Q285" s="90" t="s">
        <v>125</v>
      </c>
      <c r="R285" s="96">
        <v>2542991.4700000002</v>
      </c>
    </row>
    <row r="286" spans="16:33" x14ac:dyDescent="0.25">
      <c r="P286" s="90" t="s">
        <v>212</v>
      </c>
      <c r="Q286" s="90" t="s">
        <v>213</v>
      </c>
      <c r="R286" s="96">
        <v>1145745.6800000002</v>
      </c>
    </row>
    <row r="287" spans="16:33" x14ac:dyDescent="0.25">
      <c r="P287" s="90" t="s">
        <v>172</v>
      </c>
      <c r="Q287" s="90" t="s">
        <v>173</v>
      </c>
      <c r="R287" s="96">
        <v>1610117.03</v>
      </c>
    </row>
    <row r="288" spans="16:33" x14ac:dyDescent="0.25">
      <c r="P288" s="90" t="s">
        <v>232</v>
      </c>
      <c r="Q288" s="90" t="s">
        <v>233</v>
      </c>
      <c r="R288" s="96">
        <v>760598.15</v>
      </c>
    </row>
    <row r="289" spans="16:18" x14ac:dyDescent="0.25">
      <c r="P289" s="90" t="s">
        <v>236</v>
      </c>
      <c r="Q289" s="90" t="s">
        <v>237</v>
      </c>
      <c r="R289" s="96">
        <v>1784605.45</v>
      </c>
    </row>
    <row r="290" spans="16:18" x14ac:dyDescent="0.25">
      <c r="P290" s="90" t="s">
        <v>224</v>
      </c>
      <c r="Q290" s="90" t="s">
        <v>225</v>
      </c>
      <c r="R290" s="96">
        <v>1355261.89</v>
      </c>
    </row>
    <row r="291" spans="16:18" x14ac:dyDescent="0.25">
      <c r="P291" s="90" t="s">
        <v>1187</v>
      </c>
      <c r="Q291" s="90" t="s">
        <v>1186</v>
      </c>
      <c r="R291" s="96">
        <v>118765.95</v>
      </c>
    </row>
    <row r="292" spans="16:18" x14ac:dyDescent="0.25">
      <c r="P292" s="90" t="s">
        <v>564</v>
      </c>
      <c r="Q292" s="90" t="s">
        <v>565</v>
      </c>
      <c r="R292" s="96">
        <v>117925.29</v>
      </c>
    </row>
    <row r="293" spans="16:18" x14ac:dyDescent="0.25">
      <c r="P293" s="90" t="s">
        <v>586</v>
      </c>
      <c r="Q293" s="90" t="s">
        <v>587</v>
      </c>
      <c r="R293" s="96">
        <v>62657.820000000007</v>
      </c>
    </row>
    <row r="294" spans="16:18" x14ac:dyDescent="0.25">
      <c r="P294" s="90" t="s">
        <v>470</v>
      </c>
      <c r="Q294" s="90" t="s">
        <v>471</v>
      </c>
      <c r="R294" s="96">
        <v>231877.46</v>
      </c>
    </row>
    <row r="295" spans="16:18" x14ac:dyDescent="0.25">
      <c r="P295" s="90" t="s">
        <v>186</v>
      </c>
      <c r="Q295" s="90" t="s">
        <v>187</v>
      </c>
      <c r="R295" s="96">
        <v>1347745.3499999999</v>
      </c>
    </row>
    <row r="296" spans="16:18" x14ac:dyDescent="0.25">
      <c r="P296" s="90" t="s">
        <v>370</v>
      </c>
      <c r="Q296" s="90" t="s">
        <v>371</v>
      </c>
      <c r="R296" s="96">
        <v>416699.97</v>
      </c>
    </row>
    <row r="297" spans="16:18" x14ac:dyDescent="0.25">
      <c r="P297" s="90" t="s">
        <v>476</v>
      </c>
      <c r="Q297" s="90" t="s">
        <v>477</v>
      </c>
      <c r="R297" s="96">
        <v>232454.35</v>
      </c>
    </row>
    <row r="298" spans="16:18" x14ac:dyDescent="0.25">
      <c r="P298" s="90" t="s">
        <v>522</v>
      </c>
      <c r="Q298" s="90" t="s">
        <v>523</v>
      </c>
      <c r="R298" s="96">
        <v>184283.63000000003</v>
      </c>
    </row>
    <row r="299" spans="16:18" x14ac:dyDescent="0.25">
      <c r="P299" s="90" t="s">
        <v>504</v>
      </c>
      <c r="Q299" s="90" t="s">
        <v>505</v>
      </c>
      <c r="R299" s="96">
        <v>139184.64000000001</v>
      </c>
    </row>
    <row r="300" spans="16:18" x14ac:dyDescent="0.25">
      <c r="P300" s="90" t="s">
        <v>532</v>
      </c>
      <c r="Q300" s="90" t="s">
        <v>533</v>
      </c>
      <c r="R300" s="96">
        <v>130914.51</v>
      </c>
    </row>
    <row r="301" spans="16:18" x14ac:dyDescent="0.25">
      <c r="P301" s="90" t="s">
        <v>486</v>
      </c>
      <c r="Q301" s="90" t="s">
        <v>487</v>
      </c>
      <c r="R301" s="96">
        <v>158752.26</v>
      </c>
    </row>
    <row r="302" spans="16:18" x14ac:dyDescent="0.25">
      <c r="P302" s="90" t="s">
        <v>492</v>
      </c>
      <c r="Q302" s="90" t="s">
        <v>493</v>
      </c>
      <c r="R302" s="96">
        <v>179899.45</v>
      </c>
    </row>
    <row r="303" spans="16:18" x14ac:dyDescent="0.25">
      <c r="P303" s="90" t="s">
        <v>520</v>
      </c>
      <c r="Q303" s="90" t="s">
        <v>521</v>
      </c>
      <c r="R303" s="96">
        <v>212161.51</v>
      </c>
    </row>
    <row r="304" spans="16:18" x14ac:dyDescent="0.25">
      <c r="P304" s="90" t="s">
        <v>356</v>
      </c>
      <c r="Q304" s="90" t="s">
        <v>357</v>
      </c>
      <c r="R304" s="96">
        <v>632876.22</v>
      </c>
    </row>
    <row r="305" spans="16:18" x14ac:dyDescent="0.25">
      <c r="P305" s="90" t="s">
        <v>266</v>
      </c>
      <c r="Q305" s="90" t="s">
        <v>267</v>
      </c>
      <c r="R305" s="96">
        <v>1047013.9399999998</v>
      </c>
    </row>
    <row r="306" spans="16:18" x14ac:dyDescent="0.25">
      <c r="P306" s="90" t="s">
        <v>40</v>
      </c>
      <c r="Q306" s="90" t="s">
        <v>41</v>
      </c>
      <c r="R306" s="96">
        <v>10703136.950000001</v>
      </c>
    </row>
    <row r="307" spans="16:18" x14ac:dyDescent="0.25">
      <c r="P307" s="90" t="s">
        <v>176</v>
      </c>
      <c r="Q307" s="90" t="s">
        <v>1184</v>
      </c>
      <c r="R307" s="96">
        <v>2523578.8000000003</v>
      </c>
    </row>
    <row r="308" spans="16:18" x14ac:dyDescent="0.25">
      <c r="P308" s="90" t="s">
        <v>160</v>
      </c>
      <c r="Q308" s="90" t="s">
        <v>161</v>
      </c>
      <c r="R308" s="96">
        <v>3177871.2399999998</v>
      </c>
    </row>
    <row r="309" spans="16:18" x14ac:dyDescent="0.25">
      <c r="P309" s="90" t="s">
        <v>310</v>
      </c>
      <c r="Q309" s="90" t="s">
        <v>311</v>
      </c>
      <c r="R309" s="96">
        <v>612722.55000000005</v>
      </c>
    </row>
    <row r="310" spans="16:18" x14ac:dyDescent="0.25">
      <c r="P310" s="90" t="s">
        <v>148</v>
      </c>
      <c r="Q310" s="90" t="s">
        <v>149</v>
      </c>
      <c r="R310" s="96">
        <v>2959093.0900000003</v>
      </c>
    </row>
    <row r="311" spans="16:18" x14ac:dyDescent="0.25">
      <c r="P311" s="90" t="s">
        <v>98</v>
      </c>
      <c r="Q311" s="90" t="s">
        <v>99</v>
      </c>
      <c r="R311" s="96">
        <v>5695087.5700000003</v>
      </c>
    </row>
    <row r="312" spans="16:18" x14ac:dyDescent="0.25">
      <c r="P312" s="90" t="s">
        <v>138</v>
      </c>
      <c r="Q312" s="90" t="s">
        <v>139</v>
      </c>
      <c r="R312" s="96">
        <v>3056453.17</v>
      </c>
    </row>
    <row r="313" spans="16:18" x14ac:dyDescent="0.25">
      <c r="P313" s="90" t="s">
        <v>280</v>
      </c>
      <c r="Q313" s="90" t="s">
        <v>281</v>
      </c>
      <c r="R313" s="96">
        <v>869877.92</v>
      </c>
    </row>
    <row r="314" spans="16:18" x14ac:dyDescent="0.25">
      <c r="P314" s="90" t="s">
        <v>246</v>
      </c>
      <c r="Q314" s="90" t="s">
        <v>247</v>
      </c>
      <c r="R314" s="96">
        <v>1178550.0899999999</v>
      </c>
    </row>
    <row r="315" spans="16:18" x14ac:dyDescent="0.25">
      <c r="P315" s="90" t="s">
        <v>270</v>
      </c>
      <c r="Q315" s="90" t="s">
        <v>271</v>
      </c>
      <c r="R315" s="96">
        <v>1091175.48</v>
      </c>
    </row>
    <row r="316" spans="16:18" x14ac:dyDescent="0.25">
      <c r="P316" s="90" t="s">
        <v>164</v>
      </c>
      <c r="Q316" s="90" t="s">
        <v>165</v>
      </c>
      <c r="R316" s="96">
        <v>2834302.88</v>
      </c>
    </row>
    <row r="317" spans="16:18" x14ac:dyDescent="0.25">
      <c r="P317" t="s">
        <v>116</v>
      </c>
      <c r="Q317" t="s">
        <v>1183</v>
      </c>
      <c r="R317">
        <v>3049507.7800000003</v>
      </c>
    </row>
    <row r="318" spans="16:18" x14ac:dyDescent="0.25">
      <c r="P318" t="s">
        <v>302</v>
      </c>
      <c r="Q318" t="s">
        <v>303</v>
      </c>
      <c r="R318">
        <v>932284.9</v>
      </c>
    </row>
  </sheetData>
  <mergeCells count="5">
    <mergeCell ref="D5:D6"/>
    <mergeCell ref="D4:H4"/>
    <mergeCell ref="L2:N2"/>
    <mergeCell ref="L3:N3"/>
    <mergeCell ref="L4:N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2DB3C-9BA3-4E2D-AB6B-267ABBB70BB4}">
  <sheetPr>
    <tabColor theme="7" tint="0.79998168889431442"/>
  </sheetPr>
  <dimension ref="B2:P323"/>
  <sheetViews>
    <sheetView workbookViewId="0">
      <selection activeCell="J29" sqref="J29"/>
    </sheetView>
  </sheetViews>
  <sheetFormatPr defaultRowHeight="15" x14ac:dyDescent="0.25"/>
  <cols>
    <col min="2" max="2" width="16.7109375" bestFit="1" customWidth="1"/>
    <col min="3" max="5" width="16.28515625" customWidth="1"/>
    <col min="7" max="16" width="15.5703125" customWidth="1"/>
  </cols>
  <sheetData>
    <row r="2" spans="2:16" x14ac:dyDescent="0.25">
      <c r="G2">
        <v>1</v>
      </c>
      <c r="H2">
        <v>2</v>
      </c>
      <c r="I2">
        <v>3</v>
      </c>
      <c r="J2">
        <v>4</v>
      </c>
      <c r="K2">
        <v>5</v>
      </c>
      <c r="L2">
        <v>6</v>
      </c>
      <c r="M2">
        <v>7</v>
      </c>
      <c r="N2">
        <v>8</v>
      </c>
      <c r="O2">
        <v>9</v>
      </c>
      <c r="P2">
        <v>10</v>
      </c>
    </row>
    <row r="3" spans="2:16" x14ac:dyDescent="0.25">
      <c r="B3" t="s">
        <v>1287</v>
      </c>
      <c r="G3" t="s">
        <v>1287</v>
      </c>
    </row>
    <row r="4" spans="2:16" x14ac:dyDescent="0.25">
      <c r="B4" s="95"/>
      <c r="C4" s="91" t="s">
        <v>1162</v>
      </c>
      <c r="D4" s="91" t="s">
        <v>643</v>
      </c>
      <c r="E4" s="91" t="s">
        <v>1161</v>
      </c>
      <c r="G4" s="95"/>
      <c r="H4" s="91" t="s">
        <v>638</v>
      </c>
      <c r="I4" s="91" t="s">
        <v>639</v>
      </c>
      <c r="J4" s="91" t="s">
        <v>640</v>
      </c>
      <c r="K4" s="91" t="s">
        <v>615</v>
      </c>
      <c r="L4" s="91" t="s">
        <v>616</v>
      </c>
      <c r="M4" s="91" t="s">
        <v>617</v>
      </c>
      <c r="N4" s="91" t="s">
        <v>618</v>
      </c>
      <c r="O4" s="91" t="s">
        <v>641</v>
      </c>
      <c r="P4" s="91" t="s">
        <v>642</v>
      </c>
    </row>
    <row r="5" spans="2:16" s="93" customFormat="1" ht="55.5" customHeight="1" x14ac:dyDescent="0.25">
      <c r="B5" s="192" t="s">
        <v>1201</v>
      </c>
      <c r="C5" s="193" t="s">
        <v>1222</v>
      </c>
      <c r="D5" s="193" t="s">
        <v>1221</v>
      </c>
      <c r="E5" s="193" t="s">
        <v>1220</v>
      </c>
      <c r="G5" s="192" t="s">
        <v>1201</v>
      </c>
      <c r="H5" s="193" t="s">
        <v>1219</v>
      </c>
      <c r="I5" s="193" t="s">
        <v>1213</v>
      </c>
      <c r="J5" s="193" t="s">
        <v>1213</v>
      </c>
      <c r="K5" s="193" t="s">
        <v>1213</v>
      </c>
      <c r="L5" s="193" t="s">
        <v>1213</v>
      </c>
      <c r="M5" s="193" t="s">
        <v>1213</v>
      </c>
      <c r="N5" s="193" t="s">
        <v>1218</v>
      </c>
      <c r="O5" s="193" t="s">
        <v>1213</v>
      </c>
      <c r="P5" s="193" t="s">
        <v>1213</v>
      </c>
    </row>
    <row r="6" spans="2:16" x14ac:dyDescent="0.25">
      <c r="B6" s="90" t="s">
        <v>1268</v>
      </c>
      <c r="C6" s="89" t="s">
        <v>1269</v>
      </c>
      <c r="D6" t="s">
        <v>1270</v>
      </c>
      <c r="E6" s="89" t="s">
        <v>1271</v>
      </c>
      <c r="G6" s="90" t="s">
        <v>1268</v>
      </c>
      <c r="H6" s="89" t="s">
        <v>1269</v>
      </c>
      <c r="I6" s="89" t="s">
        <v>1270</v>
      </c>
      <c r="J6" t="s">
        <v>1271</v>
      </c>
      <c r="K6" s="89" t="s">
        <v>1272</v>
      </c>
      <c r="L6" t="s">
        <v>1273</v>
      </c>
      <c r="M6" t="s">
        <v>1274</v>
      </c>
      <c r="N6" s="89" t="s">
        <v>1275</v>
      </c>
      <c r="O6" t="s">
        <v>1276</v>
      </c>
      <c r="P6" t="s">
        <v>1277</v>
      </c>
    </row>
    <row r="7" spans="2:16" x14ac:dyDescent="0.25">
      <c r="B7" s="90" t="s">
        <v>619</v>
      </c>
      <c r="C7" s="89">
        <v>71355102.449999988</v>
      </c>
      <c r="D7">
        <v>2053681.2700000005</v>
      </c>
      <c r="E7" s="89">
        <v>1244209248.8699999</v>
      </c>
      <c r="G7" s="90" t="s">
        <v>619</v>
      </c>
      <c r="H7" s="89">
        <v>70541106.170000017</v>
      </c>
      <c r="I7" s="89">
        <v>115534382.90000001</v>
      </c>
      <c r="J7">
        <v>273548.66000000003</v>
      </c>
      <c r="K7" s="89">
        <v>384713547.27000016</v>
      </c>
      <c r="L7">
        <v>207667.4</v>
      </c>
      <c r="M7">
        <v>1112030.7199999997</v>
      </c>
      <c r="N7" s="89">
        <v>40701003.120000005</v>
      </c>
      <c r="O7">
        <v>225532.05</v>
      </c>
      <c r="P7">
        <v>544721.84</v>
      </c>
    </row>
    <row r="8" spans="2:16" x14ac:dyDescent="0.25">
      <c r="B8" s="90" t="s">
        <v>574</v>
      </c>
      <c r="E8" s="89">
        <v>101206.17</v>
      </c>
      <c r="G8" s="90" t="s">
        <v>574</v>
      </c>
      <c r="H8" s="89">
        <v>2025.02</v>
      </c>
      <c r="I8">
        <v>4200.24</v>
      </c>
      <c r="K8">
        <v>49444.63</v>
      </c>
      <c r="N8">
        <v>8348.85</v>
      </c>
    </row>
    <row r="9" spans="2:16" x14ac:dyDescent="0.25">
      <c r="B9" s="90" t="s">
        <v>604</v>
      </c>
      <c r="E9" s="89">
        <v>32198.12</v>
      </c>
      <c r="G9" s="90" t="s">
        <v>604</v>
      </c>
      <c r="H9" s="89">
        <v>1387.5</v>
      </c>
      <c r="I9" s="89"/>
      <c r="K9" s="89"/>
      <c r="N9" s="89"/>
    </row>
    <row r="10" spans="2:16" x14ac:dyDescent="0.25">
      <c r="B10" s="90" t="s">
        <v>134</v>
      </c>
      <c r="E10" s="89">
        <v>8816440.6899999995</v>
      </c>
      <c r="G10" s="90" t="s">
        <v>134</v>
      </c>
      <c r="H10" s="89">
        <v>10310.6</v>
      </c>
      <c r="I10" s="89">
        <v>132196.45000000001</v>
      </c>
      <c r="K10" s="89">
        <v>3768153.15</v>
      </c>
      <c r="N10" s="89">
        <v>227255</v>
      </c>
    </row>
    <row r="11" spans="2:16" x14ac:dyDescent="0.25">
      <c r="B11" s="90" t="s">
        <v>478</v>
      </c>
      <c r="E11" s="89">
        <v>417493.59</v>
      </c>
      <c r="G11" s="90" t="s">
        <v>478</v>
      </c>
      <c r="H11" s="89">
        <v>3799</v>
      </c>
      <c r="I11" s="89">
        <v>34490.82</v>
      </c>
      <c r="K11" s="89">
        <v>127596.9</v>
      </c>
      <c r="N11" s="89">
        <v>8457.4500000000007</v>
      </c>
    </row>
    <row r="12" spans="2:16" x14ac:dyDescent="0.25">
      <c r="B12" s="90" t="s">
        <v>410</v>
      </c>
      <c r="C12" s="89"/>
      <c r="D12" s="89"/>
      <c r="E12" s="89">
        <v>337287.13</v>
      </c>
      <c r="G12" s="90" t="s">
        <v>410</v>
      </c>
      <c r="H12" s="89">
        <v>2075.9</v>
      </c>
      <c r="I12" s="89">
        <v>66696.039999999994</v>
      </c>
      <c r="K12" s="89">
        <v>114066.47</v>
      </c>
      <c r="N12" s="89">
        <v>8010.65</v>
      </c>
    </row>
    <row r="13" spans="2:16" x14ac:dyDescent="0.25">
      <c r="B13" s="90" t="s">
        <v>196</v>
      </c>
      <c r="C13" s="89">
        <v>4676.09</v>
      </c>
      <c r="D13" s="89">
        <v>4676.09</v>
      </c>
      <c r="E13" s="89">
        <v>3766060.07</v>
      </c>
      <c r="G13" s="90" t="s">
        <v>196</v>
      </c>
      <c r="H13" s="89">
        <v>47709.61</v>
      </c>
      <c r="I13" s="89">
        <v>441172.89</v>
      </c>
      <c r="K13" s="89">
        <v>1140184.0900000001</v>
      </c>
      <c r="N13" s="89">
        <v>161411</v>
      </c>
    </row>
    <row r="14" spans="2:16" x14ac:dyDescent="0.25">
      <c r="B14" s="90" t="s">
        <v>346</v>
      </c>
      <c r="C14">
        <v>1232.97</v>
      </c>
      <c r="D14">
        <v>1232.97</v>
      </c>
      <c r="E14" s="89">
        <v>659694.27</v>
      </c>
      <c r="G14" s="90" t="s">
        <v>346</v>
      </c>
      <c r="H14" s="89">
        <v>28991.200000000001</v>
      </c>
      <c r="I14" s="89">
        <v>94529.93</v>
      </c>
      <c r="K14" s="89">
        <v>127108.83</v>
      </c>
      <c r="N14" s="89">
        <v>21753.19</v>
      </c>
    </row>
    <row r="15" spans="2:16" x14ac:dyDescent="0.25">
      <c r="B15" s="90" t="s">
        <v>36</v>
      </c>
      <c r="E15" s="89">
        <v>26125214.010000002</v>
      </c>
      <c r="G15" s="90" t="s">
        <v>36</v>
      </c>
      <c r="H15">
        <v>73350.78</v>
      </c>
      <c r="I15" s="89">
        <v>2958485.43</v>
      </c>
      <c r="K15" s="89">
        <v>10531030.1</v>
      </c>
      <c r="N15" s="89">
        <v>703389.83</v>
      </c>
    </row>
    <row r="16" spans="2:16" x14ac:dyDescent="0.25">
      <c r="B16" s="90" t="s">
        <v>510</v>
      </c>
      <c r="E16" s="89">
        <v>219402.86</v>
      </c>
      <c r="G16" s="90" t="s">
        <v>510</v>
      </c>
      <c r="I16" s="89">
        <v>17358.95</v>
      </c>
      <c r="K16" s="89">
        <v>56652.84</v>
      </c>
      <c r="N16" s="89">
        <v>3935.04</v>
      </c>
    </row>
    <row r="17" spans="2:15" x14ac:dyDescent="0.25">
      <c r="B17" s="90" t="s">
        <v>254</v>
      </c>
      <c r="E17" s="89">
        <v>2053453.39</v>
      </c>
      <c r="G17" s="90" t="s">
        <v>254</v>
      </c>
      <c r="H17" s="89"/>
      <c r="I17" s="89">
        <v>29889.16</v>
      </c>
      <c r="K17" s="89">
        <v>864093.78</v>
      </c>
      <c r="N17" s="89">
        <v>49781.4</v>
      </c>
    </row>
    <row r="18" spans="2:15" x14ac:dyDescent="0.25">
      <c r="B18" s="90" t="s">
        <v>308</v>
      </c>
      <c r="E18" s="89">
        <v>1310970.8600000001</v>
      </c>
      <c r="G18" s="90" t="s">
        <v>308</v>
      </c>
      <c r="H18" s="89">
        <v>23393.01</v>
      </c>
      <c r="I18" s="89">
        <v>223065.19</v>
      </c>
      <c r="K18" s="89">
        <v>558117.82999999996</v>
      </c>
      <c r="N18" s="89">
        <v>48277.36</v>
      </c>
    </row>
    <row r="19" spans="2:15" x14ac:dyDescent="0.25">
      <c r="B19" s="90" t="s">
        <v>194</v>
      </c>
      <c r="E19" s="89">
        <v>4474417.29</v>
      </c>
      <c r="G19" s="90" t="s">
        <v>194</v>
      </c>
      <c r="H19" s="89">
        <v>58738.62</v>
      </c>
      <c r="I19" s="89">
        <v>188793.55</v>
      </c>
      <c r="K19" s="89">
        <v>1498324.98</v>
      </c>
      <c r="N19" s="89">
        <v>160020.23000000001</v>
      </c>
    </row>
    <row r="20" spans="2:15" x14ac:dyDescent="0.25">
      <c r="B20" s="90" t="s">
        <v>52</v>
      </c>
      <c r="C20" s="89">
        <v>72308.990000000005</v>
      </c>
      <c r="D20" s="89"/>
      <c r="E20" s="89">
        <v>12281365.220000001</v>
      </c>
      <c r="G20" s="90" t="s">
        <v>52</v>
      </c>
      <c r="H20" s="89">
        <v>902158.07</v>
      </c>
      <c r="I20" s="89">
        <v>1063179.78</v>
      </c>
      <c r="K20" s="89">
        <v>5104669.42</v>
      </c>
      <c r="N20" s="89">
        <v>461671.98</v>
      </c>
    </row>
    <row r="21" spans="2:15" x14ac:dyDescent="0.25">
      <c r="B21" s="90" t="s">
        <v>344</v>
      </c>
      <c r="C21" s="89">
        <v>2643.73</v>
      </c>
      <c r="D21" s="89">
        <v>2643.73</v>
      </c>
      <c r="E21">
        <v>1008740.99</v>
      </c>
      <c r="G21" s="90" t="s">
        <v>344</v>
      </c>
      <c r="H21" s="89">
        <v>5335.8</v>
      </c>
      <c r="I21" s="89">
        <v>101981.6</v>
      </c>
      <c r="K21" s="89">
        <v>337799.56</v>
      </c>
      <c r="N21" s="89">
        <v>25588.02</v>
      </c>
    </row>
    <row r="22" spans="2:15" x14ac:dyDescent="0.25">
      <c r="B22" s="90" t="s">
        <v>610</v>
      </c>
      <c r="C22" s="89">
        <v>48.98</v>
      </c>
      <c r="D22" s="89">
        <v>48.98</v>
      </c>
      <c r="E22" s="89"/>
      <c r="G22" s="90" t="s">
        <v>412</v>
      </c>
      <c r="H22" s="89">
        <v>2575.81</v>
      </c>
      <c r="I22" s="89">
        <v>58716.41</v>
      </c>
      <c r="K22" s="89">
        <v>275723.14</v>
      </c>
      <c r="N22" s="89">
        <v>25949.78</v>
      </c>
    </row>
    <row r="23" spans="2:15" x14ac:dyDescent="0.25">
      <c r="B23" s="90" t="s">
        <v>412</v>
      </c>
      <c r="C23" s="89">
        <v>1702.42</v>
      </c>
      <c r="D23" s="89">
        <v>1702.42</v>
      </c>
      <c r="E23" s="89">
        <v>579465.11</v>
      </c>
      <c r="G23" s="90" t="s">
        <v>252</v>
      </c>
      <c r="H23" s="89">
        <v>18030.060000000001</v>
      </c>
      <c r="I23" s="89">
        <v>88448.59</v>
      </c>
      <c r="K23" s="89">
        <v>786574</v>
      </c>
      <c r="N23" s="89">
        <v>81345.399999999994</v>
      </c>
    </row>
    <row r="24" spans="2:15" x14ac:dyDescent="0.25">
      <c r="B24" s="90" t="s">
        <v>252</v>
      </c>
      <c r="C24" s="89">
        <v>5274.1</v>
      </c>
      <c r="D24" s="89">
        <v>5274.1</v>
      </c>
      <c r="E24" s="89">
        <v>1846015.47</v>
      </c>
      <c r="G24" s="90" t="s">
        <v>244</v>
      </c>
      <c r="H24" s="89">
        <v>56304.13</v>
      </c>
      <c r="I24" s="89">
        <v>155668.88</v>
      </c>
      <c r="K24" s="89">
        <v>345974.34</v>
      </c>
      <c r="N24" s="89">
        <v>42194.7</v>
      </c>
    </row>
    <row r="25" spans="2:15" x14ac:dyDescent="0.25">
      <c r="B25" s="90" t="s">
        <v>244</v>
      </c>
      <c r="C25" s="89">
        <v>6849.97</v>
      </c>
      <c r="D25" s="89">
        <v>6849.97</v>
      </c>
      <c r="E25" s="89">
        <v>1500855.74</v>
      </c>
      <c r="G25" s="90" t="s">
        <v>268</v>
      </c>
      <c r="H25" s="89">
        <v>47542.47</v>
      </c>
      <c r="I25" s="89">
        <v>133787.6</v>
      </c>
      <c r="K25" s="89">
        <v>240660.23</v>
      </c>
      <c r="N25" s="89">
        <v>42935.88</v>
      </c>
      <c r="O25" s="89"/>
    </row>
    <row r="26" spans="2:15" x14ac:dyDescent="0.25">
      <c r="B26" s="90" t="s">
        <v>268</v>
      </c>
      <c r="C26" s="89">
        <v>5004.55</v>
      </c>
      <c r="D26" s="89">
        <v>5004.55</v>
      </c>
      <c r="E26" s="89">
        <v>807691.45</v>
      </c>
      <c r="G26" s="90" t="s">
        <v>86</v>
      </c>
      <c r="H26">
        <v>14726.99</v>
      </c>
      <c r="I26" s="89">
        <v>743153.94</v>
      </c>
      <c r="K26" s="89">
        <v>2977743.63</v>
      </c>
      <c r="N26">
        <v>359849.33</v>
      </c>
    </row>
    <row r="27" spans="2:15" x14ac:dyDescent="0.25">
      <c r="B27" s="90" t="s">
        <v>86</v>
      </c>
      <c r="C27">
        <v>27896.86</v>
      </c>
      <c r="D27">
        <v>27896.86</v>
      </c>
      <c r="E27" s="89">
        <v>11986275.27</v>
      </c>
      <c r="G27" s="90" t="s">
        <v>1200</v>
      </c>
      <c r="H27" s="89"/>
      <c r="I27" s="89">
        <v>47990.879999999997</v>
      </c>
      <c r="K27" s="89">
        <v>95710.5</v>
      </c>
      <c r="N27" s="89"/>
    </row>
    <row r="28" spans="2:15" x14ac:dyDescent="0.25">
      <c r="B28" s="90" t="s">
        <v>1200</v>
      </c>
      <c r="C28" s="89"/>
      <c r="D28" s="89"/>
      <c r="E28" s="89">
        <v>254374.19</v>
      </c>
      <c r="G28" s="90" t="s">
        <v>146</v>
      </c>
      <c r="H28" s="89">
        <v>1317.75</v>
      </c>
      <c r="I28" s="89">
        <v>573559.05000000005</v>
      </c>
      <c r="K28" s="89">
        <v>1425532.59</v>
      </c>
      <c r="N28" s="89">
        <v>130964.52</v>
      </c>
    </row>
    <row r="29" spans="2:15" x14ac:dyDescent="0.25">
      <c r="B29" s="90" t="s">
        <v>146</v>
      </c>
      <c r="C29" s="89">
        <v>163125.18</v>
      </c>
      <c r="D29" s="89">
        <v>35199.18</v>
      </c>
      <c r="E29" s="89">
        <v>4872156.7</v>
      </c>
      <c r="G29" s="90" t="s">
        <v>422</v>
      </c>
      <c r="H29" s="89">
        <v>3251.8</v>
      </c>
      <c r="I29" s="89">
        <v>59944.63</v>
      </c>
      <c r="J29" s="174">
        <v>2060</v>
      </c>
      <c r="K29" s="89">
        <v>82207.460000000006</v>
      </c>
      <c r="N29" s="89">
        <v>5094.95</v>
      </c>
    </row>
    <row r="30" spans="2:15" x14ac:dyDescent="0.25">
      <c r="B30" s="90" t="s">
        <v>422</v>
      </c>
      <c r="C30" s="89">
        <v>17035.87</v>
      </c>
      <c r="D30" s="89">
        <v>3481.87</v>
      </c>
      <c r="E30" s="89">
        <v>368126.46</v>
      </c>
      <c r="G30" s="90" t="s">
        <v>188</v>
      </c>
      <c r="H30" s="89">
        <v>49537.53</v>
      </c>
      <c r="I30" s="89">
        <v>225254.78</v>
      </c>
      <c r="K30" s="89">
        <v>761584.05</v>
      </c>
      <c r="L30" s="89"/>
      <c r="N30" s="89">
        <v>86497.9</v>
      </c>
    </row>
    <row r="31" spans="2:15" x14ac:dyDescent="0.25">
      <c r="B31" s="90" t="s">
        <v>188</v>
      </c>
      <c r="C31" s="89">
        <v>27249.58</v>
      </c>
      <c r="D31" s="89">
        <v>27249.58</v>
      </c>
      <c r="E31" s="89">
        <v>2830078.88</v>
      </c>
      <c r="G31" s="90" t="s">
        <v>388</v>
      </c>
      <c r="H31" s="89">
        <v>57844.160000000003</v>
      </c>
      <c r="I31" s="89">
        <v>76373.14</v>
      </c>
      <c r="K31" s="89">
        <v>252687.84</v>
      </c>
      <c r="N31" s="89">
        <v>23764.639999999999</v>
      </c>
    </row>
    <row r="32" spans="2:15" x14ac:dyDescent="0.25">
      <c r="B32" s="90" t="s">
        <v>388</v>
      </c>
      <c r="C32" s="89">
        <v>4172230.36</v>
      </c>
      <c r="D32" s="89">
        <v>5038.3599999999997</v>
      </c>
      <c r="E32" s="89">
        <v>920063.48</v>
      </c>
      <c r="G32" s="90" t="s">
        <v>184</v>
      </c>
      <c r="H32">
        <v>5601.04</v>
      </c>
      <c r="I32" s="89">
        <v>101948.92</v>
      </c>
      <c r="K32" s="89">
        <v>524283.75</v>
      </c>
      <c r="N32">
        <v>7835.88</v>
      </c>
    </row>
    <row r="33" spans="2:15" x14ac:dyDescent="0.25">
      <c r="B33" s="90" t="s">
        <v>184</v>
      </c>
      <c r="C33">
        <v>9601.81</v>
      </c>
      <c r="D33">
        <v>9601.81</v>
      </c>
      <c r="E33" s="89">
        <v>2721654.58</v>
      </c>
      <c r="G33" s="90" t="s">
        <v>556</v>
      </c>
      <c r="H33" s="89"/>
      <c r="I33" s="89">
        <v>6512.46</v>
      </c>
      <c r="K33" s="89">
        <v>84808.98</v>
      </c>
      <c r="N33" s="89"/>
    </row>
    <row r="34" spans="2:15" x14ac:dyDescent="0.25">
      <c r="B34" s="90" t="s">
        <v>556</v>
      </c>
      <c r="C34" s="89"/>
      <c r="D34" s="89"/>
      <c r="E34" s="89">
        <v>84808.98</v>
      </c>
      <c r="G34" s="90" t="s">
        <v>16</v>
      </c>
      <c r="H34" s="89">
        <v>88410.16</v>
      </c>
      <c r="I34" s="89">
        <v>3847538.96</v>
      </c>
      <c r="K34" s="89">
        <v>8664537.7400000002</v>
      </c>
      <c r="N34" s="89">
        <v>547319.80000000005</v>
      </c>
    </row>
    <row r="35" spans="2:15" x14ac:dyDescent="0.25">
      <c r="B35" s="90" t="s">
        <v>16</v>
      </c>
      <c r="C35" s="89">
        <v>89.21</v>
      </c>
      <c r="D35" s="89">
        <v>89.21</v>
      </c>
      <c r="E35" s="89">
        <v>29224067.210000001</v>
      </c>
      <c r="G35" s="90" t="s">
        <v>228</v>
      </c>
      <c r="H35" s="89">
        <v>466405.67</v>
      </c>
      <c r="I35" s="89">
        <v>12167.95</v>
      </c>
      <c r="K35" s="89">
        <v>322775.45</v>
      </c>
      <c r="N35" s="89">
        <v>61870.01</v>
      </c>
      <c r="O35" s="89"/>
    </row>
    <row r="36" spans="2:15" x14ac:dyDescent="0.25">
      <c r="B36" s="90" t="s">
        <v>228</v>
      </c>
      <c r="C36" s="89">
        <v>8.44</v>
      </c>
      <c r="D36" s="89">
        <v>8.44</v>
      </c>
      <c r="E36" s="89">
        <v>1170269.06</v>
      </c>
      <c r="G36" s="90" t="s">
        <v>240</v>
      </c>
      <c r="H36" s="89">
        <v>244861.68</v>
      </c>
      <c r="I36" s="89">
        <v>9001.58</v>
      </c>
      <c r="K36" s="89">
        <v>280919.96000000002</v>
      </c>
      <c r="N36" s="89">
        <v>49060.88</v>
      </c>
    </row>
    <row r="37" spans="2:15" x14ac:dyDescent="0.25">
      <c r="B37" s="90" t="s">
        <v>240</v>
      </c>
      <c r="C37" s="89">
        <v>7.59</v>
      </c>
      <c r="D37" s="89">
        <v>7.59</v>
      </c>
      <c r="E37" s="89">
        <v>1068374.44</v>
      </c>
      <c r="G37" s="90" t="s">
        <v>498</v>
      </c>
      <c r="H37" s="89">
        <v>32559.87</v>
      </c>
      <c r="I37" s="89">
        <v>1356.76</v>
      </c>
      <c r="K37" s="89">
        <v>32437.27</v>
      </c>
      <c r="N37" s="89">
        <v>2627.37</v>
      </c>
    </row>
    <row r="38" spans="2:15" x14ac:dyDescent="0.25">
      <c r="B38" s="90" t="s">
        <v>498</v>
      </c>
      <c r="C38" s="89">
        <v>0.71</v>
      </c>
      <c r="D38" s="89">
        <v>0.71</v>
      </c>
      <c r="E38" s="89">
        <v>100036.69</v>
      </c>
      <c r="G38" s="90" t="s">
        <v>174</v>
      </c>
      <c r="H38" s="89">
        <v>138957.76000000001</v>
      </c>
      <c r="I38" s="89">
        <v>214543.64</v>
      </c>
      <c r="K38" s="89">
        <v>472279.22</v>
      </c>
      <c r="N38" s="89">
        <v>89210.57</v>
      </c>
    </row>
    <row r="39" spans="2:15" x14ac:dyDescent="0.25">
      <c r="B39" s="90" t="s">
        <v>174</v>
      </c>
      <c r="C39" s="89">
        <v>10.74</v>
      </c>
      <c r="D39" s="89">
        <v>10.74</v>
      </c>
      <c r="E39" s="89">
        <v>2377317.7599999998</v>
      </c>
      <c r="G39" s="90" t="s">
        <v>14</v>
      </c>
      <c r="H39" s="89">
        <v>153105.20000000001</v>
      </c>
      <c r="I39" s="89">
        <v>3744281.48</v>
      </c>
      <c r="K39" s="89">
        <v>7872498.6500000004</v>
      </c>
      <c r="N39" s="89">
        <v>771271.56</v>
      </c>
    </row>
    <row r="40" spans="2:15" x14ac:dyDescent="0.25">
      <c r="B40" s="90" t="s">
        <v>14</v>
      </c>
      <c r="C40" s="89">
        <v>93.65</v>
      </c>
      <c r="D40" s="89">
        <v>93.65</v>
      </c>
      <c r="E40" s="89">
        <v>24244581.68</v>
      </c>
      <c r="G40" s="90" t="s">
        <v>88</v>
      </c>
      <c r="H40" s="89">
        <v>1363878.68</v>
      </c>
      <c r="I40" s="89">
        <v>22034.52</v>
      </c>
      <c r="K40" s="89">
        <v>805844.6</v>
      </c>
      <c r="N40" s="89">
        <v>203630.7</v>
      </c>
      <c r="O40" s="89"/>
    </row>
    <row r="41" spans="2:15" x14ac:dyDescent="0.25">
      <c r="B41" s="90" t="s">
        <v>88</v>
      </c>
      <c r="C41" s="89">
        <v>29.82</v>
      </c>
      <c r="D41" s="89">
        <v>29.82</v>
      </c>
      <c r="E41" s="89">
        <v>3197607.1</v>
      </c>
      <c r="G41" s="90" t="s">
        <v>54</v>
      </c>
      <c r="H41" s="89">
        <v>694113.86</v>
      </c>
      <c r="I41" s="89">
        <v>1208570.44</v>
      </c>
      <c r="K41" s="89">
        <v>2399962.54</v>
      </c>
      <c r="N41" s="89">
        <v>327825.76</v>
      </c>
    </row>
    <row r="42" spans="2:15" x14ac:dyDescent="0.25">
      <c r="B42" s="90" t="s">
        <v>54</v>
      </c>
      <c r="C42" s="89">
        <v>52.83</v>
      </c>
      <c r="D42" s="89">
        <v>52.83</v>
      </c>
      <c r="E42" s="89">
        <v>9685459.6799999997</v>
      </c>
      <c r="G42" s="90" t="s">
        <v>192</v>
      </c>
      <c r="H42" s="89">
        <v>823460.05</v>
      </c>
      <c r="I42" s="89">
        <v>18345.189999999999</v>
      </c>
      <c r="K42" s="89">
        <v>528989.24</v>
      </c>
      <c r="N42" s="89">
        <v>122376.34</v>
      </c>
    </row>
    <row r="43" spans="2:15" x14ac:dyDescent="0.25">
      <c r="B43" s="90" t="s">
        <v>192</v>
      </c>
      <c r="C43" s="89">
        <v>17.649999999999999</v>
      </c>
      <c r="D43" s="89">
        <v>17.649999999999999</v>
      </c>
      <c r="E43" s="89">
        <v>1719842.21</v>
      </c>
      <c r="G43" s="90" t="s">
        <v>1253</v>
      </c>
      <c r="H43">
        <v>2559.25</v>
      </c>
      <c r="I43" s="89"/>
      <c r="K43" s="89">
        <v>1048.26</v>
      </c>
    </row>
    <row r="44" spans="2:15" x14ac:dyDescent="0.25">
      <c r="B44" s="90" t="s">
        <v>1253</v>
      </c>
      <c r="C44" s="89"/>
      <c r="D44" s="89"/>
      <c r="E44" s="89">
        <v>348391.07</v>
      </c>
      <c r="G44" s="90" t="s">
        <v>402</v>
      </c>
      <c r="H44" s="89">
        <v>7277.7</v>
      </c>
      <c r="I44" s="89">
        <v>72740.27</v>
      </c>
      <c r="K44" s="89">
        <v>156469.38</v>
      </c>
      <c r="N44" s="89">
        <v>13051.97</v>
      </c>
    </row>
    <row r="45" spans="2:15" x14ac:dyDescent="0.25">
      <c r="B45" s="90" t="s">
        <v>402</v>
      </c>
      <c r="C45" s="89">
        <v>16318.64</v>
      </c>
      <c r="D45" s="89">
        <v>16318.64</v>
      </c>
      <c r="E45" s="89">
        <v>423651.6</v>
      </c>
      <c r="G45" s="90" t="s">
        <v>598</v>
      </c>
      <c r="H45" s="89">
        <v>378</v>
      </c>
      <c r="I45" s="89">
        <v>3206.64</v>
      </c>
      <c r="K45" s="89">
        <v>23310.05</v>
      </c>
      <c r="N45" s="89"/>
    </row>
    <row r="46" spans="2:15" x14ac:dyDescent="0.25">
      <c r="B46" s="90" t="s">
        <v>598</v>
      </c>
      <c r="C46" s="89">
        <v>1019.13</v>
      </c>
      <c r="D46" s="89">
        <v>1019.13</v>
      </c>
      <c r="E46" s="89">
        <v>52741.54</v>
      </c>
      <c r="G46" s="90" t="s">
        <v>100</v>
      </c>
      <c r="H46" s="89">
        <v>10116.42</v>
      </c>
      <c r="I46" s="89">
        <v>630822.97</v>
      </c>
      <c r="K46" s="89">
        <v>3128548.08</v>
      </c>
      <c r="L46" s="89"/>
      <c r="N46" s="89">
        <v>276026</v>
      </c>
      <c r="O46">
        <v>25926.3</v>
      </c>
    </row>
    <row r="47" spans="2:15" x14ac:dyDescent="0.25">
      <c r="B47" s="90" t="s">
        <v>100</v>
      </c>
      <c r="C47" s="89">
        <v>3745.26</v>
      </c>
      <c r="D47" s="89">
        <v>3232.39</v>
      </c>
      <c r="E47" s="89">
        <v>8952940.5999999996</v>
      </c>
      <c r="G47" s="90" t="s">
        <v>348</v>
      </c>
      <c r="H47" s="89">
        <v>54221.98</v>
      </c>
      <c r="I47" s="89">
        <v>153361.72</v>
      </c>
      <c r="K47" s="89">
        <v>238107.07</v>
      </c>
      <c r="N47" s="89">
        <v>20281.400000000001</v>
      </c>
    </row>
    <row r="48" spans="2:15" x14ac:dyDescent="0.25">
      <c r="B48" s="90" t="s">
        <v>348</v>
      </c>
      <c r="C48" s="89">
        <v>341.14</v>
      </c>
      <c r="D48" s="89">
        <v>341.14</v>
      </c>
      <c r="E48" s="89">
        <v>494392.97</v>
      </c>
      <c r="G48" s="90" t="s">
        <v>272</v>
      </c>
      <c r="H48" s="89">
        <v>581.44000000000005</v>
      </c>
      <c r="I48" s="89">
        <v>91934.2</v>
      </c>
      <c r="K48" s="89">
        <v>648807.43999999994</v>
      </c>
      <c r="N48" s="89">
        <v>57487.69</v>
      </c>
    </row>
    <row r="49" spans="2:14" x14ac:dyDescent="0.25">
      <c r="B49" s="90" t="s">
        <v>272</v>
      </c>
      <c r="C49" s="89">
        <v>742.56</v>
      </c>
      <c r="D49" s="89">
        <v>742.56</v>
      </c>
      <c r="E49" s="89">
        <v>1494175.55</v>
      </c>
      <c r="G49" s="90" t="s">
        <v>300</v>
      </c>
      <c r="H49" s="89">
        <v>82172.39</v>
      </c>
      <c r="I49" s="89">
        <v>179034.89</v>
      </c>
      <c r="K49" s="89">
        <v>251897.54</v>
      </c>
      <c r="N49" s="89">
        <v>32010.59</v>
      </c>
    </row>
    <row r="50" spans="2:14" x14ac:dyDescent="0.25">
      <c r="B50" s="90" t="s">
        <v>300</v>
      </c>
      <c r="C50" s="89">
        <v>559.6</v>
      </c>
      <c r="D50" s="89">
        <v>559.6</v>
      </c>
      <c r="E50" s="89">
        <v>537448.59</v>
      </c>
      <c r="G50" s="90" t="s">
        <v>204</v>
      </c>
      <c r="H50" s="89">
        <v>154060.57</v>
      </c>
      <c r="I50" s="89">
        <v>256053.74</v>
      </c>
      <c r="K50" s="89">
        <v>695244.54</v>
      </c>
      <c r="N50" s="89">
        <v>85922.73</v>
      </c>
    </row>
    <row r="51" spans="2:14" x14ac:dyDescent="0.25">
      <c r="B51" s="90" t="s">
        <v>204</v>
      </c>
      <c r="C51" s="89">
        <v>1230.29</v>
      </c>
      <c r="D51" s="89">
        <v>1230.29</v>
      </c>
      <c r="E51" s="89">
        <v>2033296.83</v>
      </c>
      <c r="G51" s="90" t="s">
        <v>122</v>
      </c>
      <c r="H51" s="89">
        <v>6456.19</v>
      </c>
      <c r="I51" s="89">
        <v>890383.24</v>
      </c>
      <c r="K51" s="89">
        <v>2745532.89</v>
      </c>
      <c r="N51" s="89">
        <v>254138.8</v>
      </c>
    </row>
    <row r="52" spans="2:14" x14ac:dyDescent="0.25">
      <c r="B52" s="90" t="s">
        <v>122</v>
      </c>
      <c r="C52" s="89">
        <v>2577.69</v>
      </c>
      <c r="D52" s="89">
        <v>2577.69</v>
      </c>
      <c r="E52" s="89">
        <v>6813459.6799999997</v>
      </c>
      <c r="G52" s="90" t="s">
        <v>482</v>
      </c>
      <c r="H52">
        <v>696.5</v>
      </c>
      <c r="I52" s="89">
        <v>9405.3799999999992</v>
      </c>
      <c r="K52" s="89">
        <v>120362.11</v>
      </c>
      <c r="N52">
        <v>7524.84</v>
      </c>
    </row>
    <row r="53" spans="2:14" x14ac:dyDescent="0.25">
      <c r="B53" s="90" t="s">
        <v>482</v>
      </c>
      <c r="C53" s="89">
        <v>84.25</v>
      </c>
      <c r="E53" s="89">
        <v>751800.16</v>
      </c>
      <c r="G53" s="90" t="s">
        <v>316</v>
      </c>
      <c r="H53" s="89">
        <v>187.5</v>
      </c>
      <c r="I53" s="89">
        <v>102934.02</v>
      </c>
      <c r="K53" s="89">
        <v>498548.68</v>
      </c>
      <c r="N53" s="89">
        <v>58153.24</v>
      </c>
    </row>
    <row r="54" spans="2:14" x14ac:dyDescent="0.25">
      <c r="B54" s="90" t="s">
        <v>316</v>
      </c>
      <c r="C54" s="89">
        <v>577.32000000000005</v>
      </c>
      <c r="D54" s="89"/>
      <c r="E54" s="89">
        <v>1632145.78</v>
      </c>
      <c r="G54" s="90" t="s">
        <v>594</v>
      </c>
      <c r="H54" s="89"/>
      <c r="I54" s="89">
        <v>1051.04</v>
      </c>
      <c r="K54" s="89">
        <v>27697.14</v>
      </c>
      <c r="N54" s="89"/>
    </row>
    <row r="55" spans="2:14" x14ac:dyDescent="0.25">
      <c r="B55" s="90" t="s">
        <v>594</v>
      </c>
      <c r="C55" s="89">
        <v>22.63</v>
      </c>
      <c r="D55" s="89"/>
      <c r="E55" s="89">
        <v>122254.58</v>
      </c>
      <c r="G55" s="90" t="s">
        <v>102</v>
      </c>
      <c r="H55" s="89">
        <v>1866.14</v>
      </c>
      <c r="I55" s="89">
        <v>882426.18</v>
      </c>
      <c r="K55" s="89">
        <v>3025653.22</v>
      </c>
      <c r="N55" s="89">
        <v>179777.56</v>
      </c>
    </row>
    <row r="56" spans="2:14" x14ac:dyDescent="0.25">
      <c r="B56" s="90" t="s">
        <v>102</v>
      </c>
      <c r="C56" s="89">
        <v>4560.09</v>
      </c>
      <c r="D56" s="89"/>
      <c r="E56" s="89">
        <v>7604447.0899999999</v>
      </c>
      <c r="G56" s="90" t="s">
        <v>524</v>
      </c>
      <c r="H56" s="89">
        <v>2782.92</v>
      </c>
      <c r="I56" s="89">
        <v>25698.23</v>
      </c>
      <c r="K56" s="89">
        <v>46932.26</v>
      </c>
      <c r="N56">
        <v>3139.47</v>
      </c>
    </row>
    <row r="57" spans="2:14" x14ac:dyDescent="0.25">
      <c r="B57" s="90" t="s">
        <v>524</v>
      </c>
      <c r="C57" s="89"/>
      <c r="D57" s="89"/>
      <c r="E57" s="89">
        <v>168460.06</v>
      </c>
      <c r="G57" s="90" t="s">
        <v>432</v>
      </c>
      <c r="H57" s="89">
        <v>1049.55</v>
      </c>
      <c r="I57" s="89">
        <v>59585.26</v>
      </c>
      <c r="K57" s="89">
        <v>84688.2</v>
      </c>
      <c r="L57">
        <v>122090.07</v>
      </c>
      <c r="N57" s="89">
        <v>13408.78</v>
      </c>
    </row>
    <row r="58" spans="2:14" x14ac:dyDescent="0.25">
      <c r="B58" s="90" t="s">
        <v>432</v>
      </c>
      <c r="C58" s="89">
        <v>199.56</v>
      </c>
      <c r="D58" s="89"/>
      <c r="E58" s="89">
        <v>457977.43</v>
      </c>
      <c r="G58" s="90" t="s">
        <v>588</v>
      </c>
      <c r="H58" s="89">
        <v>89</v>
      </c>
      <c r="I58" s="89">
        <v>4611.09</v>
      </c>
      <c r="K58" s="89">
        <v>30223.72</v>
      </c>
      <c r="N58" s="89"/>
    </row>
    <row r="59" spans="2:14" x14ac:dyDescent="0.25">
      <c r="B59" s="90" t="s">
        <v>588</v>
      </c>
      <c r="C59" s="89">
        <v>568795.75</v>
      </c>
      <c r="D59" s="89">
        <v>4373.75</v>
      </c>
      <c r="E59" s="89">
        <v>176898.91</v>
      </c>
      <c r="G59" s="90" t="s">
        <v>488</v>
      </c>
      <c r="H59" s="89">
        <v>5456</v>
      </c>
      <c r="I59" s="89">
        <v>47585.94</v>
      </c>
      <c r="J59">
        <v>4021.43</v>
      </c>
      <c r="K59" s="89">
        <v>115479.06</v>
      </c>
      <c r="M59">
        <v>7591.61</v>
      </c>
      <c r="N59" s="89">
        <v>18721.78</v>
      </c>
    </row>
    <row r="60" spans="2:14" x14ac:dyDescent="0.25">
      <c r="B60" s="90" t="s">
        <v>488</v>
      </c>
      <c r="C60" s="89">
        <v>20161.89</v>
      </c>
      <c r="D60" s="89">
        <v>20161.89</v>
      </c>
      <c r="E60" s="89">
        <v>480117.42</v>
      </c>
      <c r="G60" s="90" t="s">
        <v>562</v>
      </c>
      <c r="H60">
        <v>921.48</v>
      </c>
      <c r="I60" s="89">
        <v>2817.51</v>
      </c>
      <c r="K60" s="89">
        <v>44752.92</v>
      </c>
      <c r="N60" s="89">
        <v>2852.61</v>
      </c>
    </row>
    <row r="61" spans="2:14" x14ac:dyDescent="0.25">
      <c r="B61" s="90" t="s">
        <v>562</v>
      </c>
      <c r="C61" s="89">
        <v>4701.78</v>
      </c>
      <c r="D61" s="89">
        <v>4701.78</v>
      </c>
      <c r="E61" s="89">
        <v>172833.86</v>
      </c>
      <c r="G61" s="90" t="s">
        <v>462</v>
      </c>
      <c r="H61" s="89">
        <v>745</v>
      </c>
      <c r="I61" s="89">
        <v>36438.769999999997</v>
      </c>
      <c r="J61">
        <v>4120</v>
      </c>
      <c r="K61" s="89">
        <v>107996.03</v>
      </c>
      <c r="M61">
        <v>58707.46</v>
      </c>
      <c r="N61" s="89">
        <v>14994.02</v>
      </c>
    </row>
    <row r="62" spans="2:14" x14ac:dyDescent="0.25">
      <c r="B62" s="90" t="s">
        <v>462</v>
      </c>
      <c r="C62">
        <v>1446333.36</v>
      </c>
      <c r="D62">
        <v>19500.36</v>
      </c>
      <c r="E62" s="89">
        <v>554784.09</v>
      </c>
      <c r="G62" s="90" t="s">
        <v>408</v>
      </c>
      <c r="H62" s="89">
        <v>1622</v>
      </c>
      <c r="I62" s="89">
        <v>83659.649999999994</v>
      </c>
      <c r="K62" s="89">
        <v>220941.33</v>
      </c>
      <c r="N62" s="89">
        <v>22801.439999999999</v>
      </c>
    </row>
    <row r="63" spans="2:14" x14ac:dyDescent="0.25">
      <c r="B63" s="90" t="s">
        <v>408</v>
      </c>
      <c r="C63" s="89">
        <v>68251.570000000007</v>
      </c>
      <c r="D63">
        <v>36245.25</v>
      </c>
      <c r="E63" s="89">
        <v>643065.38</v>
      </c>
      <c r="G63" s="90" t="s">
        <v>38</v>
      </c>
      <c r="H63" s="89">
        <v>115430.41</v>
      </c>
      <c r="I63" s="89">
        <v>1532045.79</v>
      </c>
      <c r="K63" s="89">
        <v>10838648.859999999</v>
      </c>
      <c r="N63" s="89">
        <v>310280.77</v>
      </c>
    </row>
    <row r="64" spans="2:14" x14ac:dyDescent="0.25">
      <c r="B64" s="90" t="s">
        <v>38</v>
      </c>
      <c r="E64" s="89">
        <v>28350398.09</v>
      </c>
      <c r="G64" s="90" t="s">
        <v>216</v>
      </c>
      <c r="H64" s="89">
        <v>13202.93</v>
      </c>
      <c r="I64" s="89">
        <v>31256.560000000001</v>
      </c>
      <c r="K64" s="89">
        <v>1337891.3600000001</v>
      </c>
      <c r="N64" s="89">
        <v>72520.259999999995</v>
      </c>
    </row>
    <row r="65" spans="2:15" x14ac:dyDescent="0.25">
      <c r="B65" s="90" t="s">
        <v>216</v>
      </c>
      <c r="C65" s="89">
        <v>234699.72</v>
      </c>
      <c r="E65" s="89">
        <v>3478266.33</v>
      </c>
      <c r="G65" s="90" t="s">
        <v>576</v>
      </c>
      <c r="H65" s="89">
        <v>3343.75</v>
      </c>
      <c r="I65" s="89">
        <v>26593.13</v>
      </c>
      <c r="K65" s="89">
        <v>40126.32</v>
      </c>
      <c r="N65" s="89"/>
    </row>
    <row r="66" spans="2:15" x14ac:dyDescent="0.25">
      <c r="B66" s="90" t="s">
        <v>606</v>
      </c>
      <c r="C66" s="89"/>
      <c r="D66" s="89"/>
      <c r="E66" s="89">
        <v>27927.09</v>
      </c>
      <c r="G66" s="90" t="s">
        <v>426</v>
      </c>
      <c r="H66" s="89">
        <v>7061.45</v>
      </c>
      <c r="I66" s="89">
        <v>80021.789999999994</v>
      </c>
      <c r="K66" s="89">
        <v>172203.02</v>
      </c>
      <c r="N66" s="89">
        <v>21022.2</v>
      </c>
    </row>
    <row r="67" spans="2:15" x14ac:dyDescent="0.25">
      <c r="B67" s="90" t="s">
        <v>576</v>
      </c>
      <c r="C67" s="89">
        <v>65.27</v>
      </c>
      <c r="E67" s="89">
        <v>49609.32</v>
      </c>
      <c r="G67" s="90" t="s">
        <v>206</v>
      </c>
      <c r="H67" s="89">
        <v>5976</v>
      </c>
      <c r="I67" s="89">
        <v>43978.879999999997</v>
      </c>
      <c r="K67" s="89">
        <v>1974877.91</v>
      </c>
      <c r="N67">
        <v>71325.11</v>
      </c>
    </row>
    <row r="68" spans="2:15" x14ac:dyDescent="0.25">
      <c r="B68" s="90" t="s">
        <v>426</v>
      </c>
      <c r="C68" s="89">
        <v>10398.02</v>
      </c>
      <c r="D68">
        <v>10398.02</v>
      </c>
      <c r="E68" s="89">
        <v>464673.22</v>
      </c>
      <c r="G68" s="90" t="s">
        <v>180</v>
      </c>
      <c r="H68" s="89">
        <v>12129.8</v>
      </c>
      <c r="I68" s="89">
        <v>83552.69</v>
      </c>
      <c r="K68" s="89">
        <v>2207073.35</v>
      </c>
      <c r="N68" s="89">
        <v>119016.72</v>
      </c>
    </row>
    <row r="69" spans="2:15" x14ac:dyDescent="0.25">
      <c r="B69" s="90" t="s">
        <v>206</v>
      </c>
      <c r="C69" s="89">
        <v>562550.86</v>
      </c>
      <c r="E69" s="89">
        <v>7076790.2199999997</v>
      </c>
      <c r="G69" s="90" t="s">
        <v>294</v>
      </c>
      <c r="H69" s="89">
        <v>7567.19</v>
      </c>
      <c r="I69" s="89">
        <v>138235.78</v>
      </c>
      <c r="K69" s="89"/>
      <c r="N69" s="89">
        <v>14796.8</v>
      </c>
    </row>
    <row r="70" spans="2:15" x14ac:dyDescent="0.25">
      <c r="B70" s="90" t="s">
        <v>180</v>
      </c>
      <c r="C70" s="89">
        <v>378.54</v>
      </c>
      <c r="E70" s="89">
        <v>5278355.03</v>
      </c>
      <c r="G70" s="90" t="s">
        <v>472</v>
      </c>
      <c r="H70" s="89">
        <v>21194.54</v>
      </c>
      <c r="I70" s="89">
        <v>19852.830000000002</v>
      </c>
      <c r="K70" s="89">
        <v>76009.789999999994</v>
      </c>
      <c r="N70" s="89">
        <v>13822.9</v>
      </c>
    </row>
    <row r="71" spans="2:15" x14ac:dyDescent="0.25">
      <c r="B71" s="90" t="s">
        <v>294</v>
      </c>
      <c r="C71" s="89">
        <v>579.21</v>
      </c>
      <c r="E71" s="89">
        <v>1591571.04</v>
      </c>
      <c r="G71" s="90" t="s">
        <v>386</v>
      </c>
      <c r="H71" s="89">
        <v>1794</v>
      </c>
      <c r="I71" s="89">
        <v>12568.28</v>
      </c>
      <c r="K71" s="89">
        <v>421392.4</v>
      </c>
      <c r="N71" s="89">
        <v>27913.37</v>
      </c>
    </row>
    <row r="72" spans="2:15" x14ac:dyDescent="0.25">
      <c r="B72" s="90" t="s">
        <v>472</v>
      </c>
      <c r="C72" s="89">
        <v>23.23</v>
      </c>
      <c r="E72" s="89">
        <v>375509.43</v>
      </c>
      <c r="G72" s="90" t="s">
        <v>234</v>
      </c>
      <c r="H72" s="89">
        <v>5081.75</v>
      </c>
      <c r="I72" s="89">
        <v>171960.72</v>
      </c>
      <c r="K72" s="89">
        <v>1091173.56</v>
      </c>
      <c r="N72" s="89">
        <v>75902.3</v>
      </c>
    </row>
    <row r="73" spans="2:15" x14ac:dyDescent="0.25">
      <c r="B73" s="90" t="s">
        <v>386</v>
      </c>
      <c r="C73" s="89">
        <v>63.82</v>
      </c>
      <c r="E73" s="89">
        <v>1211202.69</v>
      </c>
      <c r="G73" s="90" t="s">
        <v>80</v>
      </c>
      <c r="H73" s="89">
        <v>80016.039999999994</v>
      </c>
      <c r="I73" s="89">
        <v>654251.62</v>
      </c>
      <c r="K73" s="89">
        <v>4336642.04</v>
      </c>
      <c r="N73" s="89">
        <v>348715.47</v>
      </c>
    </row>
    <row r="74" spans="2:15" x14ac:dyDescent="0.25">
      <c r="B74" s="90" t="s">
        <v>234</v>
      </c>
      <c r="C74" s="89">
        <v>924.98</v>
      </c>
      <c r="E74" s="89">
        <v>2690632.08</v>
      </c>
      <c r="G74" s="90" t="s">
        <v>200</v>
      </c>
      <c r="H74" s="89">
        <v>9604.91</v>
      </c>
      <c r="I74" s="89">
        <v>534811.4</v>
      </c>
      <c r="K74" s="89">
        <v>1562682.84</v>
      </c>
      <c r="N74" s="89">
        <v>110667.55</v>
      </c>
    </row>
    <row r="75" spans="2:15" x14ac:dyDescent="0.25">
      <c r="B75" s="90" t="s">
        <v>80</v>
      </c>
      <c r="C75" s="89">
        <v>446.48</v>
      </c>
      <c r="E75" s="89">
        <v>11937372.92</v>
      </c>
      <c r="G75" s="90" t="s">
        <v>506</v>
      </c>
      <c r="H75" s="89">
        <v>1095.9100000000001</v>
      </c>
      <c r="I75" s="89">
        <v>23542.06</v>
      </c>
      <c r="K75" s="89">
        <v>54736.9</v>
      </c>
      <c r="N75" s="89">
        <v>5258.92</v>
      </c>
      <c r="O75" s="89"/>
    </row>
    <row r="76" spans="2:15" x14ac:dyDescent="0.25">
      <c r="B76" s="90" t="s">
        <v>200</v>
      </c>
      <c r="C76" s="89">
        <v>317.42</v>
      </c>
      <c r="E76" s="89">
        <v>3640753.09</v>
      </c>
      <c r="G76" s="90" t="s">
        <v>336</v>
      </c>
      <c r="H76" s="89">
        <v>4103.8500000000004</v>
      </c>
      <c r="I76" s="89">
        <v>15570.84</v>
      </c>
      <c r="K76" s="89">
        <v>397253.62</v>
      </c>
      <c r="N76" s="89">
        <v>33554.120000000003</v>
      </c>
    </row>
    <row r="77" spans="2:15" x14ac:dyDescent="0.25">
      <c r="B77" s="90" t="s">
        <v>506</v>
      </c>
      <c r="C77" s="89"/>
      <c r="D77" s="89"/>
      <c r="E77" s="89">
        <v>135195.87</v>
      </c>
      <c r="G77" s="90" t="s">
        <v>162</v>
      </c>
      <c r="H77" s="89">
        <v>15799.4</v>
      </c>
      <c r="I77" s="89">
        <v>246122.97</v>
      </c>
      <c r="J77">
        <v>37728.949999999997</v>
      </c>
      <c r="K77" s="89">
        <v>2215436.4700000002</v>
      </c>
      <c r="N77" s="89">
        <v>133270.35999999999</v>
      </c>
      <c r="O77">
        <v>1070.5</v>
      </c>
    </row>
    <row r="78" spans="2:15" x14ac:dyDescent="0.25">
      <c r="B78" s="90" t="s">
        <v>336</v>
      </c>
      <c r="C78" s="89">
        <v>996939.24</v>
      </c>
      <c r="D78" s="89"/>
      <c r="E78" s="89">
        <v>1371750.45</v>
      </c>
      <c r="G78" s="90" t="s">
        <v>238</v>
      </c>
      <c r="H78" s="89">
        <v>4553.78</v>
      </c>
      <c r="I78" s="89">
        <v>122821.55</v>
      </c>
      <c r="K78" s="89">
        <v>1344243.55</v>
      </c>
      <c r="N78" s="89">
        <v>107101.21</v>
      </c>
    </row>
    <row r="79" spans="2:15" x14ac:dyDescent="0.25">
      <c r="B79" s="90" t="s">
        <v>162</v>
      </c>
      <c r="C79" s="89">
        <v>7690.82</v>
      </c>
      <c r="D79" s="89">
        <v>7690.82</v>
      </c>
      <c r="E79" s="89">
        <v>6557642.6699999999</v>
      </c>
      <c r="G79" s="90" t="s">
        <v>342</v>
      </c>
      <c r="H79" s="89">
        <v>20677.78</v>
      </c>
      <c r="I79" s="89">
        <v>27193.42</v>
      </c>
      <c r="K79" s="89">
        <v>337337.24</v>
      </c>
      <c r="N79" s="89">
        <v>51556.51</v>
      </c>
    </row>
    <row r="80" spans="2:15" x14ac:dyDescent="0.25">
      <c r="B80" s="90" t="s">
        <v>238</v>
      </c>
      <c r="C80" s="89">
        <v>6962.36</v>
      </c>
      <c r="D80" s="89">
        <v>3945.03</v>
      </c>
      <c r="E80" s="89">
        <v>3388786.9</v>
      </c>
      <c r="G80" s="90" t="s">
        <v>414</v>
      </c>
      <c r="H80">
        <v>2028.35</v>
      </c>
      <c r="I80" s="89">
        <v>112569.88</v>
      </c>
      <c r="K80" s="89">
        <v>105681.12</v>
      </c>
      <c r="N80" s="89">
        <v>5751.96</v>
      </c>
      <c r="O80" s="89"/>
    </row>
    <row r="81" spans="2:16" x14ac:dyDescent="0.25">
      <c r="B81" s="90" t="s">
        <v>342</v>
      </c>
      <c r="C81" s="89">
        <v>224258.37</v>
      </c>
      <c r="D81" s="89">
        <v>1499.29</v>
      </c>
      <c r="E81" s="89">
        <v>1242512.23</v>
      </c>
      <c r="G81" s="90" t="s">
        <v>260</v>
      </c>
      <c r="H81" s="89">
        <v>116794.44</v>
      </c>
      <c r="I81" s="89">
        <v>187405.29</v>
      </c>
      <c r="K81" s="89">
        <v>321544.46999999997</v>
      </c>
      <c r="N81" s="89">
        <v>48721.57</v>
      </c>
    </row>
    <row r="82" spans="2:16" x14ac:dyDescent="0.25">
      <c r="B82" s="90" t="s">
        <v>414</v>
      </c>
      <c r="C82" s="89">
        <v>800.1</v>
      </c>
      <c r="D82" s="89">
        <v>800.1</v>
      </c>
      <c r="E82" s="89">
        <v>672875.11</v>
      </c>
      <c r="G82" s="90" t="s">
        <v>256</v>
      </c>
      <c r="H82" s="89"/>
      <c r="I82" s="89">
        <v>289921.99</v>
      </c>
      <c r="K82" s="89">
        <v>653201.81999999995</v>
      </c>
      <c r="N82" s="89">
        <v>65951.789999999994</v>
      </c>
      <c r="O82">
        <v>37479.550000000003</v>
      </c>
    </row>
    <row r="83" spans="2:16" x14ac:dyDescent="0.25">
      <c r="B83" s="90" t="s">
        <v>260</v>
      </c>
      <c r="C83" s="89">
        <v>3390.64</v>
      </c>
      <c r="D83" s="89">
        <v>3390.64</v>
      </c>
      <c r="E83" s="89">
        <v>1204547.54</v>
      </c>
      <c r="G83" s="90" t="s">
        <v>490</v>
      </c>
      <c r="H83" s="89">
        <v>1638</v>
      </c>
      <c r="I83" s="89">
        <v>3374.22</v>
      </c>
      <c r="K83" s="89">
        <v>116669.94</v>
      </c>
      <c r="N83" s="89">
        <v>8812.84</v>
      </c>
    </row>
    <row r="84" spans="2:16" x14ac:dyDescent="0.25">
      <c r="B84" s="90" t="s">
        <v>256</v>
      </c>
      <c r="C84" s="89">
        <v>3967.68</v>
      </c>
      <c r="D84" s="89">
        <v>3967.68</v>
      </c>
      <c r="E84" s="89">
        <v>2072750.41</v>
      </c>
      <c r="G84" s="90" t="s">
        <v>494</v>
      </c>
      <c r="H84">
        <v>4013.15</v>
      </c>
      <c r="I84" s="89">
        <v>28870.76</v>
      </c>
      <c r="J84">
        <v>7445.18</v>
      </c>
      <c r="K84" s="89">
        <v>211749.64</v>
      </c>
      <c r="L84">
        <v>3960</v>
      </c>
      <c r="N84">
        <v>13400.34</v>
      </c>
    </row>
    <row r="85" spans="2:16" x14ac:dyDescent="0.25">
      <c r="B85" s="90" t="s">
        <v>490</v>
      </c>
      <c r="C85" s="89">
        <v>42984.53</v>
      </c>
      <c r="D85" s="89">
        <v>485.12</v>
      </c>
      <c r="E85" s="89">
        <v>2630629.5099999998</v>
      </c>
      <c r="G85" s="90" t="s">
        <v>502</v>
      </c>
      <c r="H85" s="89">
        <v>594.17999999999995</v>
      </c>
      <c r="I85" s="89">
        <v>63279.56</v>
      </c>
      <c r="K85" s="89">
        <v>54475.32</v>
      </c>
      <c r="N85" s="89">
        <v>7332.09</v>
      </c>
    </row>
    <row r="86" spans="2:16" x14ac:dyDescent="0.25">
      <c r="B86" s="90" t="s">
        <v>494</v>
      </c>
      <c r="C86" s="89">
        <v>97889.16</v>
      </c>
      <c r="D86" s="89">
        <v>531.16</v>
      </c>
      <c r="E86" s="89">
        <v>403360.58</v>
      </c>
      <c r="G86" s="90" t="s">
        <v>552</v>
      </c>
      <c r="H86" s="89">
        <v>43.4</v>
      </c>
      <c r="I86" s="89">
        <v>19118.810000000001</v>
      </c>
      <c r="K86" s="89">
        <v>19444.27</v>
      </c>
      <c r="N86" s="89"/>
    </row>
    <row r="87" spans="2:16" x14ac:dyDescent="0.25">
      <c r="B87" s="90" t="s">
        <v>502</v>
      </c>
      <c r="C87" s="89">
        <v>442.74</v>
      </c>
      <c r="D87" s="89">
        <v>442.74</v>
      </c>
      <c r="E87" s="89">
        <v>210074.71</v>
      </c>
      <c r="G87" s="90" t="s">
        <v>496</v>
      </c>
      <c r="H87" s="89">
        <v>4024.08</v>
      </c>
      <c r="I87" s="89">
        <v>25185.18</v>
      </c>
      <c r="K87" s="89">
        <v>134678.26</v>
      </c>
      <c r="N87" s="89">
        <v>9129.7800000000007</v>
      </c>
    </row>
    <row r="88" spans="2:16" x14ac:dyDescent="0.25">
      <c r="B88" s="90" t="s">
        <v>552</v>
      </c>
      <c r="C88" s="89">
        <v>163.59</v>
      </c>
      <c r="D88" s="89">
        <v>163.59</v>
      </c>
      <c r="E88" s="89">
        <v>136177.07</v>
      </c>
      <c r="G88" s="90" t="s">
        <v>362</v>
      </c>
      <c r="H88" s="89">
        <v>3085.7</v>
      </c>
      <c r="I88" s="89">
        <v>10010.299999999999</v>
      </c>
      <c r="K88" s="89">
        <v>451180.97</v>
      </c>
      <c r="N88" s="89">
        <v>31697.59</v>
      </c>
    </row>
    <row r="89" spans="2:16" x14ac:dyDescent="0.25">
      <c r="B89" s="90" t="s">
        <v>496</v>
      </c>
      <c r="C89" s="89">
        <v>428.46</v>
      </c>
      <c r="D89" s="89">
        <v>428.46</v>
      </c>
      <c r="E89" s="89">
        <v>263662.86</v>
      </c>
      <c r="G89" s="90" t="s">
        <v>458</v>
      </c>
      <c r="H89" s="89">
        <v>1393</v>
      </c>
      <c r="I89" s="89">
        <v>82484.94</v>
      </c>
      <c r="K89" s="89">
        <v>179130.85</v>
      </c>
      <c r="N89" s="89">
        <v>17752.11</v>
      </c>
    </row>
    <row r="90" spans="2:16" x14ac:dyDescent="0.25">
      <c r="B90" s="90" t="s">
        <v>362</v>
      </c>
      <c r="C90" s="89">
        <v>1454.65</v>
      </c>
      <c r="D90">
        <v>1454.65</v>
      </c>
      <c r="E90" s="89">
        <v>1377540.66</v>
      </c>
      <c r="G90" s="90" t="s">
        <v>106</v>
      </c>
      <c r="H90" s="89">
        <v>599760.97</v>
      </c>
      <c r="I90" s="89">
        <v>818838.13</v>
      </c>
      <c r="K90" s="89">
        <v>1657319.97</v>
      </c>
      <c r="N90" s="89">
        <v>169663.28</v>
      </c>
    </row>
    <row r="91" spans="2:16" x14ac:dyDescent="0.25">
      <c r="B91" s="90" t="s">
        <v>458</v>
      </c>
      <c r="C91" s="89">
        <v>729378.92</v>
      </c>
      <c r="D91">
        <v>748.92</v>
      </c>
      <c r="E91" s="89">
        <v>1032845.12</v>
      </c>
      <c r="G91" s="90" t="s">
        <v>292</v>
      </c>
      <c r="H91">
        <v>164197.67000000001</v>
      </c>
      <c r="I91" s="89">
        <v>186287.34</v>
      </c>
      <c r="K91" s="89">
        <v>251834.37</v>
      </c>
      <c r="N91">
        <v>56208.14</v>
      </c>
    </row>
    <row r="92" spans="2:16" x14ac:dyDescent="0.25">
      <c r="B92" s="90" t="s">
        <v>106</v>
      </c>
      <c r="C92">
        <v>4933333.04</v>
      </c>
      <c r="E92" s="89">
        <v>3975245.42</v>
      </c>
      <c r="G92" s="90" t="s">
        <v>262</v>
      </c>
      <c r="H92" s="89">
        <v>83494.899999999994</v>
      </c>
      <c r="I92" s="89">
        <v>109891.7</v>
      </c>
      <c r="K92" s="89">
        <v>180398.52</v>
      </c>
      <c r="N92" s="89">
        <v>22791.83</v>
      </c>
    </row>
    <row r="93" spans="2:16" x14ac:dyDescent="0.25">
      <c r="B93" s="90" t="s">
        <v>292</v>
      </c>
      <c r="C93" s="89">
        <v>76047</v>
      </c>
      <c r="D93" s="89"/>
      <c r="E93" s="89">
        <v>823059.8</v>
      </c>
      <c r="G93" s="90" t="s">
        <v>596</v>
      </c>
      <c r="H93" s="89"/>
      <c r="I93" s="89">
        <v>735.91</v>
      </c>
      <c r="K93" s="89">
        <v>24775.200000000001</v>
      </c>
      <c r="N93" s="89"/>
    </row>
    <row r="94" spans="2:16" x14ac:dyDescent="0.25">
      <c r="B94" s="90" t="s">
        <v>262</v>
      </c>
      <c r="C94" s="89"/>
      <c r="D94" s="89"/>
      <c r="E94" s="89">
        <v>1162472.17</v>
      </c>
      <c r="G94" s="90" t="s">
        <v>566</v>
      </c>
      <c r="H94" s="89">
        <v>827.56</v>
      </c>
      <c r="I94" s="89">
        <v>14419.79</v>
      </c>
      <c r="J94">
        <v>1393.82</v>
      </c>
      <c r="K94" s="89">
        <v>47480.61</v>
      </c>
      <c r="L94" s="89"/>
      <c r="M94">
        <v>13102.6</v>
      </c>
      <c r="N94" s="89">
        <v>4188.82</v>
      </c>
    </row>
    <row r="95" spans="2:16" x14ac:dyDescent="0.25">
      <c r="B95" s="90" t="s">
        <v>596</v>
      </c>
      <c r="C95" s="89">
        <v>402227.93</v>
      </c>
      <c r="D95" s="89">
        <v>1938.93</v>
      </c>
      <c r="E95" s="89">
        <v>86968.21</v>
      </c>
      <c r="G95" s="90" t="s">
        <v>366</v>
      </c>
      <c r="H95" s="89">
        <v>11929.42</v>
      </c>
      <c r="I95" s="89">
        <v>52457.26</v>
      </c>
      <c r="J95">
        <v>14350.87</v>
      </c>
      <c r="K95" s="89">
        <v>113798.27</v>
      </c>
      <c r="N95" s="89"/>
    </row>
    <row r="96" spans="2:16" x14ac:dyDescent="0.25">
      <c r="B96" s="90" t="s">
        <v>566</v>
      </c>
      <c r="C96" s="89">
        <v>3458.63</v>
      </c>
      <c r="D96" s="89">
        <v>3458.63</v>
      </c>
      <c r="E96" s="89">
        <v>210451.69</v>
      </c>
      <c r="G96" s="90" t="s">
        <v>288</v>
      </c>
      <c r="H96" s="89">
        <v>23042.7</v>
      </c>
      <c r="I96" s="89">
        <v>91731.46</v>
      </c>
      <c r="K96" s="89">
        <v>257876.27</v>
      </c>
      <c r="M96" s="89"/>
      <c r="N96" s="89">
        <v>17069.75</v>
      </c>
      <c r="P96" s="89"/>
    </row>
    <row r="97" spans="2:16" x14ac:dyDescent="0.25">
      <c r="B97" s="90" t="s">
        <v>366</v>
      </c>
      <c r="C97" s="89">
        <v>11005.24</v>
      </c>
      <c r="D97" s="89">
        <v>11005.24</v>
      </c>
      <c r="E97" s="89">
        <v>344361.05</v>
      </c>
      <c r="G97" s="90" t="s">
        <v>278</v>
      </c>
      <c r="H97" s="89">
        <v>107888.36</v>
      </c>
      <c r="I97" s="89">
        <v>135070.35</v>
      </c>
      <c r="K97" s="89">
        <v>286517.81</v>
      </c>
      <c r="M97">
        <v>6096</v>
      </c>
      <c r="N97" s="89">
        <v>119317.23</v>
      </c>
    </row>
    <row r="98" spans="2:16" x14ac:dyDescent="0.25">
      <c r="B98" s="90" t="s">
        <v>288</v>
      </c>
      <c r="C98" s="89">
        <v>33547.629999999997</v>
      </c>
      <c r="D98" s="89">
        <v>33547.629999999997</v>
      </c>
      <c r="E98" s="89">
        <v>1261774.58</v>
      </c>
      <c r="G98" s="90" t="s">
        <v>4</v>
      </c>
      <c r="H98" s="89">
        <v>2619231.79</v>
      </c>
      <c r="I98" s="89">
        <v>3284288.55</v>
      </c>
      <c r="K98" s="89">
        <v>9021354.6500000004</v>
      </c>
      <c r="M98">
        <v>254148.11</v>
      </c>
      <c r="N98" s="89">
        <v>1508332.28</v>
      </c>
      <c r="P98">
        <v>359500.41</v>
      </c>
    </row>
    <row r="99" spans="2:16" x14ac:dyDescent="0.25">
      <c r="B99" s="90" t="s">
        <v>278</v>
      </c>
      <c r="C99" s="89">
        <v>61566.16</v>
      </c>
      <c r="D99" s="89">
        <v>61566.16</v>
      </c>
      <c r="E99" s="89">
        <v>1637725.6</v>
      </c>
      <c r="G99" s="90" t="s">
        <v>20</v>
      </c>
      <c r="H99" s="89">
        <v>103139.37</v>
      </c>
      <c r="I99" s="89">
        <v>2929466.18</v>
      </c>
      <c r="K99" s="89">
        <v>11206060.16</v>
      </c>
      <c r="N99" s="89">
        <v>1065421.3400000001</v>
      </c>
    </row>
    <row r="100" spans="2:16" x14ac:dyDescent="0.25">
      <c r="B100" s="90" t="s">
        <v>4</v>
      </c>
      <c r="C100" s="89">
        <v>67266.83</v>
      </c>
      <c r="D100" s="89">
        <v>67266.83</v>
      </c>
      <c r="E100" s="89">
        <v>67482369.200000003</v>
      </c>
      <c r="G100" s="90" t="s">
        <v>142</v>
      </c>
      <c r="H100" s="89">
        <v>725654.7</v>
      </c>
      <c r="I100" s="89">
        <v>286116.37</v>
      </c>
      <c r="K100" s="89">
        <v>942735.53</v>
      </c>
      <c r="N100" s="89">
        <v>148352.04</v>
      </c>
    </row>
    <row r="101" spans="2:16" x14ac:dyDescent="0.25">
      <c r="B101" s="90" t="s">
        <v>20</v>
      </c>
      <c r="C101" s="89">
        <v>27515.16</v>
      </c>
      <c r="D101" s="89">
        <v>27515.16</v>
      </c>
      <c r="E101" s="89">
        <v>30033540.780000001</v>
      </c>
      <c r="G101" s="90" t="s">
        <v>132</v>
      </c>
      <c r="H101" s="89">
        <v>1899635.14</v>
      </c>
      <c r="I101" s="89">
        <v>920.8</v>
      </c>
      <c r="K101" s="89">
        <v>115342.73</v>
      </c>
      <c r="N101">
        <v>69627.600000000006</v>
      </c>
    </row>
    <row r="102" spans="2:16" x14ac:dyDescent="0.25">
      <c r="B102" s="90" t="s">
        <v>142</v>
      </c>
      <c r="C102" s="89">
        <v>5552.3</v>
      </c>
      <c r="D102" s="89">
        <v>5552.3</v>
      </c>
      <c r="E102" s="89">
        <v>3438550.48</v>
      </c>
      <c r="G102" s="90" t="s">
        <v>32</v>
      </c>
      <c r="H102" s="89">
        <v>13002.03</v>
      </c>
      <c r="I102" s="89">
        <v>1625280.58</v>
      </c>
      <c r="K102" s="89">
        <v>9015642.0399999991</v>
      </c>
      <c r="N102" s="89">
        <v>814527.77</v>
      </c>
    </row>
    <row r="103" spans="2:16" x14ac:dyDescent="0.25">
      <c r="B103" s="90" t="s">
        <v>132</v>
      </c>
      <c r="C103" s="89">
        <v>5421.71</v>
      </c>
      <c r="D103" s="89">
        <v>5421.71</v>
      </c>
      <c r="E103" s="89">
        <v>1295440.21</v>
      </c>
      <c r="G103" s="90" t="s">
        <v>242</v>
      </c>
      <c r="H103">
        <v>365195.58</v>
      </c>
      <c r="I103" s="89">
        <v>167729.79</v>
      </c>
      <c r="K103" s="89">
        <v>210892.53</v>
      </c>
      <c r="N103">
        <v>52637.4</v>
      </c>
    </row>
    <row r="104" spans="2:16" x14ac:dyDescent="0.25">
      <c r="B104" s="90" t="s">
        <v>32</v>
      </c>
      <c r="C104" s="89">
        <v>22984.959999999999</v>
      </c>
      <c r="D104" s="89">
        <v>22984.959999999999</v>
      </c>
      <c r="E104" s="89">
        <v>28726835.629999999</v>
      </c>
      <c r="G104" s="90" t="s">
        <v>44</v>
      </c>
      <c r="H104" s="89">
        <v>176344.39</v>
      </c>
      <c r="I104" s="89">
        <v>2229628.87</v>
      </c>
      <c r="K104" s="89">
        <v>5156327.58</v>
      </c>
      <c r="N104" s="89">
        <v>734616.01</v>
      </c>
    </row>
    <row r="105" spans="2:16" x14ac:dyDescent="0.25">
      <c r="B105" s="90" t="s">
        <v>242</v>
      </c>
      <c r="C105" s="89">
        <v>1911.23</v>
      </c>
      <c r="D105" s="89">
        <v>1911.23</v>
      </c>
      <c r="E105" s="89">
        <v>972446.89</v>
      </c>
      <c r="G105" s="90" t="s">
        <v>568</v>
      </c>
      <c r="H105" s="89"/>
      <c r="I105" s="89">
        <v>9039.7000000000007</v>
      </c>
      <c r="K105" s="89">
        <v>31121.78</v>
      </c>
      <c r="N105" s="89"/>
    </row>
    <row r="106" spans="2:16" x14ac:dyDescent="0.25">
      <c r="B106" s="90" t="s">
        <v>44</v>
      </c>
      <c r="C106" s="89">
        <v>18987.77</v>
      </c>
      <c r="D106" s="89">
        <v>18987.77</v>
      </c>
      <c r="E106" s="89">
        <v>18580434.640000001</v>
      </c>
      <c r="G106" s="90" t="s">
        <v>28</v>
      </c>
      <c r="H106" s="89">
        <v>4359678.53</v>
      </c>
      <c r="I106" s="89">
        <v>641184.56999999995</v>
      </c>
      <c r="K106" s="89">
        <v>3419634.82</v>
      </c>
      <c r="N106" s="89">
        <v>630074.81000000006</v>
      </c>
    </row>
    <row r="107" spans="2:16" x14ac:dyDescent="0.25">
      <c r="B107" s="90" t="s">
        <v>568</v>
      </c>
      <c r="C107" s="89">
        <v>65.58</v>
      </c>
      <c r="D107" s="89">
        <v>65.58</v>
      </c>
      <c r="E107" s="89">
        <v>31121.78</v>
      </c>
      <c r="G107" s="90" t="s">
        <v>182</v>
      </c>
      <c r="H107" s="89">
        <v>3140.5</v>
      </c>
      <c r="I107" s="89">
        <v>66869.509999999995</v>
      </c>
      <c r="K107" s="89">
        <v>2109981.69</v>
      </c>
      <c r="N107" s="89">
        <v>54929.31</v>
      </c>
    </row>
    <row r="108" spans="2:16" x14ac:dyDescent="0.25">
      <c r="B108" s="90" t="s">
        <v>28</v>
      </c>
      <c r="C108" s="89">
        <v>25741.34</v>
      </c>
      <c r="D108" s="89">
        <v>25741.34</v>
      </c>
      <c r="E108" s="89">
        <v>13200420.99</v>
      </c>
      <c r="G108" s="90" t="s">
        <v>168</v>
      </c>
      <c r="H108" s="89">
        <v>860927.22</v>
      </c>
      <c r="I108" s="89">
        <v>12777.43</v>
      </c>
      <c r="K108" s="89">
        <v>377280.29</v>
      </c>
      <c r="N108" s="89">
        <v>109082.1</v>
      </c>
    </row>
    <row r="109" spans="2:16" x14ac:dyDescent="0.25">
      <c r="B109" s="90" t="s">
        <v>182</v>
      </c>
      <c r="C109" s="89">
        <v>3517.36</v>
      </c>
      <c r="D109" s="89">
        <v>3517.36</v>
      </c>
      <c r="E109" s="89">
        <v>4273726.54</v>
      </c>
      <c r="G109" s="90" t="s">
        <v>42</v>
      </c>
      <c r="H109" s="89">
        <v>121727.12</v>
      </c>
      <c r="I109" s="89">
        <v>3078356.39</v>
      </c>
      <c r="J109">
        <v>47380</v>
      </c>
      <c r="K109" s="89">
        <v>9824799.6699999999</v>
      </c>
      <c r="M109">
        <v>106250.85</v>
      </c>
      <c r="N109" s="89">
        <v>1104401.45</v>
      </c>
    </row>
    <row r="110" spans="2:16" x14ac:dyDescent="0.25">
      <c r="B110" s="90" t="s">
        <v>168</v>
      </c>
      <c r="C110" s="89">
        <v>3960.06</v>
      </c>
      <c r="D110" s="89">
        <v>3960.06</v>
      </c>
      <c r="E110" s="89">
        <v>1414901.98</v>
      </c>
      <c r="G110" s="90" t="s">
        <v>82</v>
      </c>
      <c r="H110" s="89">
        <v>1118576.3600000001</v>
      </c>
      <c r="I110" s="89">
        <v>120707.47</v>
      </c>
      <c r="K110" s="89">
        <v>793997.27</v>
      </c>
      <c r="N110" s="89">
        <v>135323.23000000001</v>
      </c>
    </row>
    <row r="111" spans="2:16" x14ac:dyDescent="0.25">
      <c r="B111" s="90" t="s">
        <v>42</v>
      </c>
      <c r="C111" s="89">
        <v>22496.74</v>
      </c>
      <c r="D111" s="89">
        <v>22496.74</v>
      </c>
      <c r="E111" s="89">
        <v>25983220.890000001</v>
      </c>
      <c r="G111" s="90" t="s">
        <v>90</v>
      </c>
      <c r="H111" s="89">
        <v>1388301.66</v>
      </c>
      <c r="I111" s="89">
        <v>11541.69</v>
      </c>
      <c r="K111" s="89">
        <v>469655.2</v>
      </c>
      <c r="M111" s="89"/>
      <c r="N111" s="89">
        <v>155289.01</v>
      </c>
    </row>
    <row r="112" spans="2:16" x14ac:dyDescent="0.25">
      <c r="B112" s="90" t="s">
        <v>82</v>
      </c>
      <c r="C112" s="89">
        <v>11565.05</v>
      </c>
      <c r="D112" s="89">
        <v>11565.05</v>
      </c>
      <c r="E112" s="89">
        <v>3735339.3</v>
      </c>
      <c r="G112" s="90" t="s">
        <v>26</v>
      </c>
      <c r="H112" s="89">
        <v>4789067.5599999996</v>
      </c>
      <c r="I112" s="89">
        <v>32946.54</v>
      </c>
      <c r="K112" s="89">
        <v>1374790.54</v>
      </c>
      <c r="N112" s="89">
        <v>369096.4</v>
      </c>
      <c r="P112">
        <v>11501.7</v>
      </c>
    </row>
    <row r="113" spans="2:16" x14ac:dyDescent="0.25">
      <c r="B113" s="90" t="s">
        <v>90</v>
      </c>
      <c r="C113" s="89">
        <v>9161.1200000000008</v>
      </c>
      <c r="D113" s="89">
        <v>9161.1200000000008</v>
      </c>
      <c r="E113" s="89">
        <v>2913785.59</v>
      </c>
      <c r="G113" s="90" t="s">
        <v>72</v>
      </c>
      <c r="H113" s="89">
        <v>1288917.7</v>
      </c>
      <c r="I113" s="89">
        <v>734568.01</v>
      </c>
      <c r="K113" s="89">
        <v>1942809.14</v>
      </c>
      <c r="N113" s="89">
        <v>279956</v>
      </c>
    </row>
    <row r="114" spans="2:16" x14ac:dyDescent="0.25">
      <c r="B114" s="90" t="s">
        <v>26</v>
      </c>
      <c r="C114" s="89">
        <v>25184.14</v>
      </c>
      <c r="D114" s="89">
        <v>25184.14</v>
      </c>
      <c r="E114" s="89">
        <v>8000813.0099999998</v>
      </c>
      <c r="G114" s="90" t="s">
        <v>8</v>
      </c>
      <c r="H114" s="89">
        <v>6513844.9800000004</v>
      </c>
      <c r="I114" s="89">
        <v>150069.71</v>
      </c>
      <c r="K114" s="89">
        <v>2150715.67</v>
      </c>
      <c r="N114" s="89">
        <v>519211.42</v>
      </c>
      <c r="P114" s="89"/>
    </row>
    <row r="115" spans="2:16" x14ac:dyDescent="0.25">
      <c r="B115" s="90" t="s">
        <v>72</v>
      </c>
      <c r="C115" s="89">
        <v>12233.57</v>
      </c>
      <c r="D115" s="89">
        <v>12233.57</v>
      </c>
      <c r="E115" s="89">
        <v>8534455.2599999998</v>
      </c>
      <c r="G115" s="90" t="s">
        <v>12</v>
      </c>
      <c r="H115">
        <v>170989.45</v>
      </c>
      <c r="I115" s="89">
        <v>4344535.22</v>
      </c>
      <c r="K115" s="89">
        <v>9541775.5500000007</v>
      </c>
      <c r="N115">
        <v>1198088.8400000001</v>
      </c>
    </row>
    <row r="116" spans="2:16" x14ac:dyDescent="0.25">
      <c r="B116" s="90" t="s">
        <v>8</v>
      </c>
      <c r="C116" s="89">
        <v>40592.86</v>
      </c>
      <c r="D116" s="89">
        <v>40592.86</v>
      </c>
      <c r="E116" s="89">
        <v>12925558.460000001</v>
      </c>
      <c r="G116" s="90" t="s">
        <v>22</v>
      </c>
      <c r="H116">
        <v>6135216.7699999996</v>
      </c>
      <c r="I116">
        <v>521672.96000000002</v>
      </c>
      <c r="K116" s="89">
        <v>2517428.35</v>
      </c>
      <c r="N116">
        <v>718151.37</v>
      </c>
    </row>
    <row r="117" spans="2:16" x14ac:dyDescent="0.25">
      <c r="B117" s="90" t="s">
        <v>12</v>
      </c>
      <c r="C117">
        <v>32750.73</v>
      </c>
      <c r="D117">
        <v>32750.73</v>
      </c>
      <c r="E117" s="89">
        <v>34109209.159999996</v>
      </c>
      <c r="G117" s="90" t="s">
        <v>480</v>
      </c>
      <c r="H117" s="89"/>
      <c r="I117" s="89">
        <v>1038</v>
      </c>
      <c r="K117" s="89">
        <v>23504.61</v>
      </c>
    </row>
    <row r="118" spans="2:16" x14ac:dyDescent="0.25">
      <c r="B118" s="90" t="s">
        <v>22</v>
      </c>
      <c r="C118">
        <v>1027145.33</v>
      </c>
      <c r="D118">
        <v>29595.71</v>
      </c>
      <c r="E118" s="89">
        <v>12834907.710000001</v>
      </c>
      <c r="G118" s="90" t="s">
        <v>392</v>
      </c>
      <c r="I118" s="89"/>
      <c r="K118" s="89">
        <v>99921.59</v>
      </c>
    </row>
    <row r="119" spans="2:16" x14ac:dyDescent="0.25">
      <c r="B119" s="90" t="s">
        <v>480</v>
      </c>
      <c r="E119" s="89">
        <v>179118.61</v>
      </c>
      <c r="G119" s="90" t="s">
        <v>998</v>
      </c>
      <c r="I119">
        <v>1937.21</v>
      </c>
      <c r="K119" s="89">
        <v>65239.63</v>
      </c>
    </row>
    <row r="120" spans="2:16" x14ac:dyDescent="0.25">
      <c r="B120" s="90" t="s">
        <v>392</v>
      </c>
      <c r="E120" s="89">
        <v>99921.59</v>
      </c>
      <c r="G120" s="90" t="s">
        <v>444</v>
      </c>
      <c r="H120" s="89"/>
      <c r="I120" s="89">
        <v>48187.43</v>
      </c>
      <c r="K120" s="89">
        <v>143462.89000000001</v>
      </c>
    </row>
    <row r="121" spans="2:16" x14ac:dyDescent="0.25">
      <c r="B121" s="90" t="s">
        <v>998</v>
      </c>
      <c r="E121" s="89">
        <v>538461.23</v>
      </c>
      <c r="G121" s="90" t="s">
        <v>999</v>
      </c>
      <c r="H121" s="89"/>
      <c r="I121" s="89">
        <v>5594.73</v>
      </c>
      <c r="K121" s="89">
        <v>54677.47</v>
      </c>
    </row>
    <row r="122" spans="2:16" x14ac:dyDescent="0.25">
      <c r="B122" s="90" t="s">
        <v>444</v>
      </c>
      <c r="E122" s="89">
        <v>390903.84</v>
      </c>
      <c r="G122" s="90" t="s">
        <v>1156</v>
      </c>
      <c r="I122" s="89">
        <v>87973.95</v>
      </c>
      <c r="K122" s="89">
        <v>223638.19</v>
      </c>
    </row>
    <row r="123" spans="2:16" x14ac:dyDescent="0.25">
      <c r="B123" s="90" t="s">
        <v>999</v>
      </c>
      <c r="E123" s="89">
        <v>1009837.17</v>
      </c>
      <c r="G123" s="90" t="s">
        <v>1158</v>
      </c>
      <c r="H123" s="89"/>
      <c r="I123" s="89">
        <v>71508.56</v>
      </c>
      <c r="K123" s="89">
        <v>167222.65</v>
      </c>
      <c r="N123" s="89"/>
    </row>
    <row r="124" spans="2:16" x14ac:dyDescent="0.25">
      <c r="B124" s="90" t="s">
        <v>1156</v>
      </c>
      <c r="E124" s="89">
        <v>584769.35</v>
      </c>
      <c r="G124" s="90" t="s">
        <v>1196</v>
      </c>
      <c r="H124" s="89"/>
      <c r="I124" s="89">
        <v>356.82</v>
      </c>
      <c r="K124" s="89">
        <v>1368.41</v>
      </c>
      <c r="N124" s="89"/>
    </row>
    <row r="125" spans="2:16" x14ac:dyDescent="0.25">
      <c r="B125" s="90" t="s">
        <v>1158</v>
      </c>
      <c r="C125" s="89"/>
      <c r="E125" s="89">
        <v>365922.65</v>
      </c>
      <c r="G125" s="90" t="s">
        <v>1255</v>
      </c>
      <c r="H125" s="89"/>
      <c r="I125" s="89">
        <v>32777.99</v>
      </c>
      <c r="K125" s="89">
        <v>120705.11</v>
      </c>
      <c r="N125" s="89"/>
    </row>
    <row r="126" spans="2:16" x14ac:dyDescent="0.25">
      <c r="B126" s="90" t="s">
        <v>1196</v>
      </c>
      <c r="E126" s="89">
        <v>164530.91</v>
      </c>
      <c r="G126" s="90" t="s">
        <v>118</v>
      </c>
      <c r="H126" s="89">
        <v>354110.08</v>
      </c>
      <c r="I126" s="89">
        <v>167877.17</v>
      </c>
      <c r="K126" s="89">
        <v>3100519.02</v>
      </c>
      <c r="N126" s="89">
        <v>221378</v>
      </c>
    </row>
    <row r="127" spans="2:16" x14ac:dyDescent="0.25">
      <c r="B127" s="90" t="s">
        <v>1255</v>
      </c>
      <c r="C127" s="89"/>
      <c r="E127" s="89">
        <v>644259.06000000006</v>
      </c>
      <c r="G127" s="90" t="s">
        <v>144</v>
      </c>
      <c r="H127" s="89">
        <v>1120030.33</v>
      </c>
      <c r="I127" s="89">
        <v>11750.18</v>
      </c>
      <c r="K127" s="89">
        <v>252012.25</v>
      </c>
      <c r="N127" s="89">
        <v>105694.48</v>
      </c>
      <c r="P127">
        <v>9469.64</v>
      </c>
    </row>
    <row r="128" spans="2:16" x14ac:dyDescent="0.25">
      <c r="B128" s="90" t="s">
        <v>118</v>
      </c>
      <c r="C128" s="89">
        <v>243318</v>
      </c>
      <c r="E128" s="89">
        <v>8665174.9299999997</v>
      </c>
      <c r="G128" s="90" t="s">
        <v>104</v>
      </c>
      <c r="H128">
        <v>563144.73</v>
      </c>
      <c r="I128" s="89">
        <v>589224.92000000004</v>
      </c>
      <c r="K128" s="89">
        <v>1092590.8999999999</v>
      </c>
      <c r="N128">
        <v>163962.47</v>
      </c>
    </row>
    <row r="129" spans="2:16" x14ac:dyDescent="0.25">
      <c r="B129" s="90" t="s">
        <v>144</v>
      </c>
      <c r="C129" s="89"/>
      <c r="E129" s="89">
        <v>1486827.49</v>
      </c>
      <c r="G129" s="90" t="s">
        <v>60</v>
      </c>
      <c r="H129" s="89">
        <v>787117.78</v>
      </c>
      <c r="I129" s="89">
        <v>1082448.83</v>
      </c>
      <c r="K129" s="89">
        <v>2530035.19</v>
      </c>
      <c r="N129" s="89">
        <v>343375.39</v>
      </c>
    </row>
    <row r="130" spans="2:16" x14ac:dyDescent="0.25">
      <c r="B130" s="90" t="s">
        <v>104</v>
      </c>
      <c r="C130">
        <v>1530062.79</v>
      </c>
      <c r="E130" s="89">
        <v>4799286.72</v>
      </c>
      <c r="G130" s="90" t="s">
        <v>68</v>
      </c>
      <c r="H130" s="89">
        <v>487374.41</v>
      </c>
      <c r="I130" s="89">
        <v>1636434.11</v>
      </c>
      <c r="K130" s="89">
        <v>3052794.08</v>
      </c>
      <c r="N130" s="89">
        <v>402921.76</v>
      </c>
    </row>
    <row r="131" spans="2:16" x14ac:dyDescent="0.25">
      <c r="B131" s="90" t="s">
        <v>60</v>
      </c>
      <c r="C131">
        <v>6426648.0199999996</v>
      </c>
      <c r="E131" s="89">
        <v>9247201.8000000007</v>
      </c>
      <c r="G131" s="90" t="s">
        <v>1159</v>
      </c>
      <c r="H131" s="89"/>
      <c r="I131" s="89">
        <v>144341.57</v>
      </c>
      <c r="K131" s="89">
        <v>111170.39</v>
      </c>
      <c r="N131" s="89"/>
    </row>
    <row r="132" spans="2:16" x14ac:dyDescent="0.25">
      <c r="B132" s="90" t="s">
        <v>68</v>
      </c>
      <c r="C132" s="89">
        <v>1531138.67</v>
      </c>
      <c r="D132" s="89"/>
      <c r="E132">
        <v>9611068.4299999997</v>
      </c>
      <c r="G132" s="90" t="s">
        <v>516</v>
      </c>
      <c r="H132" s="89">
        <v>115</v>
      </c>
      <c r="I132" s="89">
        <v>16010.89</v>
      </c>
      <c r="K132" s="89">
        <v>45463.62</v>
      </c>
      <c r="N132" s="89">
        <v>4808.32</v>
      </c>
    </row>
    <row r="133" spans="2:16" x14ac:dyDescent="0.25">
      <c r="B133" s="90" t="s">
        <v>1159</v>
      </c>
      <c r="C133" s="89"/>
      <c r="D133" s="89"/>
      <c r="E133" s="89">
        <v>1010058.26</v>
      </c>
      <c r="G133" s="90" t="s">
        <v>508</v>
      </c>
      <c r="H133" s="89">
        <v>4609.72</v>
      </c>
      <c r="I133" s="89">
        <v>65560.47</v>
      </c>
      <c r="K133" s="89">
        <v>86192.13</v>
      </c>
      <c r="N133">
        <v>6682.34</v>
      </c>
    </row>
    <row r="134" spans="2:16" x14ac:dyDescent="0.25">
      <c r="B134" s="90" t="s">
        <v>580</v>
      </c>
      <c r="C134" s="89">
        <v>7289.66</v>
      </c>
      <c r="D134" s="89">
        <v>465.86</v>
      </c>
      <c r="E134" s="89"/>
      <c r="G134" s="90" t="s">
        <v>166</v>
      </c>
      <c r="H134" s="89">
        <v>328104.05</v>
      </c>
      <c r="I134" s="89">
        <v>335981.4</v>
      </c>
      <c r="K134" s="89">
        <v>1062523.1000000001</v>
      </c>
      <c r="L134">
        <v>48197.440000000002</v>
      </c>
      <c r="N134" s="89">
        <v>162671.93</v>
      </c>
      <c r="P134">
        <v>35000</v>
      </c>
    </row>
    <row r="135" spans="2:16" x14ac:dyDescent="0.25">
      <c r="B135" s="90" t="s">
        <v>516</v>
      </c>
      <c r="C135" s="89">
        <v>807.84</v>
      </c>
      <c r="D135" s="89">
        <v>802.74</v>
      </c>
      <c r="E135" s="89">
        <v>90437.25</v>
      </c>
      <c r="G135" s="90" t="s">
        <v>350</v>
      </c>
      <c r="H135" s="89">
        <v>6005.46</v>
      </c>
      <c r="I135" s="89">
        <v>85114.89</v>
      </c>
      <c r="K135" s="89">
        <v>308056</v>
      </c>
      <c r="N135" s="89">
        <v>26570.959999999999</v>
      </c>
    </row>
    <row r="136" spans="2:16" x14ac:dyDescent="0.25">
      <c r="B136" s="90" t="s">
        <v>508</v>
      </c>
      <c r="C136" s="89">
        <v>2234.58</v>
      </c>
      <c r="D136" s="89">
        <v>2234.58</v>
      </c>
      <c r="E136" s="89">
        <v>334080.23</v>
      </c>
      <c r="G136" s="90" t="s">
        <v>314</v>
      </c>
      <c r="H136" s="89">
        <v>42731.19</v>
      </c>
      <c r="I136" s="89">
        <v>130462.91</v>
      </c>
      <c r="K136" s="89">
        <v>183495.81</v>
      </c>
      <c r="N136" s="89">
        <v>19675.349999999999</v>
      </c>
    </row>
    <row r="137" spans="2:16" x14ac:dyDescent="0.25">
      <c r="B137" s="90" t="s">
        <v>166</v>
      </c>
      <c r="C137" s="89">
        <v>30766.58</v>
      </c>
      <c r="D137" s="89">
        <v>30571.03</v>
      </c>
      <c r="E137" s="89">
        <v>3106643.04</v>
      </c>
      <c r="G137" s="90" t="s">
        <v>538</v>
      </c>
      <c r="H137" s="89">
        <v>31163.43</v>
      </c>
      <c r="I137" s="89">
        <v>7350.35</v>
      </c>
      <c r="K137" s="89">
        <v>67868.73</v>
      </c>
      <c r="M137">
        <v>37275.79</v>
      </c>
      <c r="N137" s="89">
        <v>6683.92</v>
      </c>
    </row>
    <row r="138" spans="2:16" x14ac:dyDescent="0.25">
      <c r="B138" s="90" t="s">
        <v>350</v>
      </c>
      <c r="C138" s="89">
        <v>5203.41</v>
      </c>
      <c r="D138" s="89">
        <v>5167.17</v>
      </c>
      <c r="E138" s="89">
        <v>749402.3</v>
      </c>
      <c r="G138" s="90" t="s">
        <v>534</v>
      </c>
      <c r="H138" s="89">
        <v>24970.47</v>
      </c>
      <c r="I138" s="89">
        <v>726.96</v>
      </c>
      <c r="K138" s="89">
        <v>20450.919999999998</v>
      </c>
      <c r="N138" s="89">
        <v>3633.28</v>
      </c>
    </row>
    <row r="139" spans="2:16" x14ac:dyDescent="0.25">
      <c r="B139" s="90" t="s">
        <v>314</v>
      </c>
      <c r="C139" s="89">
        <v>52929.88</v>
      </c>
      <c r="D139" s="89">
        <v>8858.81</v>
      </c>
      <c r="E139" s="89">
        <v>914440.31</v>
      </c>
      <c r="G139" s="90" t="s">
        <v>546</v>
      </c>
      <c r="H139" s="89">
        <v>5875.5</v>
      </c>
      <c r="I139" s="89">
        <v>9726.6200000000008</v>
      </c>
      <c r="K139" s="89">
        <v>38046.97</v>
      </c>
      <c r="N139" s="89">
        <v>4242.5200000000004</v>
      </c>
    </row>
    <row r="140" spans="2:16" x14ac:dyDescent="0.25">
      <c r="B140" s="90" t="s">
        <v>538</v>
      </c>
      <c r="C140" s="89">
        <v>142.05000000000001</v>
      </c>
      <c r="D140" s="89">
        <v>142.05000000000001</v>
      </c>
      <c r="E140" s="89">
        <v>233012.94</v>
      </c>
      <c r="G140" s="90" t="s">
        <v>548</v>
      </c>
      <c r="H140" s="89">
        <v>25431.72</v>
      </c>
      <c r="I140" s="89">
        <v>12233.89</v>
      </c>
      <c r="K140" s="89">
        <v>43640.58</v>
      </c>
      <c r="M140">
        <v>3643.2</v>
      </c>
      <c r="N140" s="89">
        <v>6382.51</v>
      </c>
    </row>
    <row r="141" spans="2:16" x14ac:dyDescent="0.25">
      <c r="B141" s="90" t="s">
        <v>528</v>
      </c>
      <c r="C141" s="89">
        <v>144.96</v>
      </c>
      <c r="D141" s="89">
        <v>144.96</v>
      </c>
      <c r="E141" s="89">
        <v>12782.15</v>
      </c>
      <c r="G141" s="90" t="s">
        <v>304</v>
      </c>
      <c r="H141" s="89">
        <v>2114.6999999999998</v>
      </c>
      <c r="I141" s="89">
        <v>145988.87</v>
      </c>
      <c r="K141" s="89">
        <v>411996.73</v>
      </c>
      <c r="N141" s="89">
        <v>47148.6</v>
      </c>
    </row>
    <row r="142" spans="2:16" x14ac:dyDescent="0.25">
      <c r="B142" s="90" t="s">
        <v>534</v>
      </c>
      <c r="C142" s="89">
        <v>147.01</v>
      </c>
      <c r="D142" s="89">
        <v>147.01</v>
      </c>
      <c r="E142" s="89">
        <v>125422.39999999999</v>
      </c>
      <c r="G142" s="90" t="s">
        <v>274</v>
      </c>
      <c r="H142" s="89">
        <v>57722.28</v>
      </c>
      <c r="I142">
        <v>96086.81</v>
      </c>
      <c r="K142">
        <v>237938.91</v>
      </c>
      <c r="N142">
        <v>32308.43</v>
      </c>
    </row>
    <row r="143" spans="2:16" x14ac:dyDescent="0.25">
      <c r="B143" s="90" t="s">
        <v>460</v>
      </c>
      <c r="C143" s="89">
        <v>327.60000000000002</v>
      </c>
      <c r="D143" s="89">
        <v>327.60000000000002</v>
      </c>
      <c r="E143" s="89">
        <v>113446.87</v>
      </c>
      <c r="G143" s="90" t="s">
        <v>456</v>
      </c>
      <c r="H143" s="89">
        <v>100.75</v>
      </c>
      <c r="I143" s="89">
        <v>30242.13</v>
      </c>
      <c r="K143" s="89">
        <v>73495.72</v>
      </c>
      <c r="N143" s="89">
        <v>7687.06</v>
      </c>
    </row>
    <row r="144" spans="2:16" x14ac:dyDescent="0.25">
      <c r="B144" s="90" t="s">
        <v>546</v>
      </c>
      <c r="C144" s="89">
        <v>24922.48</v>
      </c>
      <c r="D144" s="89">
        <v>89.48</v>
      </c>
      <c r="E144" s="89">
        <v>95181.56</v>
      </c>
      <c r="G144" s="90" t="s">
        <v>322</v>
      </c>
      <c r="H144" s="89">
        <v>23933.85</v>
      </c>
      <c r="I144" s="89">
        <v>106408.02</v>
      </c>
      <c r="K144" s="89">
        <v>167363.74</v>
      </c>
      <c r="N144" s="89">
        <v>25030.61</v>
      </c>
    </row>
    <row r="145" spans="2:14" x14ac:dyDescent="0.25">
      <c r="B145" s="90" t="s">
        <v>548</v>
      </c>
      <c r="C145" s="89">
        <v>118.72</v>
      </c>
      <c r="D145" s="89">
        <v>118.72</v>
      </c>
      <c r="E145" s="89">
        <v>115732.28</v>
      </c>
      <c r="G145" s="90" t="s">
        <v>570</v>
      </c>
      <c r="H145" s="89">
        <v>172</v>
      </c>
      <c r="I145" s="89"/>
      <c r="K145" s="89"/>
      <c r="N145" s="89"/>
    </row>
    <row r="146" spans="2:14" x14ac:dyDescent="0.25">
      <c r="B146" s="90" t="s">
        <v>592</v>
      </c>
      <c r="C146" s="89"/>
      <c r="D146" s="89"/>
      <c r="E146" s="89">
        <v>74718.22</v>
      </c>
      <c r="G146" s="90" t="s">
        <v>384</v>
      </c>
      <c r="H146">
        <v>5049.3500000000004</v>
      </c>
      <c r="I146" s="89">
        <v>91097.7</v>
      </c>
      <c r="K146" s="89">
        <v>312447.94</v>
      </c>
      <c r="N146" s="89">
        <v>48699.82</v>
      </c>
    </row>
    <row r="147" spans="2:14" x14ac:dyDescent="0.25">
      <c r="B147" s="90" t="s">
        <v>304</v>
      </c>
      <c r="C147" s="89">
        <v>1413.6</v>
      </c>
      <c r="D147" s="89">
        <v>1413.6</v>
      </c>
      <c r="E147" s="89">
        <v>1401113.65</v>
      </c>
      <c r="G147" s="90" t="s">
        <v>420</v>
      </c>
      <c r="H147" s="89">
        <v>3100.34</v>
      </c>
      <c r="I147" s="89">
        <v>64577.96</v>
      </c>
      <c r="K147" s="89">
        <v>238001.09</v>
      </c>
      <c r="N147" s="89">
        <v>6092.41</v>
      </c>
    </row>
    <row r="148" spans="2:14" x14ac:dyDescent="0.25">
      <c r="B148" s="90" t="s">
        <v>274</v>
      </c>
      <c r="C148" s="89">
        <v>1691.52</v>
      </c>
      <c r="D148" s="89">
        <v>1691.52</v>
      </c>
      <c r="E148" s="89">
        <v>1243492.78</v>
      </c>
      <c r="G148" s="90" t="s">
        <v>354</v>
      </c>
      <c r="H148" s="89">
        <v>192239.16</v>
      </c>
      <c r="I148" s="89">
        <v>5585.1</v>
      </c>
      <c r="K148" s="89">
        <v>109921.49</v>
      </c>
      <c r="N148" s="89">
        <v>21129.5</v>
      </c>
    </row>
    <row r="149" spans="2:14" x14ac:dyDescent="0.25">
      <c r="B149" s="90" t="s">
        <v>456</v>
      </c>
      <c r="C149" s="89">
        <v>289.89999999999998</v>
      </c>
      <c r="D149" s="89">
        <v>289.89999999999998</v>
      </c>
      <c r="E149" s="89">
        <v>363700.38</v>
      </c>
      <c r="G149" s="90" t="s">
        <v>340</v>
      </c>
      <c r="H149" s="89">
        <v>3659.05</v>
      </c>
      <c r="I149" s="89">
        <v>65830.210000000006</v>
      </c>
      <c r="K149" s="89">
        <v>687101.5</v>
      </c>
      <c r="N149" s="89">
        <v>47030.41</v>
      </c>
    </row>
    <row r="150" spans="2:14" x14ac:dyDescent="0.25">
      <c r="B150" s="90" t="s">
        <v>322</v>
      </c>
      <c r="C150" s="89">
        <v>8672.1</v>
      </c>
      <c r="D150" s="89">
        <v>8672.1</v>
      </c>
      <c r="E150" s="89">
        <v>623018.63</v>
      </c>
      <c r="G150" s="90" t="s">
        <v>526</v>
      </c>
      <c r="H150" s="89">
        <v>740.5</v>
      </c>
      <c r="I150" s="89">
        <v>47056.66</v>
      </c>
      <c r="J150">
        <v>1887.25</v>
      </c>
      <c r="K150" s="89">
        <v>29046.240000000002</v>
      </c>
      <c r="M150">
        <v>6645.33</v>
      </c>
      <c r="N150" s="89">
        <v>3626.93</v>
      </c>
    </row>
    <row r="151" spans="2:14" x14ac:dyDescent="0.25">
      <c r="B151" s="90" t="s">
        <v>570</v>
      </c>
      <c r="C151" s="89">
        <v>588.71</v>
      </c>
      <c r="D151" s="89">
        <v>588.71</v>
      </c>
      <c r="E151" s="89">
        <v>115146.23</v>
      </c>
      <c r="G151" s="90" t="s">
        <v>330</v>
      </c>
      <c r="H151" s="89">
        <v>1773.65</v>
      </c>
      <c r="I151" s="89">
        <v>204586.86</v>
      </c>
      <c r="K151" s="89">
        <v>339287.75</v>
      </c>
      <c r="N151" s="89">
        <v>35566.14</v>
      </c>
    </row>
    <row r="152" spans="2:14" x14ac:dyDescent="0.25">
      <c r="B152" s="90" t="s">
        <v>384</v>
      </c>
      <c r="C152" s="89">
        <v>6766.02</v>
      </c>
      <c r="D152" s="89">
        <v>6766.02</v>
      </c>
      <c r="E152" s="89">
        <v>917362.22</v>
      </c>
      <c r="G152" s="90" t="s">
        <v>324</v>
      </c>
      <c r="H152" s="89">
        <v>10972.32</v>
      </c>
      <c r="I152" s="89">
        <v>192154.71</v>
      </c>
      <c r="K152" s="89">
        <v>445426.18</v>
      </c>
      <c r="N152" s="89">
        <v>89650.25</v>
      </c>
    </row>
    <row r="153" spans="2:14" x14ac:dyDescent="0.25">
      <c r="B153" s="90" t="s">
        <v>420</v>
      </c>
      <c r="C153" s="89">
        <v>4573.0600000000004</v>
      </c>
      <c r="D153" s="89">
        <v>4573.0600000000004</v>
      </c>
      <c r="E153" s="89">
        <v>555207.43999999994</v>
      </c>
      <c r="G153" s="90" t="s">
        <v>436</v>
      </c>
      <c r="H153">
        <v>4034.55</v>
      </c>
      <c r="I153" s="89">
        <v>56135.14</v>
      </c>
      <c r="J153">
        <v>2534.0300000000002</v>
      </c>
      <c r="K153" s="89">
        <v>162212.04</v>
      </c>
      <c r="M153">
        <v>15850.93</v>
      </c>
      <c r="N153" s="89">
        <v>13302.19</v>
      </c>
    </row>
    <row r="154" spans="2:14" x14ac:dyDescent="0.25">
      <c r="B154" s="90" t="s">
        <v>354</v>
      </c>
      <c r="C154" s="89">
        <v>6886.26</v>
      </c>
      <c r="D154" s="89">
        <v>6886.26</v>
      </c>
      <c r="E154" s="89">
        <v>385526.18</v>
      </c>
      <c r="G154" s="90" t="s">
        <v>178</v>
      </c>
      <c r="H154" s="89">
        <v>105431.89</v>
      </c>
      <c r="I154" s="89">
        <v>373543.39</v>
      </c>
      <c r="K154" s="89">
        <v>1009889.49</v>
      </c>
      <c r="N154" s="89">
        <v>107913.74</v>
      </c>
    </row>
    <row r="155" spans="2:14" x14ac:dyDescent="0.25">
      <c r="B155" s="90" t="s">
        <v>340</v>
      </c>
      <c r="C155" s="89">
        <v>8105.46</v>
      </c>
      <c r="D155" s="89">
        <v>8105.46</v>
      </c>
      <c r="E155" s="89">
        <v>1426591.79</v>
      </c>
      <c r="G155" s="90" t="s">
        <v>400</v>
      </c>
      <c r="H155" s="89">
        <v>954.8</v>
      </c>
      <c r="I155" s="89">
        <v>30175.53</v>
      </c>
      <c r="K155" s="89">
        <v>263102</v>
      </c>
      <c r="N155" s="89">
        <v>25049.43</v>
      </c>
    </row>
    <row r="156" spans="2:14" x14ac:dyDescent="0.25">
      <c r="B156" s="90" t="s">
        <v>526</v>
      </c>
      <c r="C156" s="89">
        <v>988.36</v>
      </c>
      <c r="D156" s="89">
        <v>988.36</v>
      </c>
      <c r="E156" s="89">
        <v>174047.47</v>
      </c>
      <c r="G156" s="90" t="s">
        <v>158</v>
      </c>
      <c r="H156" s="89"/>
      <c r="I156" s="89">
        <v>95808.82</v>
      </c>
      <c r="K156" s="89">
        <v>2207900.37</v>
      </c>
      <c r="N156">
        <v>160717.04999999999</v>
      </c>
    </row>
    <row r="157" spans="2:14" x14ac:dyDescent="0.25">
      <c r="B157" s="90" t="s">
        <v>330</v>
      </c>
      <c r="C157" s="89">
        <v>9943.3799999999992</v>
      </c>
      <c r="D157" s="89">
        <v>9943.3799999999992</v>
      </c>
      <c r="E157" s="89">
        <v>856721.14</v>
      </c>
      <c r="G157" s="90" t="s">
        <v>550</v>
      </c>
      <c r="H157" s="89">
        <v>2486.4499999999998</v>
      </c>
      <c r="I157" s="89">
        <v>13774.22</v>
      </c>
      <c r="K157" s="89">
        <v>33114.86</v>
      </c>
      <c r="N157" s="89">
        <v>5631.81</v>
      </c>
    </row>
    <row r="158" spans="2:14" x14ac:dyDescent="0.25">
      <c r="B158" s="90" t="s">
        <v>324</v>
      </c>
      <c r="C158" s="89">
        <v>9430.86</v>
      </c>
      <c r="D158" s="89">
        <v>9430.86</v>
      </c>
      <c r="E158" s="89">
        <v>1200945.6200000001</v>
      </c>
      <c r="G158" s="90" t="s">
        <v>376</v>
      </c>
      <c r="H158" s="89">
        <v>35453.760000000002</v>
      </c>
      <c r="I158" s="89">
        <v>126049.27</v>
      </c>
      <c r="K158" s="89">
        <v>177360.42</v>
      </c>
      <c r="N158" s="89"/>
    </row>
    <row r="159" spans="2:14" x14ac:dyDescent="0.25">
      <c r="B159" s="90" t="s">
        <v>436</v>
      </c>
      <c r="C159" s="89">
        <v>2954.55</v>
      </c>
      <c r="D159" s="89">
        <v>2954.55</v>
      </c>
      <c r="E159" s="89">
        <v>397231</v>
      </c>
      <c r="G159" s="90" t="s">
        <v>542</v>
      </c>
      <c r="H159" s="89">
        <v>1290.8</v>
      </c>
      <c r="I159" s="89">
        <v>54333.9</v>
      </c>
      <c r="J159">
        <v>11886.67</v>
      </c>
      <c r="K159" s="89">
        <v>40584.85</v>
      </c>
      <c r="N159" s="89"/>
    </row>
    <row r="160" spans="2:14" x14ac:dyDescent="0.25">
      <c r="B160" s="90" t="s">
        <v>178</v>
      </c>
      <c r="C160" s="89">
        <v>32426.48</v>
      </c>
      <c r="D160" s="89">
        <v>32426.48</v>
      </c>
      <c r="E160" s="89">
        <v>4127573.3</v>
      </c>
      <c r="G160" s="90" t="s">
        <v>530</v>
      </c>
      <c r="H160" s="89">
        <v>12324.85</v>
      </c>
      <c r="I160" s="89">
        <v>7164.87</v>
      </c>
      <c r="K160" s="89">
        <v>47848.11</v>
      </c>
      <c r="N160" s="89">
        <v>7860.63</v>
      </c>
    </row>
    <row r="161" spans="2:15" x14ac:dyDescent="0.25">
      <c r="B161" s="90" t="s">
        <v>400</v>
      </c>
      <c r="C161">
        <v>3775.24</v>
      </c>
      <c r="D161">
        <v>3775.24</v>
      </c>
      <c r="E161" s="89">
        <v>718211.56</v>
      </c>
      <c r="G161" s="90" t="s">
        <v>446</v>
      </c>
      <c r="H161" s="89">
        <v>26712.02</v>
      </c>
      <c r="I161" s="89">
        <v>57387.95</v>
      </c>
      <c r="K161" s="89">
        <v>83177.14</v>
      </c>
      <c r="N161" s="89">
        <v>10903.43</v>
      </c>
    </row>
    <row r="162" spans="2:15" x14ac:dyDescent="0.25">
      <c r="B162" s="90" t="s">
        <v>158</v>
      </c>
      <c r="C162">
        <v>35626.15</v>
      </c>
      <c r="D162">
        <v>35626.15</v>
      </c>
      <c r="E162" s="89">
        <v>5922496.1699999999</v>
      </c>
      <c r="G162" s="90" t="s">
        <v>438</v>
      </c>
      <c r="H162" s="89">
        <v>8398.75</v>
      </c>
      <c r="I162" s="89">
        <v>41197.43</v>
      </c>
      <c r="K162" s="89">
        <v>56478.12</v>
      </c>
      <c r="N162" s="89">
        <v>6705.72</v>
      </c>
    </row>
    <row r="163" spans="2:15" x14ac:dyDescent="0.25">
      <c r="B163" s="90" t="s">
        <v>550</v>
      </c>
      <c r="E163" s="89">
        <v>136212.04</v>
      </c>
      <c r="G163" s="90" t="s">
        <v>518</v>
      </c>
      <c r="H163" s="89">
        <v>1026.5</v>
      </c>
      <c r="I163" s="89">
        <v>19541.13</v>
      </c>
      <c r="K163" s="89">
        <v>74850.45</v>
      </c>
      <c r="M163">
        <v>37917.94</v>
      </c>
      <c r="N163" s="89">
        <v>5923.71</v>
      </c>
    </row>
    <row r="164" spans="2:15" x14ac:dyDescent="0.25">
      <c r="B164" s="90" t="s">
        <v>376</v>
      </c>
      <c r="E164" s="89">
        <v>806604.21</v>
      </c>
      <c r="G164" s="90" t="s">
        <v>368</v>
      </c>
      <c r="H164" s="89">
        <v>34762.800000000003</v>
      </c>
      <c r="I164" s="89">
        <v>105046.03</v>
      </c>
      <c r="K164" s="89">
        <v>199257.28</v>
      </c>
      <c r="N164" s="89">
        <v>26319.65</v>
      </c>
      <c r="O164" s="89"/>
    </row>
    <row r="165" spans="2:15" x14ac:dyDescent="0.25">
      <c r="B165" s="90" t="s">
        <v>542</v>
      </c>
      <c r="E165" s="89">
        <v>92060.78</v>
      </c>
      <c r="G165" s="90" t="s">
        <v>464</v>
      </c>
      <c r="H165" s="89">
        <v>5</v>
      </c>
      <c r="I165" s="89">
        <v>60546.59</v>
      </c>
      <c r="K165" s="89">
        <v>62448.28</v>
      </c>
      <c r="N165" s="89">
        <v>4382.75</v>
      </c>
    </row>
    <row r="166" spans="2:15" x14ac:dyDescent="0.25">
      <c r="B166" s="90" t="s">
        <v>530</v>
      </c>
      <c r="E166" s="89">
        <v>160447.67999999999</v>
      </c>
      <c r="G166" s="90" t="s">
        <v>466</v>
      </c>
      <c r="H166" s="89">
        <v>2153.84</v>
      </c>
      <c r="I166" s="89">
        <v>69086.5</v>
      </c>
      <c r="K166" s="89">
        <v>75347.95</v>
      </c>
      <c r="N166" s="89">
        <v>7673.53</v>
      </c>
    </row>
    <row r="167" spans="2:15" x14ac:dyDescent="0.25">
      <c r="B167" s="90" t="s">
        <v>446</v>
      </c>
      <c r="E167" s="89">
        <v>257401.03</v>
      </c>
      <c r="G167" s="90" t="s">
        <v>130</v>
      </c>
      <c r="H167" s="89">
        <v>27071.65</v>
      </c>
      <c r="I167" s="89">
        <v>274125.55</v>
      </c>
      <c r="K167" s="89">
        <v>2674829.0499999998</v>
      </c>
      <c r="N167" s="89">
        <v>201425.25</v>
      </c>
      <c r="O167">
        <v>100670</v>
      </c>
    </row>
    <row r="168" spans="2:15" x14ac:dyDescent="0.25">
      <c r="B168" s="90" t="s">
        <v>438</v>
      </c>
      <c r="C168">
        <v>96871.65</v>
      </c>
      <c r="E168" s="89">
        <v>232235.49</v>
      </c>
      <c r="G168" s="90" t="s">
        <v>374</v>
      </c>
      <c r="H168" s="89">
        <v>1736.22</v>
      </c>
      <c r="I168" s="89">
        <v>16930.93</v>
      </c>
      <c r="K168" s="89">
        <v>153046.60999999999</v>
      </c>
      <c r="N168" s="89">
        <v>14326.47</v>
      </c>
    </row>
    <row r="169" spans="2:15" x14ac:dyDescent="0.25">
      <c r="B169" s="90" t="s">
        <v>518</v>
      </c>
      <c r="C169" s="89"/>
      <c r="D169" s="89"/>
      <c r="E169" s="89">
        <v>242001.26</v>
      </c>
      <c r="G169" s="90" t="s">
        <v>334</v>
      </c>
      <c r="H169" s="89">
        <v>2386.5</v>
      </c>
      <c r="I169" s="89">
        <v>119490.7</v>
      </c>
      <c r="K169" s="89">
        <v>386000.68</v>
      </c>
      <c r="M169">
        <v>20000</v>
      </c>
      <c r="N169" s="89">
        <v>39523.980000000003</v>
      </c>
    </row>
    <row r="170" spans="2:15" x14ac:dyDescent="0.25">
      <c r="B170" s="90" t="s">
        <v>368</v>
      </c>
      <c r="C170" s="89"/>
      <c r="D170" s="89"/>
      <c r="E170" s="89">
        <v>654602.74</v>
      </c>
      <c r="G170" s="90" t="s">
        <v>214</v>
      </c>
      <c r="H170" s="89">
        <v>6312.9</v>
      </c>
      <c r="I170" s="89">
        <v>561481.57999999996</v>
      </c>
      <c r="K170" s="89">
        <v>1184260.21</v>
      </c>
      <c r="N170" s="89">
        <v>148784.92000000001</v>
      </c>
    </row>
    <row r="171" spans="2:15" x14ac:dyDescent="0.25">
      <c r="B171" s="90" t="s">
        <v>464</v>
      </c>
      <c r="C171" s="89">
        <v>700.82</v>
      </c>
      <c r="D171" s="89">
        <v>700.82</v>
      </c>
      <c r="E171" s="89">
        <v>468191.61</v>
      </c>
      <c r="G171" s="90" t="s">
        <v>424</v>
      </c>
      <c r="H171" s="89">
        <v>2787.02</v>
      </c>
      <c r="I171" s="89">
        <v>13386.17</v>
      </c>
      <c r="K171" s="89">
        <v>289449.74</v>
      </c>
      <c r="N171" s="89">
        <v>16835.099999999999</v>
      </c>
    </row>
    <row r="172" spans="2:15" x14ac:dyDescent="0.25">
      <c r="B172" s="90" t="s">
        <v>466</v>
      </c>
      <c r="C172" s="89">
        <v>695.49</v>
      </c>
      <c r="D172" s="89">
        <v>695.49</v>
      </c>
      <c r="E172" s="89">
        <v>249726.24</v>
      </c>
      <c r="G172" s="90" t="s">
        <v>512</v>
      </c>
      <c r="H172" s="89">
        <v>4427</v>
      </c>
      <c r="I172" s="89">
        <v>4098.21</v>
      </c>
      <c r="K172" s="89">
        <v>155950.37</v>
      </c>
      <c r="N172" s="89">
        <v>2064.27</v>
      </c>
    </row>
    <row r="173" spans="2:15" x14ac:dyDescent="0.25">
      <c r="B173" s="90" t="s">
        <v>130</v>
      </c>
      <c r="C173" s="89">
        <v>14018.83</v>
      </c>
      <c r="D173" s="89">
        <v>14018.83</v>
      </c>
      <c r="E173" s="89">
        <v>6730304.8399999999</v>
      </c>
      <c r="G173" s="90" t="s">
        <v>120</v>
      </c>
      <c r="H173">
        <v>780.28</v>
      </c>
      <c r="I173" s="89">
        <v>40833.93</v>
      </c>
      <c r="K173" s="89">
        <v>870990.77</v>
      </c>
      <c r="N173" s="89">
        <v>17352.23</v>
      </c>
    </row>
    <row r="174" spans="2:15" x14ac:dyDescent="0.25">
      <c r="B174" s="90" t="s">
        <v>374</v>
      </c>
      <c r="C174" s="89">
        <v>644.67999999999995</v>
      </c>
      <c r="D174" s="89">
        <v>644.67999999999995</v>
      </c>
      <c r="E174" s="89">
        <v>438407.11</v>
      </c>
      <c r="G174" s="90" t="s">
        <v>284</v>
      </c>
      <c r="H174" s="89">
        <v>3592.75</v>
      </c>
      <c r="I174" s="89">
        <v>245353.56</v>
      </c>
      <c r="K174" s="89">
        <v>396362.11</v>
      </c>
      <c r="N174" s="89">
        <v>47570.400000000001</v>
      </c>
    </row>
    <row r="175" spans="2:15" x14ac:dyDescent="0.25">
      <c r="B175" s="90" t="s">
        <v>334</v>
      </c>
      <c r="C175" s="89">
        <v>2399.14</v>
      </c>
      <c r="D175" s="89">
        <v>2399.14</v>
      </c>
      <c r="E175" s="89">
        <v>1122234.26</v>
      </c>
      <c r="G175" s="90" t="s">
        <v>296</v>
      </c>
      <c r="H175" s="89">
        <v>2675</v>
      </c>
      <c r="I175" s="89">
        <v>97736.46</v>
      </c>
      <c r="K175" s="89">
        <v>631291.72</v>
      </c>
      <c r="N175" s="89">
        <v>58208.81</v>
      </c>
    </row>
    <row r="176" spans="2:15" x14ac:dyDescent="0.25">
      <c r="B176" s="90" t="s">
        <v>214</v>
      </c>
      <c r="C176" s="89">
        <v>82412.22</v>
      </c>
      <c r="D176" s="89">
        <v>7382.22</v>
      </c>
      <c r="E176" s="89">
        <v>2982240.22</v>
      </c>
      <c r="G176" s="90" t="s">
        <v>428</v>
      </c>
      <c r="H176" s="89">
        <v>3105.95</v>
      </c>
      <c r="I176" s="89">
        <v>23442.27</v>
      </c>
      <c r="K176" s="89">
        <v>112263.19</v>
      </c>
      <c r="N176" s="89">
        <v>11175.22</v>
      </c>
    </row>
    <row r="177" spans="2:16" x14ac:dyDescent="0.25">
      <c r="B177" s="90" t="s">
        <v>424</v>
      </c>
      <c r="C177" s="89">
        <v>702363.26</v>
      </c>
      <c r="D177" s="89">
        <v>1056.26</v>
      </c>
      <c r="E177" s="89">
        <v>759496.86</v>
      </c>
      <c r="G177" s="90" t="s">
        <v>360</v>
      </c>
      <c r="H177" s="89">
        <v>105051.23</v>
      </c>
      <c r="I177" s="89">
        <v>120669.87</v>
      </c>
      <c r="K177" s="89">
        <v>167123.51</v>
      </c>
      <c r="N177" s="89">
        <v>28745.78</v>
      </c>
    </row>
    <row r="178" spans="2:16" x14ac:dyDescent="0.25">
      <c r="B178" s="90" t="s">
        <v>512</v>
      </c>
      <c r="C178" s="89">
        <v>2152937.89</v>
      </c>
      <c r="D178" s="89">
        <v>2088.89</v>
      </c>
      <c r="E178" s="89">
        <v>589661.36</v>
      </c>
      <c r="G178" s="90" t="s">
        <v>282</v>
      </c>
      <c r="H178" s="89">
        <v>5055.0200000000004</v>
      </c>
      <c r="I178" s="89">
        <v>14877.29</v>
      </c>
      <c r="K178" s="89">
        <v>607406.68999999994</v>
      </c>
      <c r="N178" s="89">
        <v>45501.84</v>
      </c>
    </row>
    <row r="179" spans="2:16" x14ac:dyDescent="0.25">
      <c r="B179" s="90" t="s">
        <v>120</v>
      </c>
      <c r="C179" s="89">
        <v>65803.179999999993</v>
      </c>
      <c r="D179" s="89">
        <v>20681.68</v>
      </c>
      <c r="E179" s="89">
        <v>3763508.89</v>
      </c>
      <c r="G179" s="90" t="s">
        <v>372</v>
      </c>
      <c r="H179" s="89">
        <v>1347.85</v>
      </c>
      <c r="I179" s="89">
        <v>76293.039999999994</v>
      </c>
      <c r="K179" s="89">
        <v>330968.28000000003</v>
      </c>
      <c r="N179" s="89">
        <v>27664.2</v>
      </c>
    </row>
    <row r="180" spans="2:16" x14ac:dyDescent="0.25">
      <c r="B180" s="90" t="s">
        <v>284</v>
      </c>
      <c r="C180" s="89">
        <v>14002.39</v>
      </c>
      <c r="D180" s="89">
        <v>14002.39</v>
      </c>
      <c r="E180" s="89">
        <v>1837307.34</v>
      </c>
      <c r="G180" s="90" t="s">
        <v>1257</v>
      </c>
      <c r="H180" s="89"/>
      <c r="I180" s="89">
        <v>4024.12</v>
      </c>
      <c r="K180" s="89">
        <v>130860.19</v>
      </c>
      <c r="N180" s="89"/>
    </row>
    <row r="181" spans="2:16" x14ac:dyDescent="0.25">
      <c r="B181" s="90" t="s">
        <v>296</v>
      </c>
      <c r="C181" s="89">
        <v>12641.96</v>
      </c>
      <c r="D181" s="89">
        <v>12641.96</v>
      </c>
      <c r="E181" s="89">
        <v>2100670.9500000002</v>
      </c>
      <c r="G181" s="90" t="s">
        <v>290</v>
      </c>
      <c r="H181" s="89">
        <v>44158.3</v>
      </c>
      <c r="I181" s="89">
        <v>109367.62</v>
      </c>
      <c r="K181" s="89">
        <v>617063.67000000004</v>
      </c>
      <c r="N181" s="89">
        <v>17037.3</v>
      </c>
    </row>
    <row r="182" spans="2:16" x14ac:dyDescent="0.25">
      <c r="B182" s="90" t="s">
        <v>428</v>
      </c>
      <c r="C182" s="89">
        <v>3132.5</v>
      </c>
      <c r="D182" s="89">
        <v>3132.5</v>
      </c>
      <c r="E182" s="89">
        <v>473389.3</v>
      </c>
      <c r="G182" s="90" t="s">
        <v>364</v>
      </c>
      <c r="I182" s="89">
        <v>82734.080000000002</v>
      </c>
      <c r="K182" s="89">
        <v>337662.69</v>
      </c>
      <c r="N182" s="89">
        <v>33508.89</v>
      </c>
    </row>
    <row r="183" spans="2:16" x14ac:dyDescent="0.25">
      <c r="B183" s="90" t="s">
        <v>360</v>
      </c>
      <c r="C183" s="89">
        <v>10404.620000000001</v>
      </c>
      <c r="D183" s="89">
        <v>10404.620000000001</v>
      </c>
      <c r="E183" s="89">
        <v>459976.29</v>
      </c>
      <c r="G183" s="90" t="s">
        <v>358</v>
      </c>
      <c r="H183" s="89">
        <v>1246</v>
      </c>
      <c r="I183" s="89">
        <v>88951.81</v>
      </c>
      <c r="J183">
        <v>2894.27</v>
      </c>
      <c r="K183" s="89">
        <v>350839.44</v>
      </c>
      <c r="M183">
        <v>6605.84</v>
      </c>
      <c r="N183" s="89">
        <v>21592.25</v>
      </c>
    </row>
    <row r="184" spans="2:16" x14ac:dyDescent="0.25">
      <c r="B184" s="90" t="s">
        <v>282</v>
      </c>
      <c r="C184">
        <v>14562.63</v>
      </c>
      <c r="D184">
        <v>14562.63</v>
      </c>
      <c r="E184" s="89">
        <v>2351223.64</v>
      </c>
      <c r="G184" s="90" t="s">
        <v>394</v>
      </c>
      <c r="H184" s="89">
        <v>6868.2</v>
      </c>
      <c r="I184" s="89">
        <v>54751.839999999997</v>
      </c>
      <c r="K184" s="89">
        <v>171069.98</v>
      </c>
      <c r="N184" s="89">
        <v>7406.04</v>
      </c>
    </row>
    <row r="185" spans="2:16" x14ac:dyDescent="0.25">
      <c r="B185" s="90" t="s">
        <v>372</v>
      </c>
      <c r="C185">
        <v>6871.76</v>
      </c>
      <c r="D185">
        <v>6871.76</v>
      </c>
      <c r="E185" s="89">
        <v>1470958.09</v>
      </c>
      <c r="G185" s="90" t="s">
        <v>418</v>
      </c>
      <c r="H185" s="89">
        <v>41034.53</v>
      </c>
      <c r="I185" s="89">
        <v>80017.600000000006</v>
      </c>
      <c r="K185" s="89">
        <v>115658.29</v>
      </c>
      <c r="N185" s="89">
        <v>12177.7</v>
      </c>
    </row>
    <row r="186" spans="2:16" x14ac:dyDescent="0.25">
      <c r="B186" s="90" t="s">
        <v>1257</v>
      </c>
      <c r="E186" s="89">
        <v>130860.19</v>
      </c>
      <c r="G186" s="90" t="s">
        <v>558</v>
      </c>
      <c r="H186" s="89">
        <v>1089.5</v>
      </c>
      <c r="I186" s="89">
        <v>7667.84</v>
      </c>
      <c r="K186" s="89">
        <v>34699.1</v>
      </c>
      <c r="N186" s="89">
        <v>3804.48</v>
      </c>
    </row>
    <row r="187" spans="2:16" x14ac:dyDescent="0.25">
      <c r="B187" s="90" t="s">
        <v>290</v>
      </c>
      <c r="C187" s="89">
        <v>14894.92</v>
      </c>
      <c r="E187" s="89">
        <v>1328685.26</v>
      </c>
      <c r="G187" s="90" t="s">
        <v>286</v>
      </c>
      <c r="H187" s="89">
        <v>10128.76</v>
      </c>
      <c r="I187" s="89">
        <v>163157.79999999999</v>
      </c>
      <c r="K187" s="89">
        <v>594089.57999999996</v>
      </c>
      <c r="N187" s="89">
        <v>73950.02</v>
      </c>
      <c r="P187" s="89"/>
    </row>
    <row r="188" spans="2:16" x14ac:dyDescent="0.25">
      <c r="B188" s="90" t="s">
        <v>364</v>
      </c>
      <c r="E188" s="89">
        <v>750023.16</v>
      </c>
      <c r="G188" s="90" t="s">
        <v>452</v>
      </c>
      <c r="H188" s="89">
        <v>5601.93</v>
      </c>
      <c r="I188" s="89">
        <v>25979.48</v>
      </c>
      <c r="K188" s="89">
        <v>141618.20000000001</v>
      </c>
      <c r="N188" s="89">
        <v>13270.05</v>
      </c>
    </row>
    <row r="189" spans="2:16" x14ac:dyDescent="0.25">
      <c r="B189" s="90" t="s">
        <v>358</v>
      </c>
      <c r="C189">
        <v>2889.91</v>
      </c>
      <c r="E189" s="89">
        <v>903254.76</v>
      </c>
      <c r="G189" s="90" t="s">
        <v>440</v>
      </c>
      <c r="H189" s="89">
        <v>3526.85</v>
      </c>
      <c r="I189" s="89">
        <v>54722.42</v>
      </c>
      <c r="K189" s="89">
        <v>130124.54</v>
      </c>
      <c r="M189">
        <v>17875.63</v>
      </c>
      <c r="N189">
        <v>22113.33</v>
      </c>
    </row>
    <row r="190" spans="2:16" x14ac:dyDescent="0.25">
      <c r="B190" s="90" t="s">
        <v>394</v>
      </c>
      <c r="C190" s="89">
        <v>41502.51</v>
      </c>
      <c r="D190" s="89"/>
      <c r="E190" s="89">
        <v>345293.02</v>
      </c>
      <c r="G190" s="90" t="s">
        <v>170</v>
      </c>
      <c r="H190" s="89">
        <v>645598</v>
      </c>
      <c r="I190" s="89">
        <v>159999</v>
      </c>
      <c r="K190" s="89">
        <v>644391</v>
      </c>
      <c r="N190" s="89">
        <v>80948</v>
      </c>
    </row>
    <row r="191" spans="2:16" x14ac:dyDescent="0.25">
      <c r="B191" s="90" t="s">
        <v>418</v>
      </c>
      <c r="C191" s="89"/>
      <c r="D191" s="89"/>
      <c r="E191" s="89">
        <v>416310.9</v>
      </c>
      <c r="G191" s="90" t="s">
        <v>18</v>
      </c>
      <c r="H191" s="89">
        <v>1949099.55</v>
      </c>
      <c r="I191" s="89">
        <v>2717201.43</v>
      </c>
      <c r="K191" s="89">
        <v>5225397.9800000004</v>
      </c>
      <c r="N191" s="89">
        <v>729239.41</v>
      </c>
      <c r="P191">
        <v>62291</v>
      </c>
    </row>
    <row r="192" spans="2:16" x14ac:dyDescent="0.25">
      <c r="B192" s="90" t="s">
        <v>558</v>
      </c>
      <c r="C192" s="89"/>
      <c r="D192" s="89"/>
      <c r="E192" s="89">
        <v>86624.09</v>
      </c>
      <c r="G192" s="90" t="s">
        <v>10</v>
      </c>
      <c r="H192" s="89">
        <v>36575.85</v>
      </c>
      <c r="I192" s="89">
        <v>4325620.33</v>
      </c>
      <c r="J192">
        <v>54590</v>
      </c>
      <c r="K192" s="89">
        <v>13731391.43</v>
      </c>
      <c r="M192">
        <v>210410</v>
      </c>
      <c r="N192" s="89">
        <v>1304442.93</v>
      </c>
    </row>
    <row r="193" spans="2:15" x14ac:dyDescent="0.25">
      <c r="B193" s="90" t="s">
        <v>286</v>
      </c>
      <c r="C193" s="89">
        <v>107725.46</v>
      </c>
      <c r="D193" s="89">
        <v>107725.46</v>
      </c>
      <c r="E193" s="89">
        <v>2266726.42</v>
      </c>
      <c r="G193" s="90" t="s">
        <v>484</v>
      </c>
      <c r="H193" s="89">
        <v>67.099999999999994</v>
      </c>
      <c r="I193" s="89">
        <v>49972.95</v>
      </c>
      <c r="K193" s="89">
        <v>42046.19</v>
      </c>
      <c r="N193" s="89"/>
    </row>
    <row r="194" spans="2:15" x14ac:dyDescent="0.25">
      <c r="B194" s="90" t="s">
        <v>452</v>
      </c>
      <c r="C194" s="89">
        <v>292712.52</v>
      </c>
      <c r="D194" s="89">
        <v>27711.52</v>
      </c>
      <c r="E194" s="89">
        <v>598632.15</v>
      </c>
      <c r="G194" s="90" t="s">
        <v>112</v>
      </c>
      <c r="H194" s="89">
        <v>707164.89</v>
      </c>
      <c r="I194" s="89">
        <v>744859.12</v>
      </c>
      <c r="K194" s="89">
        <v>1471383.48</v>
      </c>
      <c r="N194" s="89">
        <v>221366.56</v>
      </c>
    </row>
    <row r="195" spans="2:15" x14ac:dyDescent="0.25">
      <c r="B195" s="90" t="s">
        <v>440</v>
      </c>
      <c r="C195" s="89">
        <v>22133.49</v>
      </c>
      <c r="D195" s="89">
        <v>22133.49</v>
      </c>
      <c r="E195" s="89">
        <v>503057.22</v>
      </c>
      <c r="G195" s="90" t="s">
        <v>74</v>
      </c>
      <c r="H195" s="89">
        <v>1345381.48</v>
      </c>
      <c r="I195" s="89">
        <v>732237.96</v>
      </c>
      <c r="K195" s="89">
        <v>2162248.0299999998</v>
      </c>
      <c r="N195" s="89">
        <v>297227.40999999997</v>
      </c>
    </row>
    <row r="196" spans="2:15" x14ac:dyDescent="0.25">
      <c r="B196" s="90" t="s">
        <v>170</v>
      </c>
      <c r="C196" s="89">
        <v>628109</v>
      </c>
      <c r="D196" s="89">
        <v>1477</v>
      </c>
      <c r="E196" s="89">
        <v>2441604</v>
      </c>
      <c r="G196" s="90" t="s">
        <v>248</v>
      </c>
      <c r="H196" s="89">
        <v>269397.49</v>
      </c>
      <c r="I196" s="89">
        <v>16411.490000000002</v>
      </c>
      <c r="K196" s="89">
        <v>213183.3</v>
      </c>
      <c r="N196" s="89">
        <v>51680.13</v>
      </c>
    </row>
    <row r="197" spans="2:15" x14ac:dyDescent="0.25">
      <c r="B197" s="90" t="s">
        <v>18</v>
      </c>
      <c r="C197" s="89">
        <v>127795.26</v>
      </c>
      <c r="D197" s="89">
        <v>11655.26</v>
      </c>
      <c r="E197" s="89">
        <v>17474391.219999999</v>
      </c>
      <c r="G197" s="90" t="s">
        <v>198</v>
      </c>
      <c r="H197" s="89">
        <v>275769.93</v>
      </c>
      <c r="I197" s="89">
        <v>225641.85</v>
      </c>
      <c r="K197" s="89">
        <v>539838.63</v>
      </c>
      <c r="N197" s="89">
        <v>83096.27</v>
      </c>
    </row>
    <row r="198" spans="2:15" x14ac:dyDescent="0.25">
      <c r="B198" s="90" t="s">
        <v>10</v>
      </c>
      <c r="C198" s="89">
        <v>353248.87</v>
      </c>
      <c r="D198" s="89">
        <v>13935.58</v>
      </c>
      <c r="E198" s="89">
        <v>47790324.969999999</v>
      </c>
      <c r="G198" s="90" t="s">
        <v>56</v>
      </c>
      <c r="H198" s="89">
        <v>181635.75</v>
      </c>
      <c r="I198" s="89">
        <v>2675431.15</v>
      </c>
      <c r="K198" s="89">
        <v>5886096.4100000001</v>
      </c>
      <c r="N198" s="89">
        <v>494466.01</v>
      </c>
    </row>
    <row r="199" spans="2:15" x14ac:dyDescent="0.25">
      <c r="B199" s="90" t="s">
        <v>484</v>
      </c>
      <c r="C199" s="89">
        <v>27098.25</v>
      </c>
      <c r="D199" s="89">
        <v>93.35</v>
      </c>
      <c r="E199" s="89">
        <v>97622.19</v>
      </c>
      <c r="G199" s="90" t="s">
        <v>76</v>
      </c>
      <c r="H199" s="89">
        <v>1702462.45</v>
      </c>
      <c r="I199" s="89">
        <v>340003.09</v>
      </c>
      <c r="K199" s="89">
        <v>1252256.52</v>
      </c>
      <c r="N199" s="89">
        <v>193185.55</v>
      </c>
      <c r="O199" s="89"/>
    </row>
    <row r="200" spans="2:15" x14ac:dyDescent="0.25">
      <c r="B200" s="90" t="s">
        <v>112</v>
      </c>
      <c r="C200" s="89">
        <v>40439.760000000002</v>
      </c>
      <c r="D200" s="89">
        <v>2827.76</v>
      </c>
      <c r="E200" s="89">
        <v>4324767.22</v>
      </c>
      <c r="G200" s="90" t="s">
        <v>84</v>
      </c>
      <c r="H200" s="89">
        <v>3417.55</v>
      </c>
      <c r="I200" s="89">
        <v>624803.86</v>
      </c>
      <c r="K200" s="89">
        <v>4673977.5599999996</v>
      </c>
      <c r="N200" s="89">
        <v>407180.56</v>
      </c>
    </row>
    <row r="201" spans="2:15" x14ac:dyDescent="0.25">
      <c r="B201" s="90" t="s">
        <v>74</v>
      </c>
      <c r="C201" s="89">
        <v>5318.27</v>
      </c>
      <c r="D201" s="89">
        <v>5318.27</v>
      </c>
      <c r="E201" s="89">
        <v>6820892.4100000001</v>
      </c>
      <c r="G201" s="90" t="s">
        <v>34</v>
      </c>
      <c r="H201">
        <v>45091.78</v>
      </c>
      <c r="I201">
        <v>4387886.4800000004</v>
      </c>
      <c r="J201" s="89"/>
      <c r="K201" s="89">
        <v>8241372.3499999996</v>
      </c>
      <c r="N201">
        <v>1023095.82</v>
      </c>
    </row>
    <row r="202" spans="2:15" x14ac:dyDescent="0.25">
      <c r="B202" s="90" t="s">
        <v>248</v>
      </c>
      <c r="C202" s="89">
        <v>746.2</v>
      </c>
      <c r="D202" s="89">
        <v>746.2</v>
      </c>
      <c r="E202" s="89">
        <v>701663.25</v>
      </c>
      <c r="G202" s="90" t="s">
        <v>222</v>
      </c>
      <c r="H202" s="89">
        <v>216733.14</v>
      </c>
      <c r="I202" s="89">
        <v>299342.62</v>
      </c>
      <c r="K202" s="89">
        <v>580897.75</v>
      </c>
      <c r="N202">
        <v>77322.42</v>
      </c>
    </row>
    <row r="203" spans="2:15" x14ac:dyDescent="0.25">
      <c r="B203" s="90" t="s">
        <v>198</v>
      </c>
      <c r="C203" s="89">
        <v>1461.46</v>
      </c>
      <c r="D203" s="89">
        <v>1461.46</v>
      </c>
      <c r="E203" s="89">
        <v>1699078.99</v>
      </c>
      <c r="G203" s="90" t="s">
        <v>156</v>
      </c>
      <c r="H203" s="89">
        <v>617599.68999999994</v>
      </c>
      <c r="I203" s="89">
        <v>150257.54999999999</v>
      </c>
      <c r="K203" s="89">
        <v>809076.69</v>
      </c>
      <c r="N203">
        <v>109953.49</v>
      </c>
      <c r="O203">
        <v>60385.7</v>
      </c>
    </row>
    <row r="204" spans="2:15" x14ac:dyDescent="0.25">
      <c r="B204" s="90" t="s">
        <v>56</v>
      </c>
      <c r="C204" s="89">
        <v>18222060.120000001</v>
      </c>
      <c r="D204" s="89">
        <v>5980.11</v>
      </c>
      <c r="E204" s="89">
        <v>18766433.140000001</v>
      </c>
      <c r="G204" s="90" t="s">
        <v>152</v>
      </c>
      <c r="H204" s="89">
        <v>76369.320000000007</v>
      </c>
      <c r="I204" s="89">
        <v>558131.43000000005</v>
      </c>
      <c r="K204" s="89">
        <v>1265033</v>
      </c>
      <c r="N204" s="89">
        <v>107590.18</v>
      </c>
    </row>
    <row r="205" spans="2:15" x14ac:dyDescent="0.25">
      <c r="B205" s="90" t="s">
        <v>76</v>
      </c>
      <c r="C205" s="89">
        <v>4429.53</v>
      </c>
      <c r="D205" s="89">
        <v>4429.53</v>
      </c>
      <c r="E205" s="89">
        <v>4647216.8099999996</v>
      </c>
      <c r="G205" s="90" t="s">
        <v>1154</v>
      </c>
      <c r="H205" s="89"/>
      <c r="I205" s="89">
        <v>158381.53</v>
      </c>
      <c r="K205" s="89">
        <v>403480.04</v>
      </c>
    </row>
    <row r="206" spans="2:15" x14ac:dyDescent="0.25">
      <c r="B206" s="90" t="s">
        <v>84</v>
      </c>
      <c r="C206" s="89">
        <v>75042.05</v>
      </c>
      <c r="D206" s="89">
        <v>3620.75</v>
      </c>
      <c r="E206" s="89">
        <v>12520066.720000001</v>
      </c>
      <c r="G206" s="90" t="s">
        <v>1193</v>
      </c>
      <c r="H206" s="89"/>
      <c r="I206" s="89">
        <v>50131.42</v>
      </c>
      <c r="K206" s="89">
        <v>122637.82</v>
      </c>
      <c r="N206" s="89"/>
    </row>
    <row r="207" spans="2:15" x14ac:dyDescent="0.25">
      <c r="B207" s="90" t="s">
        <v>34</v>
      </c>
      <c r="C207" s="89">
        <v>266947.13</v>
      </c>
      <c r="D207" s="89">
        <v>10462.49</v>
      </c>
      <c r="E207" s="89">
        <v>21075959.699999999</v>
      </c>
      <c r="G207" s="90" t="s">
        <v>514</v>
      </c>
      <c r="H207" s="89"/>
      <c r="I207" s="89">
        <v>11578.7</v>
      </c>
      <c r="K207" s="89">
        <v>29571.7</v>
      </c>
      <c r="N207" s="89"/>
    </row>
    <row r="208" spans="2:15" x14ac:dyDescent="0.25">
      <c r="B208" s="90" t="s">
        <v>222</v>
      </c>
      <c r="C208" s="89">
        <v>1002.28</v>
      </c>
      <c r="D208">
        <v>1002.28</v>
      </c>
      <c r="E208" s="89">
        <v>1907125.21</v>
      </c>
      <c r="G208" s="90" t="s">
        <v>328</v>
      </c>
      <c r="H208" s="89">
        <v>78624.850000000006</v>
      </c>
      <c r="I208" s="89">
        <v>70051.42</v>
      </c>
      <c r="K208" s="89">
        <v>132290.37</v>
      </c>
      <c r="N208" s="89">
        <v>23318.38</v>
      </c>
    </row>
    <row r="209" spans="2:14" x14ac:dyDescent="0.25">
      <c r="B209" s="90" t="s">
        <v>156</v>
      </c>
      <c r="C209">
        <v>2195.0100000000002</v>
      </c>
      <c r="D209">
        <v>2195.0100000000002</v>
      </c>
      <c r="E209" s="89">
        <v>2468016.61</v>
      </c>
      <c r="G209" s="90" t="s">
        <v>450</v>
      </c>
      <c r="H209" s="89">
        <v>16851.89</v>
      </c>
      <c r="I209" s="89">
        <v>41602.75</v>
      </c>
      <c r="K209" s="89">
        <v>70642.649999999994</v>
      </c>
      <c r="N209" s="89"/>
    </row>
    <row r="210" spans="2:14" x14ac:dyDescent="0.25">
      <c r="B210" s="90" t="s">
        <v>152</v>
      </c>
      <c r="C210">
        <v>2024.2</v>
      </c>
      <c r="D210">
        <v>2024.2</v>
      </c>
      <c r="E210" s="89">
        <v>3073602.72</v>
      </c>
      <c r="G210" s="90" t="s">
        <v>320</v>
      </c>
      <c r="H210" s="89">
        <v>103232.76</v>
      </c>
      <c r="I210" s="89">
        <v>107119.22</v>
      </c>
      <c r="J210">
        <v>12000</v>
      </c>
      <c r="K210" s="89">
        <v>174331.06</v>
      </c>
      <c r="N210" s="89">
        <v>27788.51</v>
      </c>
    </row>
    <row r="211" spans="2:14" x14ac:dyDescent="0.25">
      <c r="B211" s="90" t="s">
        <v>1154</v>
      </c>
      <c r="E211" s="89">
        <v>699083.28</v>
      </c>
      <c r="G211" s="90" t="s">
        <v>380</v>
      </c>
      <c r="H211" s="89">
        <v>2501.6999999999998</v>
      </c>
      <c r="I211" s="89">
        <v>112930.45</v>
      </c>
      <c r="K211" s="89">
        <v>355432.14</v>
      </c>
      <c r="N211" s="89">
        <v>37247.81</v>
      </c>
    </row>
    <row r="212" spans="2:14" x14ac:dyDescent="0.25">
      <c r="B212" s="90" t="s">
        <v>1193</v>
      </c>
      <c r="E212" s="89">
        <v>507302.01</v>
      </c>
      <c r="G212" s="90" t="s">
        <v>154</v>
      </c>
      <c r="H212" s="89">
        <v>41348.800000000003</v>
      </c>
      <c r="I212" s="89">
        <v>743053.87</v>
      </c>
      <c r="J212">
        <v>2491.8000000000002</v>
      </c>
      <c r="K212" s="89">
        <v>2145395.5499999998</v>
      </c>
      <c r="M212">
        <v>15499.2</v>
      </c>
      <c r="N212" s="89">
        <v>227461.51</v>
      </c>
    </row>
    <row r="213" spans="2:14" x14ac:dyDescent="0.25">
      <c r="B213" s="90" t="s">
        <v>514</v>
      </c>
      <c r="E213" s="89">
        <v>141540.70000000001</v>
      </c>
      <c r="G213" s="90" t="s">
        <v>136</v>
      </c>
      <c r="H213" s="89">
        <v>40813.89</v>
      </c>
      <c r="I213" s="89">
        <v>911198.51</v>
      </c>
      <c r="K213" s="89">
        <v>2227703.5299999998</v>
      </c>
      <c r="M213">
        <v>33178.36</v>
      </c>
      <c r="N213" s="89">
        <v>318160.93</v>
      </c>
    </row>
    <row r="214" spans="2:14" x14ac:dyDescent="0.25">
      <c r="B214" s="90" t="s">
        <v>608</v>
      </c>
      <c r="E214" s="89">
        <v>42770.58</v>
      </c>
      <c r="G214" s="90" t="s">
        <v>190</v>
      </c>
      <c r="H214" s="89">
        <v>359571.5</v>
      </c>
      <c r="I214" s="89">
        <v>194103.86</v>
      </c>
      <c r="K214" s="89">
        <v>463667.43</v>
      </c>
      <c r="M214">
        <v>7587.35</v>
      </c>
      <c r="N214" s="89">
        <v>87840.63</v>
      </c>
    </row>
    <row r="215" spans="2:14" x14ac:dyDescent="0.25">
      <c r="B215" s="90" t="s">
        <v>328</v>
      </c>
      <c r="C215" s="89"/>
      <c r="D215" s="89"/>
      <c r="E215" s="89">
        <v>553434.92000000004</v>
      </c>
      <c r="G215" s="90" t="s">
        <v>378</v>
      </c>
      <c r="H215" s="89">
        <v>1371.23</v>
      </c>
      <c r="I215">
        <v>83637.490000000005</v>
      </c>
      <c r="K215" s="89">
        <v>259141.84</v>
      </c>
      <c r="N215">
        <v>45865.37</v>
      </c>
    </row>
    <row r="216" spans="2:14" x14ac:dyDescent="0.25">
      <c r="B216" s="90" t="s">
        <v>450</v>
      </c>
      <c r="C216" s="89"/>
      <c r="D216" s="89"/>
      <c r="E216" s="89">
        <v>313277.90999999997</v>
      </c>
      <c r="G216" s="90" t="s">
        <v>396</v>
      </c>
      <c r="H216" s="89">
        <v>75768.009999999995</v>
      </c>
      <c r="I216">
        <v>2115.25</v>
      </c>
      <c r="K216" s="89">
        <v>63758.85</v>
      </c>
      <c r="N216" s="89">
        <v>7397.15</v>
      </c>
    </row>
    <row r="217" spans="2:14" x14ac:dyDescent="0.25">
      <c r="B217" s="90" t="s">
        <v>320</v>
      </c>
      <c r="C217" s="89"/>
      <c r="D217" s="89"/>
      <c r="E217" s="89">
        <v>734442.2</v>
      </c>
      <c r="G217" s="90" t="s">
        <v>94</v>
      </c>
      <c r="H217" s="89">
        <v>107446.57</v>
      </c>
      <c r="I217" s="89">
        <v>708241.36</v>
      </c>
      <c r="K217" s="89">
        <v>3456400.86</v>
      </c>
      <c r="M217">
        <v>65000.01</v>
      </c>
      <c r="N217" s="89">
        <v>122007.37</v>
      </c>
    </row>
    <row r="218" spans="2:14" x14ac:dyDescent="0.25">
      <c r="B218" s="90" t="s">
        <v>380</v>
      </c>
      <c r="C218" s="89">
        <v>575.41999999999996</v>
      </c>
      <c r="D218" s="89">
        <v>575.41999999999996</v>
      </c>
      <c r="E218" s="89">
        <v>1034742.35</v>
      </c>
      <c r="G218" s="90" t="s">
        <v>536</v>
      </c>
      <c r="H218" s="89">
        <v>1149.6099999999999</v>
      </c>
      <c r="I218" s="89">
        <v>17313.38</v>
      </c>
      <c r="K218" s="89">
        <v>44833.26</v>
      </c>
      <c r="N218" s="89"/>
    </row>
    <row r="219" spans="2:14" x14ac:dyDescent="0.25">
      <c r="B219" s="90" t="s">
        <v>154</v>
      </c>
      <c r="C219" s="89">
        <v>3691.31</v>
      </c>
      <c r="D219" s="89">
        <v>3691.31</v>
      </c>
      <c r="E219" s="89">
        <v>5706748.54</v>
      </c>
      <c r="G219" s="90" t="s">
        <v>560</v>
      </c>
      <c r="H219" s="89">
        <v>785.45</v>
      </c>
      <c r="I219" s="89"/>
      <c r="K219" s="89">
        <v>1142.05</v>
      </c>
      <c r="N219" s="89"/>
    </row>
    <row r="220" spans="2:14" x14ac:dyDescent="0.25">
      <c r="B220" s="90" t="s">
        <v>136</v>
      </c>
      <c r="C220" s="89">
        <v>4982.2</v>
      </c>
      <c r="D220" s="89">
        <v>4982.2</v>
      </c>
      <c r="E220" s="89">
        <v>5403933.9299999997</v>
      </c>
      <c r="G220" s="90" t="s">
        <v>600</v>
      </c>
      <c r="H220" s="89">
        <v>12309.25</v>
      </c>
      <c r="I220" s="89">
        <v>990.15</v>
      </c>
      <c r="K220" s="89">
        <v>20237.52</v>
      </c>
      <c r="N220" s="89">
        <v>5351.85</v>
      </c>
    </row>
    <row r="221" spans="2:14" x14ac:dyDescent="0.25">
      <c r="B221" s="90" t="s">
        <v>190</v>
      </c>
      <c r="C221" s="89">
        <v>2948.53</v>
      </c>
      <c r="D221" s="89">
        <v>2948.53</v>
      </c>
      <c r="E221" s="89">
        <v>1711097.15</v>
      </c>
      <c r="G221" s="90" t="s">
        <v>306</v>
      </c>
      <c r="H221" s="89">
        <v>12323.8</v>
      </c>
      <c r="I221" s="89">
        <v>140330.53</v>
      </c>
      <c r="K221" s="89">
        <v>295845.43</v>
      </c>
      <c r="N221" s="89">
        <v>53733.61</v>
      </c>
    </row>
    <row r="222" spans="2:14" x14ac:dyDescent="0.25">
      <c r="B222" s="90" t="s">
        <v>378</v>
      </c>
      <c r="C222" s="89">
        <v>2040940.77</v>
      </c>
      <c r="D222" s="89">
        <v>556.77</v>
      </c>
      <c r="E222" s="89">
        <v>1580428.87</v>
      </c>
      <c r="G222" s="90" t="s">
        <v>30</v>
      </c>
      <c r="H222" s="89">
        <v>1407313.27</v>
      </c>
      <c r="I222" s="89">
        <v>2709045.25</v>
      </c>
      <c r="K222" s="89">
        <v>6912999.9800000004</v>
      </c>
      <c r="N222" s="89">
        <v>928783.09</v>
      </c>
    </row>
    <row r="223" spans="2:14" x14ac:dyDescent="0.25">
      <c r="B223" s="90" t="s">
        <v>396</v>
      </c>
      <c r="C223" s="89">
        <v>499.94</v>
      </c>
      <c r="D223" s="89">
        <v>499.94</v>
      </c>
      <c r="E223" s="89">
        <v>357119.1</v>
      </c>
      <c r="G223" s="90" t="s">
        <v>78</v>
      </c>
      <c r="H223" s="89">
        <v>1852573.33</v>
      </c>
      <c r="I223" s="89">
        <v>117011.18</v>
      </c>
      <c r="K223" s="89">
        <v>2016243.99</v>
      </c>
      <c r="N223" s="89">
        <v>398406.06</v>
      </c>
    </row>
    <row r="224" spans="2:14" x14ac:dyDescent="0.25">
      <c r="B224" s="90" t="s">
        <v>94</v>
      </c>
      <c r="C224" s="89">
        <v>7440.56</v>
      </c>
      <c r="D224" s="89">
        <v>7440.56</v>
      </c>
      <c r="E224" s="89">
        <v>11117493.109999999</v>
      </c>
      <c r="G224" s="90" t="s">
        <v>46</v>
      </c>
      <c r="H224">
        <v>196509.54</v>
      </c>
      <c r="I224" s="89">
        <v>2586408.8199999998</v>
      </c>
      <c r="K224" s="89">
        <v>5772538.04</v>
      </c>
      <c r="N224">
        <v>634234.82999999996</v>
      </c>
    </row>
    <row r="225" spans="2:14" x14ac:dyDescent="0.25">
      <c r="B225" s="90" t="s">
        <v>536</v>
      </c>
      <c r="C225" s="89">
        <v>24005.71</v>
      </c>
      <c r="D225" s="89">
        <v>22916.43</v>
      </c>
      <c r="E225" s="89">
        <v>100545.11</v>
      </c>
      <c r="G225" s="90" t="s">
        <v>24</v>
      </c>
      <c r="H225" s="89">
        <v>1412579.4</v>
      </c>
      <c r="I225" s="89">
        <v>2032077.66</v>
      </c>
      <c r="K225" s="89">
        <v>5026177.09</v>
      </c>
      <c r="N225" s="89">
        <v>749856.05</v>
      </c>
    </row>
    <row r="226" spans="2:14" x14ac:dyDescent="0.25">
      <c r="B226" s="90" t="s">
        <v>560</v>
      </c>
      <c r="C226" s="89">
        <v>16336.46</v>
      </c>
      <c r="D226" s="89">
        <v>16336.46</v>
      </c>
      <c r="E226" s="89">
        <v>26298.27</v>
      </c>
      <c r="G226" s="90" t="s">
        <v>114</v>
      </c>
      <c r="H226" s="89">
        <v>640899.12</v>
      </c>
      <c r="I226" s="89">
        <v>554940.56999999995</v>
      </c>
      <c r="K226" s="89">
        <v>1268335.73</v>
      </c>
      <c r="N226" s="89">
        <v>199879.03</v>
      </c>
    </row>
    <row r="227" spans="2:14" x14ac:dyDescent="0.25">
      <c r="B227" s="90" t="s">
        <v>600</v>
      </c>
      <c r="C227" s="89">
        <v>14457.77</v>
      </c>
      <c r="D227" s="89">
        <v>14457.77</v>
      </c>
      <c r="E227" s="89">
        <v>107372.34</v>
      </c>
      <c r="G227" s="90" t="s">
        <v>62</v>
      </c>
      <c r="H227" s="89">
        <v>20321.86</v>
      </c>
      <c r="I227" s="89">
        <v>1710210.95</v>
      </c>
      <c r="K227" s="89">
        <v>4173577.69</v>
      </c>
      <c r="N227" s="89">
        <v>339277.3</v>
      </c>
    </row>
    <row r="228" spans="2:14" x14ac:dyDescent="0.25">
      <c r="B228" s="90" t="s">
        <v>306</v>
      </c>
      <c r="C228" s="89">
        <v>158952.26999999999</v>
      </c>
      <c r="D228" s="89">
        <v>158420.59</v>
      </c>
      <c r="E228" s="89">
        <v>758292.26</v>
      </c>
      <c r="G228" s="90" t="s">
        <v>582</v>
      </c>
      <c r="H228" s="89">
        <v>2229</v>
      </c>
      <c r="I228" s="89">
        <v>280.83999999999997</v>
      </c>
      <c r="K228" s="89">
        <v>11298.45</v>
      </c>
      <c r="N228" s="89"/>
    </row>
    <row r="229" spans="2:14" x14ac:dyDescent="0.25">
      <c r="B229" s="90" t="s">
        <v>30</v>
      </c>
      <c r="C229" s="89">
        <v>40279.17</v>
      </c>
      <c r="D229" s="89">
        <v>40279.17</v>
      </c>
      <c r="E229" s="89">
        <v>19557977.280000001</v>
      </c>
      <c r="G229" s="90" t="s">
        <v>96</v>
      </c>
      <c r="H229" s="89">
        <v>662201.15</v>
      </c>
      <c r="I229" s="89">
        <v>254198.92</v>
      </c>
      <c r="K229" s="89">
        <v>1160976.04</v>
      </c>
      <c r="N229" s="89">
        <v>126413.33</v>
      </c>
    </row>
    <row r="230" spans="2:14" x14ac:dyDescent="0.25">
      <c r="B230" s="90" t="s">
        <v>78</v>
      </c>
      <c r="C230" s="89">
        <v>19920.5</v>
      </c>
      <c r="D230" s="89">
        <v>19920.5</v>
      </c>
      <c r="E230" s="89">
        <v>5850591.9900000002</v>
      </c>
      <c r="G230" s="90" t="s">
        <v>64</v>
      </c>
      <c r="H230" s="89">
        <v>1458228.59</v>
      </c>
      <c r="I230" s="89">
        <v>113608.52</v>
      </c>
      <c r="K230" s="89">
        <v>1200531.25</v>
      </c>
      <c r="N230" s="89">
        <v>182476.81</v>
      </c>
    </row>
    <row r="231" spans="2:14" x14ac:dyDescent="0.25">
      <c r="B231" s="90" t="s">
        <v>46</v>
      </c>
      <c r="C231" s="89">
        <v>30704.67</v>
      </c>
      <c r="D231" s="89">
        <v>30704.67</v>
      </c>
      <c r="E231" s="89">
        <v>16997521.059999999</v>
      </c>
      <c r="G231" s="90" t="s">
        <v>208</v>
      </c>
      <c r="H231" s="89">
        <v>165595.65</v>
      </c>
      <c r="I231" s="89">
        <v>242747.73</v>
      </c>
      <c r="K231" s="89">
        <v>926816.26</v>
      </c>
      <c r="N231" s="89">
        <v>83432.88</v>
      </c>
    </row>
    <row r="232" spans="2:14" x14ac:dyDescent="0.25">
      <c r="B232" s="90" t="s">
        <v>24</v>
      </c>
      <c r="C232" s="89">
        <v>39849.94</v>
      </c>
      <c r="D232" s="89">
        <v>39849.94</v>
      </c>
      <c r="E232" s="89">
        <v>17097138.309999999</v>
      </c>
      <c r="G232" s="90" t="s">
        <v>220</v>
      </c>
      <c r="H232" s="89">
        <v>183349.82</v>
      </c>
      <c r="I232" s="89">
        <v>317450.48</v>
      </c>
      <c r="K232" s="89">
        <v>708313.18</v>
      </c>
      <c r="N232" s="89">
        <v>67194.509999999995</v>
      </c>
    </row>
    <row r="233" spans="2:14" x14ac:dyDescent="0.25">
      <c r="B233" s="90" t="s">
        <v>114</v>
      </c>
      <c r="C233" s="89">
        <v>11357.12</v>
      </c>
      <c r="D233" s="89">
        <v>11357.12</v>
      </c>
      <c r="E233" s="89">
        <v>4307605.3</v>
      </c>
      <c r="G233" s="90" t="s">
        <v>406</v>
      </c>
      <c r="H233">
        <v>13554.77</v>
      </c>
      <c r="I233" s="89">
        <v>113322.1</v>
      </c>
      <c r="K233" s="89">
        <v>324478.15000000002</v>
      </c>
      <c r="N233">
        <v>42266.98</v>
      </c>
    </row>
    <row r="234" spans="2:14" x14ac:dyDescent="0.25">
      <c r="B234" s="90" t="s">
        <v>62</v>
      </c>
      <c r="C234" s="89">
        <v>1171687.3400000001</v>
      </c>
      <c r="D234" s="89">
        <v>18716.34</v>
      </c>
      <c r="E234" s="89">
        <v>12927780.039999999</v>
      </c>
      <c r="G234" s="90" t="s">
        <v>218</v>
      </c>
      <c r="H234">
        <v>71337.33</v>
      </c>
      <c r="I234" s="89">
        <v>512887.74</v>
      </c>
      <c r="K234" s="89">
        <v>738615.44</v>
      </c>
      <c r="N234">
        <v>103173.18</v>
      </c>
    </row>
    <row r="235" spans="2:14" x14ac:dyDescent="0.25">
      <c r="B235" s="90" t="s">
        <v>582</v>
      </c>
      <c r="C235" s="89">
        <v>71.89</v>
      </c>
      <c r="D235" s="89">
        <v>71.89</v>
      </c>
      <c r="E235" s="89">
        <v>44445.45</v>
      </c>
      <c r="G235" s="90" t="s">
        <v>128</v>
      </c>
      <c r="H235" s="89">
        <v>512054.04</v>
      </c>
      <c r="I235" s="89">
        <v>314943.84000000003</v>
      </c>
      <c r="K235" s="89">
        <v>886870.23</v>
      </c>
      <c r="N235" s="89">
        <v>110505.81</v>
      </c>
    </row>
    <row r="236" spans="2:14" x14ac:dyDescent="0.25">
      <c r="B236" s="90" t="s">
        <v>96</v>
      </c>
      <c r="C236" s="89">
        <v>11240.26</v>
      </c>
      <c r="D236" s="89">
        <v>11240.26</v>
      </c>
      <c r="E236" s="89">
        <v>3952547.51</v>
      </c>
      <c r="G236" s="90" t="s">
        <v>6</v>
      </c>
      <c r="H236" s="89">
        <v>181532.74</v>
      </c>
      <c r="I236" s="89">
        <v>5569194.7199999997</v>
      </c>
      <c r="K236" s="89">
        <v>16557759.890000001</v>
      </c>
      <c r="M236">
        <v>50077.98</v>
      </c>
      <c r="N236" s="89">
        <v>1418162.15</v>
      </c>
    </row>
    <row r="237" spans="2:14" x14ac:dyDescent="0.25">
      <c r="B237" s="90" t="s">
        <v>64</v>
      </c>
      <c r="C237" s="89">
        <v>19301.98</v>
      </c>
      <c r="D237" s="89">
        <v>19301.98</v>
      </c>
      <c r="E237" s="89">
        <v>5107856.8899999997</v>
      </c>
      <c r="G237" s="90" t="s">
        <v>540</v>
      </c>
      <c r="H237" s="89">
        <v>561</v>
      </c>
      <c r="I237" s="89"/>
      <c r="K237" s="89"/>
      <c r="N237" s="89"/>
    </row>
    <row r="238" spans="2:14" x14ac:dyDescent="0.25">
      <c r="B238" s="90" t="s">
        <v>208</v>
      </c>
      <c r="C238" s="89">
        <v>5378.31</v>
      </c>
      <c r="D238" s="89">
        <v>5378.31</v>
      </c>
      <c r="E238" s="89">
        <v>2546098.46</v>
      </c>
      <c r="G238" s="90" t="s">
        <v>572</v>
      </c>
      <c r="H238" s="89"/>
      <c r="I238" s="89">
        <v>8445.61</v>
      </c>
      <c r="K238" s="89">
        <v>13742.76</v>
      </c>
      <c r="N238" s="89"/>
    </row>
    <row r="239" spans="2:14" x14ac:dyDescent="0.25">
      <c r="B239" s="90" t="s">
        <v>220</v>
      </c>
      <c r="C239" s="89">
        <v>4215.71</v>
      </c>
      <c r="D239" s="89">
        <v>4215.71</v>
      </c>
      <c r="E239" s="89">
        <v>2273134.9500000002</v>
      </c>
      <c r="G239" s="90" t="s">
        <v>258</v>
      </c>
      <c r="H239" s="89">
        <v>103137.56</v>
      </c>
      <c r="I239" s="89">
        <v>214895.94</v>
      </c>
      <c r="K239" s="89">
        <v>266259.43</v>
      </c>
      <c r="N239" s="89">
        <v>49331.45</v>
      </c>
    </row>
    <row r="240" spans="2:14" x14ac:dyDescent="0.25">
      <c r="B240" s="90" t="s">
        <v>406</v>
      </c>
      <c r="C240">
        <v>875.59</v>
      </c>
      <c r="D240">
        <v>875.59</v>
      </c>
      <c r="E240" s="89">
        <v>884027.53</v>
      </c>
      <c r="G240" s="90" t="s">
        <v>226</v>
      </c>
      <c r="H240" s="89">
        <v>172519.78</v>
      </c>
      <c r="I240" s="89">
        <v>382695.46</v>
      </c>
      <c r="J240" s="89"/>
      <c r="K240" s="89">
        <v>469021.95</v>
      </c>
      <c r="N240" s="89">
        <v>86268.32</v>
      </c>
    </row>
    <row r="241" spans="2:14" x14ac:dyDescent="0.25">
      <c r="B241" s="90" t="s">
        <v>218</v>
      </c>
      <c r="C241">
        <v>4508.42</v>
      </c>
      <c r="D241">
        <v>4508.42</v>
      </c>
      <c r="E241" s="89">
        <v>1962090.63</v>
      </c>
      <c r="G241" s="90" t="s">
        <v>70</v>
      </c>
      <c r="H241" s="89">
        <v>1209182.2</v>
      </c>
      <c r="I241" s="89">
        <v>949574.35</v>
      </c>
      <c r="K241" s="89">
        <v>3062126.25</v>
      </c>
      <c r="N241" s="89">
        <v>462679.84</v>
      </c>
    </row>
    <row r="242" spans="2:14" x14ac:dyDescent="0.25">
      <c r="B242" s="90" t="s">
        <v>128</v>
      </c>
      <c r="C242">
        <v>9710.02</v>
      </c>
      <c r="D242">
        <v>9710.02</v>
      </c>
      <c r="E242" s="89">
        <v>3403481.81</v>
      </c>
      <c r="G242" s="90" t="s">
        <v>50</v>
      </c>
      <c r="H242" s="89">
        <v>1056071.8700000001</v>
      </c>
      <c r="I242" s="89">
        <v>1349893.03</v>
      </c>
      <c r="J242">
        <v>18981.080000000002</v>
      </c>
      <c r="K242" s="89">
        <v>4572177.92</v>
      </c>
      <c r="N242" s="89">
        <v>615638.47</v>
      </c>
    </row>
    <row r="243" spans="2:14" x14ac:dyDescent="0.25">
      <c r="B243" s="90" t="s">
        <v>6</v>
      </c>
      <c r="E243" s="89">
        <v>50909111.359999999</v>
      </c>
      <c r="G243" s="90" t="s">
        <v>312</v>
      </c>
      <c r="H243" s="89">
        <v>175607.82</v>
      </c>
      <c r="I243" s="89">
        <v>4890.28</v>
      </c>
      <c r="J243" s="89"/>
      <c r="K243" s="89">
        <v>111298.45</v>
      </c>
      <c r="N243" s="89">
        <v>35648.25</v>
      </c>
    </row>
    <row r="244" spans="2:14" x14ac:dyDescent="0.25">
      <c r="B244" s="90" t="s">
        <v>540</v>
      </c>
      <c r="C244" s="89"/>
      <c r="E244" s="89">
        <v>94084.21</v>
      </c>
      <c r="G244" s="90" t="s">
        <v>126</v>
      </c>
      <c r="H244" s="89">
        <v>77168.42</v>
      </c>
      <c r="I244" s="89">
        <v>984890.91</v>
      </c>
      <c r="K244" s="89">
        <v>2357623.9500000002</v>
      </c>
      <c r="N244" s="89">
        <v>284406.21000000002</v>
      </c>
    </row>
    <row r="245" spans="2:14" x14ac:dyDescent="0.25">
      <c r="B245" s="90" t="s">
        <v>572</v>
      </c>
      <c r="E245" s="89">
        <v>174265.78</v>
      </c>
      <c r="G245" s="90" t="s">
        <v>140</v>
      </c>
      <c r="H245" s="89">
        <v>2493.56</v>
      </c>
      <c r="I245" s="89">
        <v>506754.05</v>
      </c>
      <c r="K245" s="89">
        <v>2121927.96</v>
      </c>
      <c r="N245" s="89">
        <v>206753.33</v>
      </c>
    </row>
    <row r="246" spans="2:14" x14ac:dyDescent="0.25">
      <c r="B246" s="90" t="s">
        <v>258</v>
      </c>
      <c r="E246" s="89">
        <v>1314201.1499999999</v>
      </c>
      <c r="G246" s="90" t="s">
        <v>390</v>
      </c>
      <c r="H246" s="89">
        <v>32778.879999999997</v>
      </c>
      <c r="I246" s="89">
        <v>198824.9</v>
      </c>
      <c r="K246" s="89">
        <v>169720.9</v>
      </c>
      <c r="N246" s="89">
        <v>18584.740000000002</v>
      </c>
    </row>
    <row r="247" spans="2:14" x14ac:dyDescent="0.25">
      <c r="B247" s="90" t="s">
        <v>226</v>
      </c>
      <c r="C247">
        <v>3070312.86</v>
      </c>
      <c r="E247" s="89">
        <v>1657507.99</v>
      </c>
      <c r="G247" s="90" t="s">
        <v>150</v>
      </c>
      <c r="H247" s="89">
        <v>12418.3</v>
      </c>
      <c r="I247" s="89">
        <v>643776.02</v>
      </c>
      <c r="K247" s="89">
        <v>1466050.04</v>
      </c>
      <c r="N247">
        <v>180247.55</v>
      </c>
    </row>
    <row r="248" spans="2:14" x14ac:dyDescent="0.25">
      <c r="B248" s="90" t="s">
        <v>70</v>
      </c>
      <c r="C248" s="89"/>
      <c r="E248" s="89">
        <v>8400791.9100000001</v>
      </c>
      <c r="G248" s="90" t="s">
        <v>202</v>
      </c>
      <c r="H248" s="89">
        <v>7076.2</v>
      </c>
      <c r="I248" s="89">
        <v>326626.17</v>
      </c>
      <c r="K248" s="89">
        <v>949684.39</v>
      </c>
      <c r="N248">
        <v>55556.95</v>
      </c>
    </row>
    <row r="249" spans="2:14" x14ac:dyDescent="0.25">
      <c r="B249" s="90" t="s">
        <v>50</v>
      </c>
      <c r="E249" s="89">
        <v>13296067.08</v>
      </c>
      <c r="G249" s="90" t="s">
        <v>250</v>
      </c>
      <c r="H249" s="89">
        <v>2866.09</v>
      </c>
      <c r="I249" s="89">
        <v>320229.45</v>
      </c>
      <c r="K249" s="89">
        <v>694780.02</v>
      </c>
      <c r="N249">
        <v>67991.179999999993</v>
      </c>
    </row>
    <row r="250" spans="2:14" x14ac:dyDescent="0.25">
      <c r="B250" s="90" t="s">
        <v>312</v>
      </c>
      <c r="E250" s="89">
        <v>435271.81</v>
      </c>
      <c r="G250" s="90" t="s">
        <v>442</v>
      </c>
      <c r="H250" s="89">
        <v>-297.25</v>
      </c>
      <c r="I250" s="89">
        <v>312187.75</v>
      </c>
      <c r="K250" s="89">
        <v>388569.61</v>
      </c>
      <c r="N250" s="89">
        <v>73181.509999999995</v>
      </c>
    </row>
    <row r="251" spans="2:14" x14ac:dyDescent="0.25">
      <c r="B251" s="90" t="s">
        <v>126</v>
      </c>
      <c r="E251" s="89">
        <v>6188152.4500000002</v>
      </c>
      <c r="G251" s="90" t="s">
        <v>1160</v>
      </c>
      <c r="H251" s="89">
        <v>1917</v>
      </c>
      <c r="I251" s="89">
        <v>351.27</v>
      </c>
      <c r="K251" s="89">
        <v>19431.330000000002</v>
      </c>
      <c r="N251" s="89"/>
    </row>
    <row r="252" spans="2:14" x14ac:dyDescent="0.25">
      <c r="B252" s="90" t="s">
        <v>140</v>
      </c>
      <c r="E252" s="89">
        <v>5269123.84</v>
      </c>
      <c r="G252" s="90" t="s">
        <v>448</v>
      </c>
      <c r="H252" s="89">
        <v>-1168.2</v>
      </c>
      <c r="I252" s="89">
        <v>40899.75</v>
      </c>
      <c r="K252" s="89">
        <v>85705.84</v>
      </c>
      <c r="N252" s="89"/>
    </row>
    <row r="253" spans="2:14" x14ac:dyDescent="0.25">
      <c r="B253" s="90" t="s">
        <v>390</v>
      </c>
      <c r="E253" s="89">
        <v>600613.55000000005</v>
      </c>
      <c r="G253" s="90" t="s">
        <v>578</v>
      </c>
      <c r="H253" s="89">
        <v>564</v>
      </c>
      <c r="I253" s="89">
        <v>1735.94</v>
      </c>
      <c r="K253" s="89">
        <v>49451.03</v>
      </c>
      <c r="M253">
        <v>10640.35</v>
      </c>
      <c r="N253" s="89">
        <v>6136</v>
      </c>
    </row>
    <row r="254" spans="2:14" x14ac:dyDescent="0.25">
      <c r="B254" s="90" t="s">
        <v>150</v>
      </c>
      <c r="E254" s="89">
        <v>4037623.84</v>
      </c>
      <c r="G254" s="90" t="s">
        <v>326</v>
      </c>
      <c r="H254" s="89">
        <v>1909.76</v>
      </c>
      <c r="I254" s="89">
        <v>93582.83</v>
      </c>
      <c r="J254">
        <v>4120</v>
      </c>
      <c r="K254" s="89">
        <v>393450.62</v>
      </c>
      <c r="L254">
        <v>12279.96</v>
      </c>
      <c r="N254" s="89">
        <v>20997.43</v>
      </c>
    </row>
    <row r="255" spans="2:14" x14ac:dyDescent="0.25">
      <c r="B255" s="90" t="s">
        <v>202</v>
      </c>
      <c r="C255" s="89"/>
      <c r="E255" s="89">
        <v>3100646.32</v>
      </c>
      <c r="G255" s="90" t="s">
        <v>404</v>
      </c>
      <c r="H255">
        <v>9012.35</v>
      </c>
      <c r="I255" s="89">
        <v>6135.42</v>
      </c>
      <c r="K255" s="89">
        <v>232018.96</v>
      </c>
      <c r="N255" s="89">
        <v>21367.18</v>
      </c>
    </row>
    <row r="256" spans="2:14" x14ac:dyDescent="0.25">
      <c r="B256" s="90" t="s">
        <v>250</v>
      </c>
      <c r="E256" s="89">
        <v>1784718.77</v>
      </c>
      <c r="G256" s="90" t="s">
        <v>338</v>
      </c>
      <c r="H256" s="89">
        <v>2178.6999999999998</v>
      </c>
      <c r="I256" s="89">
        <v>21656.57</v>
      </c>
      <c r="K256" s="89">
        <v>226778.62</v>
      </c>
      <c r="M256">
        <v>23298.35</v>
      </c>
      <c r="N256" s="89">
        <v>11128.07</v>
      </c>
    </row>
    <row r="257" spans="2:14" x14ac:dyDescent="0.25">
      <c r="B257" s="90" t="s">
        <v>442</v>
      </c>
      <c r="C257" s="89"/>
      <c r="D257" s="89"/>
      <c r="E257" s="89">
        <v>928667.49</v>
      </c>
      <c r="G257" s="90" t="s">
        <v>230</v>
      </c>
      <c r="H257" s="89">
        <v>200.5</v>
      </c>
      <c r="I257" s="89">
        <v>268569.21999999997</v>
      </c>
      <c r="K257" s="89">
        <v>726430.13</v>
      </c>
      <c r="M257">
        <v>4120</v>
      </c>
      <c r="N257" s="89">
        <v>83956.08</v>
      </c>
    </row>
    <row r="258" spans="2:14" x14ac:dyDescent="0.25">
      <c r="B258" s="90" t="s">
        <v>1160</v>
      </c>
      <c r="C258" s="89"/>
      <c r="D258" s="89"/>
      <c r="E258" s="89">
        <v>105565.55</v>
      </c>
      <c r="G258" s="90" t="s">
        <v>474</v>
      </c>
      <c r="H258" s="89">
        <v>855.42</v>
      </c>
      <c r="I258" s="89">
        <v>15307.12</v>
      </c>
      <c r="K258" s="89">
        <v>114307.05</v>
      </c>
      <c r="N258" s="89">
        <v>8435.07</v>
      </c>
    </row>
    <row r="259" spans="2:14" x14ac:dyDescent="0.25">
      <c r="B259" s="90" t="s">
        <v>448</v>
      </c>
      <c r="C259" s="89"/>
      <c r="D259" s="89"/>
      <c r="E259" s="89">
        <v>520002.22</v>
      </c>
      <c r="G259" s="90" t="s">
        <v>554</v>
      </c>
      <c r="H259" s="89"/>
      <c r="I259" s="89">
        <v>6409.5</v>
      </c>
      <c r="K259" s="89">
        <v>117542.11</v>
      </c>
      <c r="N259" s="89">
        <v>6382.25</v>
      </c>
    </row>
    <row r="260" spans="2:14" x14ac:dyDescent="0.25">
      <c r="B260" s="90" t="s">
        <v>578</v>
      </c>
      <c r="C260" s="89">
        <v>361.76</v>
      </c>
      <c r="D260" s="89">
        <v>361.76</v>
      </c>
      <c r="E260" s="89">
        <v>164699.38</v>
      </c>
      <c r="G260" s="90" t="s">
        <v>590</v>
      </c>
      <c r="H260" s="89">
        <v>455.5</v>
      </c>
      <c r="I260" s="89">
        <v>10229.24</v>
      </c>
      <c r="K260" s="89">
        <v>28935.86</v>
      </c>
      <c r="N260" s="89">
        <v>2159.1999999999998</v>
      </c>
    </row>
    <row r="261" spans="2:14" x14ac:dyDescent="0.25">
      <c r="B261" s="90" t="s">
        <v>326</v>
      </c>
      <c r="C261" s="89">
        <v>6465</v>
      </c>
      <c r="D261" s="89">
        <v>6465</v>
      </c>
      <c r="E261" s="89">
        <v>1257215.28</v>
      </c>
      <c r="G261" s="90" t="s">
        <v>500</v>
      </c>
      <c r="H261" s="89">
        <v>1133.5</v>
      </c>
      <c r="I261" s="89">
        <v>7355.5</v>
      </c>
      <c r="J261">
        <v>4105.03</v>
      </c>
      <c r="K261" s="89">
        <v>60141.23</v>
      </c>
      <c r="M261">
        <v>9706.41</v>
      </c>
      <c r="N261" s="89">
        <v>6719.11</v>
      </c>
    </row>
    <row r="262" spans="2:14" x14ac:dyDescent="0.25">
      <c r="B262" s="90" t="s">
        <v>404</v>
      </c>
      <c r="C262" s="89">
        <v>3820305.54</v>
      </c>
      <c r="D262" s="89">
        <v>2889.54</v>
      </c>
      <c r="E262" s="89">
        <v>1382582.24</v>
      </c>
      <c r="G262" s="90" t="s">
        <v>382</v>
      </c>
      <c r="H262" s="89">
        <v>1330.73</v>
      </c>
      <c r="I262" s="89">
        <v>77431.87</v>
      </c>
      <c r="K262" s="89">
        <v>302614.93</v>
      </c>
      <c r="N262" s="89">
        <v>22939.200000000001</v>
      </c>
    </row>
    <row r="263" spans="2:14" x14ac:dyDescent="0.25">
      <c r="B263" s="90" t="s">
        <v>338</v>
      </c>
      <c r="C263" s="89">
        <v>2263.08</v>
      </c>
      <c r="D263" s="89">
        <v>2263.08</v>
      </c>
      <c r="E263" s="89">
        <v>691490.85</v>
      </c>
      <c r="G263" s="90" t="s">
        <v>454</v>
      </c>
      <c r="H263" s="89">
        <v>3314.3</v>
      </c>
      <c r="I263" s="89">
        <v>83309.240000000005</v>
      </c>
      <c r="K263" s="89">
        <v>155236.23000000001</v>
      </c>
      <c r="N263" s="89">
        <v>16051.8</v>
      </c>
    </row>
    <row r="264" spans="2:14" x14ac:dyDescent="0.25">
      <c r="B264" s="90" t="s">
        <v>230</v>
      </c>
      <c r="C264" s="89">
        <v>14466.86</v>
      </c>
      <c r="D264" s="89">
        <v>14466.86</v>
      </c>
      <c r="E264" s="89">
        <v>2239547.2200000002</v>
      </c>
      <c r="G264" s="90" t="s">
        <v>298</v>
      </c>
      <c r="H264" s="89">
        <v>1824.35</v>
      </c>
      <c r="I264" s="89">
        <v>149820.48000000001</v>
      </c>
      <c r="K264" s="89">
        <v>410059.37</v>
      </c>
      <c r="N264" s="89">
        <v>44754.48</v>
      </c>
    </row>
    <row r="265" spans="2:14" x14ac:dyDescent="0.25">
      <c r="B265" s="90" t="s">
        <v>474</v>
      </c>
      <c r="C265" s="89">
        <v>1153.3399999999999</v>
      </c>
      <c r="D265" s="89">
        <v>1153.3399999999999</v>
      </c>
      <c r="E265" s="89">
        <v>356505.67</v>
      </c>
      <c r="G265" s="90" t="s">
        <v>110</v>
      </c>
      <c r="H265" s="89">
        <v>317935.69</v>
      </c>
      <c r="I265" s="89">
        <v>798376.06</v>
      </c>
      <c r="K265" s="89">
        <v>1875104.36</v>
      </c>
      <c r="N265" s="89">
        <v>203814.41</v>
      </c>
    </row>
    <row r="266" spans="2:14" x14ac:dyDescent="0.25">
      <c r="B266" s="90" t="s">
        <v>554</v>
      </c>
      <c r="C266" s="89">
        <v>855.16</v>
      </c>
      <c r="D266" s="89">
        <v>855.16</v>
      </c>
      <c r="E266" s="89">
        <v>223226.63</v>
      </c>
      <c r="G266" s="90" t="s">
        <v>48</v>
      </c>
      <c r="H266" s="89">
        <v>758330.03</v>
      </c>
      <c r="I266" s="89">
        <v>2545366.36</v>
      </c>
      <c r="K266" s="89">
        <v>4704138.5599999996</v>
      </c>
      <c r="N266" s="89">
        <v>681463.47</v>
      </c>
    </row>
    <row r="267" spans="2:14" x14ac:dyDescent="0.25">
      <c r="B267" s="90" t="s">
        <v>590</v>
      </c>
      <c r="C267" s="89">
        <v>358.18</v>
      </c>
      <c r="D267" s="89">
        <v>358.18</v>
      </c>
      <c r="E267" s="89">
        <v>106612.38</v>
      </c>
      <c r="G267" s="90" t="s">
        <v>92</v>
      </c>
      <c r="H267" s="89">
        <v>679003.71</v>
      </c>
      <c r="I267" s="89">
        <v>759619.18</v>
      </c>
      <c r="K267" s="89">
        <v>1292704.8899999999</v>
      </c>
      <c r="N267" s="89">
        <v>169067</v>
      </c>
    </row>
    <row r="268" spans="2:14" x14ac:dyDescent="0.25">
      <c r="B268" s="90" t="s">
        <v>500</v>
      </c>
      <c r="C268" s="89">
        <v>288680.8</v>
      </c>
      <c r="D268" s="89">
        <v>914.8</v>
      </c>
      <c r="E268" s="89">
        <v>251327.69</v>
      </c>
      <c r="G268" s="90" t="s">
        <v>66</v>
      </c>
      <c r="H268" s="89">
        <v>1155151.8400000001</v>
      </c>
      <c r="I268" s="89">
        <v>651337.96</v>
      </c>
      <c r="K268" s="89">
        <v>1792336.33</v>
      </c>
      <c r="N268" s="89">
        <v>219321.75</v>
      </c>
    </row>
    <row r="269" spans="2:14" x14ac:dyDescent="0.25">
      <c r="B269" s="90" t="s">
        <v>382</v>
      </c>
      <c r="C269" s="89">
        <v>4716.8900000000003</v>
      </c>
      <c r="D269" s="89">
        <v>4716.8900000000003</v>
      </c>
      <c r="E269" s="89">
        <v>1208230.5</v>
      </c>
      <c r="G269" s="90" t="s">
        <v>318</v>
      </c>
      <c r="H269" s="89">
        <v>109908.42</v>
      </c>
      <c r="I269" s="89">
        <v>147432.73000000001</v>
      </c>
      <c r="J269">
        <v>13697.76</v>
      </c>
      <c r="K269" s="89">
        <v>316134.71999999997</v>
      </c>
      <c r="N269" s="89">
        <v>25520.77</v>
      </c>
    </row>
    <row r="270" spans="2:14" x14ac:dyDescent="0.25">
      <c r="B270" s="90" t="s">
        <v>454</v>
      </c>
      <c r="C270" s="89">
        <v>1730.46</v>
      </c>
      <c r="D270" s="89">
        <v>1730.46</v>
      </c>
      <c r="E270" s="89">
        <v>356997.12</v>
      </c>
      <c r="G270" s="90" t="s">
        <v>352</v>
      </c>
      <c r="H270" s="89">
        <v>118554.28</v>
      </c>
      <c r="I270" s="89">
        <v>4688.9399999999996</v>
      </c>
      <c r="K270" s="89">
        <v>96166.76</v>
      </c>
      <c r="N270">
        <v>36534.620000000003</v>
      </c>
    </row>
    <row r="271" spans="2:14" x14ac:dyDescent="0.25">
      <c r="B271" s="90" t="s">
        <v>298</v>
      </c>
      <c r="C271" s="89">
        <v>6184.11</v>
      </c>
      <c r="D271" s="89">
        <v>6184.11</v>
      </c>
      <c r="E271" s="89">
        <v>1024466.06</v>
      </c>
      <c r="G271" s="90" t="s">
        <v>210</v>
      </c>
      <c r="H271" s="89">
        <v>140052.21</v>
      </c>
      <c r="I271" s="89">
        <v>237916.66</v>
      </c>
      <c r="K271" s="89">
        <v>833937.89</v>
      </c>
      <c r="N271" s="89">
        <v>79782.720000000001</v>
      </c>
    </row>
    <row r="272" spans="2:14" x14ac:dyDescent="0.25">
      <c r="B272" s="90" t="s">
        <v>110</v>
      </c>
      <c r="C272" s="89">
        <v>146667.23000000001</v>
      </c>
      <c r="D272" s="89">
        <v>42.23</v>
      </c>
      <c r="E272" s="89">
        <v>5429707.7800000003</v>
      </c>
      <c r="G272" s="90" t="s">
        <v>276</v>
      </c>
      <c r="H272" s="89">
        <v>37351.480000000003</v>
      </c>
      <c r="I272" s="89">
        <v>199626.1</v>
      </c>
      <c r="K272" s="89">
        <v>481772.72</v>
      </c>
      <c r="N272" s="89">
        <v>39184.43</v>
      </c>
    </row>
    <row r="273" spans="2:14" x14ac:dyDescent="0.25">
      <c r="B273" s="90" t="s">
        <v>48</v>
      </c>
      <c r="C273" s="89">
        <v>699222.25</v>
      </c>
      <c r="D273" s="89">
        <v>110.9</v>
      </c>
      <c r="E273" s="89">
        <v>14630101.6</v>
      </c>
      <c r="G273" s="90" t="s">
        <v>398</v>
      </c>
      <c r="H273" s="89">
        <v>1445.32</v>
      </c>
      <c r="I273" s="89">
        <v>23205.8</v>
      </c>
      <c r="K273" s="89">
        <v>161067.07999999999</v>
      </c>
      <c r="N273">
        <v>20707.04</v>
      </c>
    </row>
    <row r="274" spans="2:14" x14ac:dyDescent="0.25">
      <c r="B274" s="90" t="s">
        <v>92</v>
      </c>
      <c r="C274" s="89">
        <v>50</v>
      </c>
      <c r="D274" s="89">
        <v>50</v>
      </c>
      <c r="E274" s="89">
        <v>5004967.97</v>
      </c>
      <c r="G274" s="90" t="s">
        <v>602</v>
      </c>
      <c r="H274" s="89"/>
      <c r="I274" s="89">
        <v>2595.7800000000002</v>
      </c>
      <c r="K274" s="89">
        <v>4707.88</v>
      </c>
      <c r="N274" s="89"/>
    </row>
    <row r="275" spans="2:14" x14ac:dyDescent="0.25">
      <c r="B275" s="90" t="s">
        <v>66</v>
      </c>
      <c r="C275" s="89">
        <v>69.900000000000006</v>
      </c>
      <c r="D275" s="89">
        <v>69.900000000000006</v>
      </c>
      <c r="E275" s="89">
        <v>7548674.3499999996</v>
      </c>
      <c r="G275" s="90" t="s">
        <v>108</v>
      </c>
      <c r="H275" s="89">
        <v>7208.61</v>
      </c>
      <c r="I275" s="89">
        <v>940633.93</v>
      </c>
      <c r="K275" s="89">
        <v>2617307.11</v>
      </c>
      <c r="N275" s="89">
        <v>349634.71</v>
      </c>
    </row>
    <row r="276" spans="2:14" x14ac:dyDescent="0.25">
      <c r="B276" s="90" t="s">
        <v>318</v>
      </c>
      <c r="C276" s="89">
        <v>7.4</v>
      </c>
      <c r="D276" s="89">
        <v>7.4</v>
      </c>
      <c r="E276" s="89">
        <v>883037.29</v>
      </c>
      <c r="G276" s="90" t="s">
        <v>264</v>
      </c>
      <c r="H276">
        <v>9444.3700000000008</v>
      </c>
      <c r="I276" s="89">
        <v>248072.89</v>
      </c>
      <c r="K276" s="89">
        <v>646861.57999999996</v>
      </c>
      <c r="N276">
        <v>104048.72</v>
      </c>
    </row>
    <row r="277" spans="2:14" x14ac:dyDescent="0.25">
      <c r="B277" s="90" t="s">
        <v>352</v>
      </c>
      <c r="C277">
        <v>4.26</v>
      </c>
      <c r="D277">
        <v>4.26</v>
      </c>
      <c r="E277" s="89">
        <v>454117.17</v>
      </c>
      <c r="G277" s="90" t="s">
        <v>468</v>
      </c>
      <c r="H277" s="89">
        <v>2733.5</v>
      </c>
      <c r="I277" s="89">
        <v>61036.36</v>
      </c>
      <c r="K277" s="89">
        <v>84690</v>
      </c>
      <c r="N277" s="89">
        <v>11396.78</v>
      </c>
    </row>
    <row r="278" spans="2:14" x14ac:dyDescent="0.25">
      <c r="B278" s="90" t="s">
        <v>210</v>
      </c>
      <c r="C278" s="89">
        <v>15.77</v>
      </c>
      <c r="D278">
        <v>15.77</v>
      </c>
      <c r="E278" s="89">
        <v>2895304.96</v>
      </c>
      <c r="G278" s="90" t="s">
        <v>332</v>
      </c>
      <c r="H278" s="89">
        <v>27853.5</v>
      </c>
      <c r="I278" s="89">
        <v>144055.85999999999</v>
      </c>
      <c r="K278" s="89">
        <v>385751.52</v>
      </c>
      <c r="N278" s="89">
        <v>46571</v>
      </c>
    </row>
    <row r="279" spans="2:14" x14ac:dyDescent="0.25">
      <c r="B279" s="90" t="s">
        <v>276</v>
      </c>
      <c r="C279" s="89">
        <v>9.4600000000000009</v>
      </c>
      <c r="D279" s="89">
        <v>9.4600000000000009</v>
      </c>
      <c r="E279" s="89">
        <v>1307111.6399999999</v>
      </c>
      <c r="G279" s="90" t="s">
        <v>430</v>
      </c>
      <c r="H279" s="89">
        <v>2015.5</v>
      </c>
      <c r="I279" s="89">
        <v>84324.1</v>
      </c>
      <c r="K279" s="89">
        <v>121989.28</v>
      </c>
      <c r="N279" s="89">
        <v>15982.71</v>
      </c>
    </row>
    <row r="280" spans="2:14" x14ac:dyDescent="0.25">
      <c r="B280" s="90" t="s">
        <v>398</v>
      </c>
      <c r="C280" s="89">
        <v>5075.76</v>
      </c>
      <c r="D280" s="89"/>
      <c r="E280" s="89">
        <v>920162.96</v>
      </c>
      <c r="G280" s="90" t="s">
        <v>434</v>
      </c>
      <c r="H280" s="89">
        <v>16812.080000000002</v>
      </c>
      <c r="I280" s="89">
        <v>76691.759999999995</v>
      </c>
      <c r="K280" s="89">
        <v>243129.55</v>
      </c>
      <c r="N280" s="89"/>
    </row>
    <row r="281" spans="2:14" x14ac:dyDescent="0.25">
      <c r="B281" s="90" t="s">
        <v>602</v>
      </c>
      <c r="C281" s="89">
        <v>0.44</v>
      </c>
      <c r="D281" s="89">
        <v>0.44</v>
      </c>
      <c r="E281" s="89">
        <v>144019.46</v>
      </c>
      <c r="G281" s="90" t="s">
        <v>58</v>
      </c>
      <c r="H281" s="89">
        <v>619380.25</v>
      </c>
      <c r="I281" s="89">
        <v>978596.09</v>
      </c>
      <c r="K281" s="89">
        <v>2658875.9</v>
      </c>
      <c r="N281" s="89">
        <v>367401.08</v>
      </c>
    </row>
    <row r="282" spans="2:14" x14ac:dyDescent="0.25">
      <c r="B282" s="90" t="s">
        <v>108</v>
      </c>
      <c r="C282" s="89">
        <v>108845.31</v>
      </c>
      <c r="D282" s="89">
        <v>154.30000000000001</v>
      </c>
      <c r="E282" s="89">
        <v>9838850.8399999999</v>
      </c>
      <c r="G282" s="90" t="s">
        <v>124</v>
      </c>
      <c r="H282" s="89">
        <v>1992.93</v>
      </c>
      <c r="I282" s="89">
        <v>591244.85</v>
      </c>
      <c r="K282" s="89">
        <v>1584429.56</v>
      </c>
      <c r="N282" s="89">
        <v>243917.03</v>
      </c>
    </row>
    <row r="283" spans="2:14" x14ac:dyDescent="0.25">
      <c r="B283" s="90" t="s">
        <v>264</v>
      </c>
      <c r="C283" s="89">
        <v>43.29</v>
      </c>
      <c r="D283" s="89">
        <v>43.29</v>
      </c>
      <c r="E283" s="89">
        <v>2428539.13</v>
      </c>
      <c r="G283" s="90" t="s">
        <v>212</v>
      </c>
      <c r="H283" s="89">
        <v>44379.45</v>
      </c>
      <c r="I283" s="89">
        <v>278646.14</v>
      </c>
      <c r="K283" s="89">
        <v>424740.56</v>
      </c>
      <c r="N283" s="89">
        <v>92128.63</v>
      </c>
    </row>
    <row r="284" spans="2:14" x14ac:dyDescent="0.25">
      <c r="B284" s="90" t="s">
        <v>468</v>
      </c>
      <c r="C284" s="89">
        <v>30298.28</v>
      </c>
      <c r="D284" s="89">
        <v>6.19</v>
      </c>
      <c r="E284" s="89">
        <v>316264.89</v>
      </c>
      <c r="G284" s="90" t="s">
        <v>172</v>
      </c>
      <c r="H284" s="89">
        <v>276038.12</v>
      </c>
      <c r="I284">
        <v>409105.32</v>
      </c>
      <c r="K284" s="89">
        <v>894785.03</v>
      </c>
      <c r="N284">
        <v>105927.88</v>
      </c>
    </row>
    <row r="285" spans="2:14" x14ac:dyDescent="0.25">
      <c r="B285" s="90" t="s">
        <v>332</v>
      </c>
      <c r="C285" s="89">
        <v>22.33</v>
      </c>
      <c r="D285" s="89">
        <v>22.33</v>
      </c>
      <c r="E285" s="89">
        <v>975224.57</v>
      </c>
      <c r="G285" s="90" t="s">
        <v>232</v>
      </c>
      <c r="H285">
        <v>113895.11</v>
      </c>
      <c r="I285" s="89">
        <v>192330.84</v>
      </c>
      <c r="K285" s="89">
        <v>474346.63</v>
      </c>
      <c r="N285">
        <v>43235.14</v>
      </c>
    </row>
    <row r="286" spans="2:14" x14ac:dyDescent="0.25">
      <c r="B286" s="90" t="s">
        <v>430</v>
      </c>
      <c r="C286" s="89">
        <v>8.42</v>
      </c>
      <c r="D286" s="89">
        <v>8.42</v>
      </c>
      <c r="E286" s="89">
        <v>416682.04</v>
      </c>
      <c r="G286" s="90" t="s">
        <v>236</v>
      </c>
      <c r="H286" s="89">
        <v>22528.13</v>
      </c>
      <c r="I286">
        <v>427934.16</v>
      </c>
      <c r="J286">
        <v>6168.93</v>
      </c>
      <c r="K286">
        <v>1261398.96</v>
      </c>
      <c r="N286">
        <v>139571.93</v>
      </c>
    </row>
    <row r="287" spans="2:14" x14ac:dyDescent="0.25">
      <c r="B287" s="90" t="s">
        <v>434</v>
      </c>
      <c r="C287" s="89">
        <v>29545.56</v>
      </c>
      <c r="D287" s="89">
        <v>7.56</v>
      </c>
      <c r="E287" s="89">
        <v>417669.45</v>
      </c>
      <c r="G287" s="90" t="s">
        <v>224</v>
      </c>
      <c r="H287" s="89">
        <v>18940.439999999999</v>
      </c>
      <c r="I287" s="89">
        <v>372741.81</v>
      </c>
      <c r="K287" s="89">
        <v>940596.01</v>
      </c>
      <c r="N287" s="89">
        <v>96009.01</v>
      </c>
    </row>
    <row r="288" spans="2:14" x14ac:dyDescent="0.25">
      <c r="B288" s="90" t="s">
        <v>58</v>
      </c>
      <c r="C288" s="89">
        <v>14848.77</v>
      </c>
      <c r="D288" s="89">
        <v>14848.77</v>
      </c>
      <c r="E288" s="89">
        <v>11288774.91</v>
      </c>
      <c r="G288" s="90" t="s">
        <v>586</v>
      </c>
      <c r="H288" s="89">
        <v>2202.8000000000002</v>
      </c>
      <c r="I288" s="89">
        <v>9727.36</v>
      </c>
      <c r="K288" s="89">
        <v>26036.46</v>
      </c>
      <c r="N288" s="89">
        <v>6456.88</v>
      </c>
    </row>
    <row r="289" spans="2:14" x14ac:dyDescent="0.25">
      <c r="B289" s="90" t="s">
        <v>124</v>
      </c>
      <c r="C289" s="89">
        <v>682940.07</v>
      </c>
      <c r="D289" s="89">
        <v>6351.07</v>
      </c>
      <c r="E289" s="89">
        <v>6003598.1500000004</v>
      </c>
      <c r="G289" s="90" t="s">
        <v>470</v>
      </c>
      <c r="H289" s="89">
        <v>40</v>
      </c>
      <c r="I289" s="89">
        <v>49448.89</v>
      </c>
      <c r="K289" s="89">
        <v>121547.43</v>
      </c>
      <c r="N289" s="89">
        <v>11050</v>
      </c>
    </row>
    <row r="290" spans="2:14" x14ac:dyDescent="0.25">
      <c r="B290" s="90" t="s">
        <v>212</v>
      </c>
      <c r="C290" s="89">
        <v>2638.23</v>
      </c>
      <c r="D290" s="89">
        <v>2638.23</v>
      </c>
      <c r="E290" s="89">
        <v>1921495.76</v>
      </c>
      <c r="G290" s="90" t="s">
        <v>186</v>
      </c>
      <c r="H290" s="89">
        <v>298196.89</v>
      </c>
      <c r="I290" s="89">
        <v>137676.88</v>
      </c>
      <c r="J290">
        <v>4119.79</v>
      </c>
      <c r="K290" s="89">
        <v>723338.69</v>
      </c>
      <c r="L290">
        <v>21139.93</v>
      </c>
      <c r="M290">
        <v>2.48</v>
      </c>
      <c r="N290" s="89">
        <v>85770.74</v>
      </c>
    </row>
    <row r="291" spans="2:14" x14ac:dyDescent="0.25">
      <c r="B291" s="90" t="s">
        <v>172</v>
      </c>
      <c r="C291" s="89">
        <v>4741.95</v>
      </c>
      <c r="D291" s="89">
        <v>4741.95</v>
      </c>
      <c r="E291" s="89">
        <v>3300517.39</v>
      </c>
      <c r="G291" s="90" t="s">
        <v>370</v>
      </c>
      <c r="H291" s="89">
        <v>82612.37</v>
      </c>
      <c r="I291" s="89">
        <v>118364.13</v>
      </c>
      <c r="J291">
        <v>7331.8</v>
      </c>
      <c r="K291" s="89">
        <v>139708.26</v>
      </c>
      <c r="M291">
        <v>5760</v>
      </c>
      <c r="N291">
        <v>17497.11</v>
      </c>
    </row>
    <row r="292" spans="2:14" x14ac:dyDescent="0.25">
      <c r="B292" s="90" t="s">
        <v>232</v>
      </c>
      <c r="C292" s="89">
        <v>2450.2600000000002</v>
      </c>
      <c r="D292" s="89">
        <v>2450.2600000000002</v>
      </c>
      <c r="E292" s="89">
        <v>1473360.96</v>
      </c>
      <c r="G292" s="90" t="s">
        <v>476</v>
      </c>
      <c r="H292" s="89">
        <v>26317.52</v>
      </c>
      <c r="I292" s="89">
        <v>45517.17</v>
      </c>
      <c r="K292" s="89">
        <v>58276.27</v>
      </c>
      <c r="M292">
        <v>54925.62</v>
      </c>
      <c r="N292" s="89">
        <v>6063.1</v>
      </c>
    </row>
    <row r="293" spans="2:14" x14ac:dyDescent="0.25">
      <c r="B293" s="90" t="s">
        <v>236</v>
      </c>
      <c r="C293">
        <v>89966.83</v>
      </c>
      <c r="D293">
        <v>2717.83</v>
      </c>
      <c r="E293" s="89">
        <v>2911324.59</v>
      </c>
      <c r="G293" s="90" t="s">
        <v>522</v>
      </c>
      <c r="H293" s="89">
        <v>13835.85</v>
      </c>
      <c r="I293" s="89">
        <v>12493.73</v>
      </c>
      <c r="K293" s="89">
        <v>68308.13</v>
      </c>
      <c r="N293" s="89">
        <v>4825.24</v>
      </c>
    </row>
    <row r="294" spans="2:14" x14ac:dyDescent="0.25">
      <c r="B294" s="90" t="s">
        <v>224</v>
      </c>
      <c r="C294">
        <v>176189.22</v>
      </c>
      <c r="D294">
        <v>2167.2199999999998</v>
      </c>
      <c r="E294" s="89">
        <v>2626581.84</v>
      </c>
      <c r="G294" s="90" t="s">
        <v>504</v>
      </c>
      <c r="H294" s="89">
        <v>13425.67</v>
      </c>
      <c r="I294" s="89">
        <v>31243.7</v>
      </c>
      <c r="K294" s="89">
        <v>34722.449999999997</v>
      </c>
      <c r="N294" s="89">
        <v>4996.47</v>
      </c>
    </row>
    <row r="295" spans="2:14" x14ac:dyDescent="0.25">
      <c r="B295" s="90" t="s">
        <v>1187</v>
      </c>
      <c r="E295" s="89">
        <v>26430.17</v>
      </c>
      <c r="G295" s="90" t="s">
        <v>532</v>
      </c>
      <c r="H295" s="89">
        <v>4527.75</v>
      </c>
      <c r="I295" s="89">
        <v>16682.990000000002</v>
      </c>
      <c r="K295" s="89">
        <v>55365.95</v>
      </c>
      <c r="N295" s="89">
        <v>9344.16</v>
      </c>
    </row>
    <row r="296" spans="2:14" x14ac:dyDescent="0.25">
      <c r="B296" s="90" t="s">
        <v>564</v>
      </c>
      <c r="E296" s="89">
        <v>78860.100000000006</v>
      </c>
      <c r="G296" s="90" t="s">
        <v>486</v>
      </c>
      <c r="H296" s="89">
        <v>8691.18</v>
      </c>
      <c r="I296" s="89">
        <v>32028.54</v>
      </c>
      <c r="K296" s="89">
        <v>102956.06</v>
      </c>
      <c r="N296" s="89">
        <v>4910.6099999999997</v>
      </c>
    </row>
    <row r="297" spans="2:14" x14ac:dyDescent="0.25">
      <c r="B297" s="90" t="s">
        <v>586</v>
      </c>
      <c r="E297" s="89">
        <v>67786.14</v>
      </c>
      <c r="G297" s="90" t="s">
        <v>492</v>
      </c>
      <c r="H297" s="89">
        <v>3902.15</v>
      </c>
      <c r="I297">
        <v>42767.51</v>
      </c>
      <c r="K297">
        <v>50723.59</v>
      </c>
      <c r="N297">
        <v>6405.27</v>
      </c>
    </row>
    <row r="298" spans="2:14" x14ac:dyDescent="0.25">
      <c r="B298" s="90" t="s">
        <v>470</v>
      </c>
      <c r="E298" s="89">
        <v>291382.61</v>
      </c>
      <c r="G298" s="90" t="s">
        <v>520</v>
      </c>
      <c r="H298">
        <v>13807.6</v>
      </c>
      <c r="I298" s="89">
        <v>43608.85</v>
      </c>
      <c r="K298" s="89">
        <v>49742.3</v>
      </c>
    </row>
    <row r="299" spans="2:14" x14ac:dyDescent="0.25">
      <c r="B299" s="90" t="s">
        <v>186</v>
      </c>
      <c r="E299" s="89">
        <v>2208496.25</v>
      </c>
      <c r="G299" s="90" t="s">
        <v>356</v>
      </c>
      <c r="H299" s="89">
        <v>15298.1</v>
      </c>
      <c r="I299" s="89">
        <v>11238.47</v>
      </c>
      <c r="K299" s="89">
        <v>557336.76</v>
      </c>
      <c r="N299" s="89">
        <v>36755.730000000003</v>
      </c>
    </row>
    <row r="300" spans="2:14" x14ac:dyDescent="0.25">
      <c r="B300" s="90" t="s">
        <v>370</v>
      </c>
      <c r="E300" s="89">
        <v>469512.57</v>
      </c>
      <c r="G300" s="90" t="s">
        <v>266</v>
      </c>
      <c r="H300" s="89">
        <v>37726.53</v>
      </c>
      <c r="I300" s="89">
        <v>271398.93</v>
      </c>
      <c r="K300" s="89">
        <v>559430.9</v>
      </c>
      <c r="N300" s="89">
        <v>44175.63</v>
      </c>
    </row>
    <row r="301" spans="2:14" x14ac:dyDescent="0.25">
      <c r="B301" s="90" t="s">
        <v>476</v>
      </c>
      <c r="E301" s="89">
        <v>265267.33</v>
      </c>
      <c r="G301" s="90" t="s">
        <v>40</v>
      </c>
      <c r="H301" s="89">
        <v>133109.62</v>
      </c>
      <c r="I301">
        <v>358265.4</v>
      </c>
      <c r="K301" s="89">
        <v>10662698.23</v>
      </c>
      <c r="N301" s="89">
        <v>739787.46</v>
      </c>
    </row>
    <row r="302" spans="2:14" x14ac:dyDescent="0.25">
      <c r="B302" s="90" t="s">
        <v>522</v>
      </c>
      <c r="E302" s="89">
        <v>255159.62</v>
      </c>
      <c r="G302" s="90" t="s">
        <v>176</v>
      </c>
      <c r="H302" s="89">
        <v>61330.48</v>
      </c>
      <c r="I302" s="89">
        <v>653461.55000000005</v>
      </c>
      <c r="J302">
        <v>8240</v>
      </c>
      <c r="K302" s="89">
        <v>2037091.31</v>
      </c>
      <c r="M302">
        <v>16888.32</v>
      </c>
      <c r="N302" s="89">
        <v>299303.59999999998</v>
      </c>
    </row>
    <row r="303" spans="2:14" x14ac:dyDescent="0.25">
      <c r="B303" s="90" t="s">
        <v>584</v>
      </c>
      <c r="C303" s="89"/>
      <c r="E303" s="89">
        <v>43361</v>
      </c>
      <c r="G303" s="90" t="s">
        <v>160</v>
      </c>
      <c r="H303" s="89">
        <v>13244.91</v>
      </c>
      <c r="I303" s="89">
        <v>792575.75</v>
      </c>
      <c r="K303" s="89">
        <v>2051309.74</v>
      </c>
      <c r="N303" s="89">
        <v>272205.68</v>
      </c>
    </row>
    <row r="304" spans="2:14" x14ac:dyDescent="0.25">
      <c r="B304" s="90" t="s">
        <v>504</v>
      </c>
      <c r="C304">
        <v>20097</v>
      </c>
      <c r="E304" s="89">
        <v>127603.92</v>
      </c>
      <c r="G304" s="90" t="s">
        <v>310</v>
      </c>
      <c r="H304" s="89">
        <v>2843</v>
      </c>
      <c r="I304" s="89">
        <v>12405.32</v>
      </c>
      <c r="K304" s="89">
        <v>545473.84</v>
      </c>
      <c r="N304" s="89">
        <v>38460.089999999997</v>
      </c>
    </row>
    <row r="305" spans="2:16" x14ac:dyDescent="0.25">
      <c r="B305" s="90" t="s">
        <v>532</v>
      </c>
      <c r="E305" s="89">
        <v>172669.11</v>
      </c>
      <c r="G305" s="90" t="s">
        <v>148</v>
      </c>
      <c r="H305" s="89">
        <v>14621.15</v>
      </c>
      <c r="I305" s="89">
        <v>153926.65</v>
      </c>
      <c r="K305" s="89">
        <v>2739662.24</v>
      </c>
      <c r="N305" s="89">
        <v>137282.54</v>
      </c>
    </row>
    <row r="306" spans="2:16" x14ac:dyDescent="0.25">
      <c r="B306" s="90" t="s">
        <v>486</v>
      </c>
      <c r="E306" s="89">
        <v>337951.11</v>
      </c>
      <c r="G306" s="90" t="s">
        <v>98</v>
      </c>
      <c r="H306" s="89">
        <v>50504.42</v>
      </c>
      <c r="I306" s="89">
        <v>103970.2</v>
      </c>
      <c r="K306" s="89">
        <v>4692424.72</v>
      </c>
      <c r="N306" s="89">
        <v>295478.57</v>
      </c>
    </row>
    <row r="307" spans="2:16" x14ac:dyDescent="0.25">
      <c r="B307" s="90" t="s">
        <v>492</v>
      </c>
      <c r="E307" s="89">
        <v>228815.01</v>
      </c>
      <c r="G307" s="90" t="s">
        <v>138</v>
      </c>
      <c r="H307" s="89">
        <v>13684.13</v>
      </c>
      <c r="I307" s="89">
        <v>90300.2</v>
      </c>
      <c r="K307" s="89">
        <v>3202485.62</v>
      </c>
      <c r="M307">
        <v>13225</v>
      </c>
      <c r="N307" s="89">
        <v>205323.53</v>
      </c>
    </row>
    <row r="308" spans="2:16" x14ac:dyDescent="0.25">
      <c r="B308" s="90" t="s">
        <v>520</v>
      </c>
      <c r="E308" s="89">
        <v>199921.75</v>
      </c>
      <c r="G308" s="90" t="s">
        <v>280</v>
      </c>
      <c r="H308" s="89">
        <v>3355.09</v>
      </c>
      <c r="I308" s="89">
        <v>99388.78</v>
      </c>
      <c r="K308" s="89">
        <v>714018.32</v>
      </c>
      <c r="N308" s="89">
        <v>52976.21</v>
      </c>
    </row>
    <row r="309" spans="2:16" x14ac:dyDescent="0.25">
      <c r="B309" s="90" t="s">
        <v>356</v>
      </c>
      <c r="C309" s="89">
        <v>2668.71</v>
      </c>
      <c r="D309" s="89">
        <v>2668.71</v>
      </c>
      <c r="E309" s="89">
        <v>1252577.3400000001</v>
      </c>
      <c r="G309" s="90" t="s">
        <v>246</v>
      </c>
      <c r="H309" s="89">
        <v>8937.85</v>
      </c>
      <c r="I309" s="89">
        <v>23807.7</v>
      </c>
      <c r="K309" s="89">
        <v>1136142.6000000001</v>
      </c>
      <c r="N309" s="89">
        <v>96078.87</v>
      </c>
    </row>
    <row r="310" spans="2:16" x14ac:dyDescent="0.25">
      <c r="B310" s="90" t="s">
        <v>266</v>
      </c>
      <c r="C310" s="89">
        <v>6312.87</v>
      </c>
      <c r="D310" s="89">
        <v>6312.87</v>
      </c>
      <c r="E310" s="89">
        <v>1367530.31</v>
      </c>
      <c r="G310" s="90" t="s">
        <v>270</v>
      </c>
      <c r="H310" s="89">
        <v>-950.36</v>
      </c>
      <c r="I310" s="89">
        <v>337341.94</v>
      </c>
      <c r="K310" s="89">
        <v>742039.38</v>
      </c>
      <c r="N310" s="89">
        <v>52069.68</v>
      </c>
    </row>
    <row r="311" spans="2:16" x14ac:dyDescent="0.25">
      <c r="B311" s="90" t="s">
        <v>40</v>
      </c>
      <c r="C311" s="89">
        <v>76235.199999999997</v>
      </c>
      <c r="D311" s="89">
        <v>76235.199999999997</v>
      </c>
      <c r="E311" s="89">
        <v>30210975.289999999</v>
      </c>
      <c r="G311" s="90" t="s">
        <v>164</v>
      </c>
      <c r="H311" s="89">
        <v>17685.98</v>
      </c>
      <c r="I311" s="89">
        <v>55464.63</v>
      </c>
      <c r="K311" s="89">
        <v>2568884.13</v>
      </c>
      <c r="N311" s="89">
        <v>139559.54</v>
      </c>
      <c r="P311" s="89">
        <v>66959.09</v>
      </c>
    </row>
    <row r="312" spans="2:16" x14ac:dyDescent="0.25">
      <c r="B312" s="90" t="s">
        <v>176</v>
      </c>
      <c r="C312" s="89">
        <v>16135.51</v>
      </c>
      <c r="D312" s="89">
        <v>16135.51</v>
      </c>
      <c r="E312" s="89">
        <v>5039934.5599999996</v>
      </c>
      <c r="G312" s="90" t="s">
        <v>116</v>
      </c>
      <c r="H312" s="89">
        <v>175420.74</v>
      </c>
      <c r="I312" s="89">
        <v>879298.27</v>
      </c>
      <c r="K312" s="89">
        <v>1831146.8</v>
      </c>
      <c r="N312" s="89">
        <v>289325.67</v>
      </c>
    </row>
    <row r="313" spans="2:16" x14ac:dyDescent="0.25">
      <c r="B313" s="90" t="s">
        <v>160</v>
      </c>
      <c r="C313" s="89">
        <v>17978.14</v>
      </c>
      <c r="D313" s="89">
        <v>17978.14</v>
      </c>
      <c r="E313" s="89">
        <v>4628025.21</v>
      </c>
      <c r="G313" s="90" t="s">
        <v>302</v>
      </c>
      <c r="H313" s="89">
        <v>5563.25</v>
      </c>
      <c r="I313" s="89">
        <v>14168.38</v>
      </c>
      <c r="K313" s="89">
        <v>645106.16</v>
      </c>
      <c r="N313" s="89">
        <v>44809.85</v>
      </c>
    </row>
    <row r="314" spans="2:16" x14ac:dyDescent="0.25">
      <c r="B314" s="90" t="s">
        <v>310</v>
      </c>
      <c r="C314">
        <v>3357.73</v>
      </c>
      <c r="D314">
        <v>3357.73</v>
      </c>
      <c r="E314" s="89">
        <v>2163231.21</v>
      </c>
    </row>
    <row r="315" spans="2:16" x14ac:dyDescent="0.25">
      <c r="B315" s="90" t="s">
        <v>148</v>
      </c>
      <c r="C315" s="89">
        <v>17082.09</v>
      </c>
      <c r="D315" s="89">
        <v>17082.09</v>
      </c>
      <c r="E315" s="89">
        <v>7449100.5599999996</v>
      </c>
    </row>
    <row r="316" spans="2:16" x14ac:dyDescent="0.25">
      <c r="B316" s="90" t="s">
        <v>98</v>
      </c>
      <c r="C316" s="89">
        <v>29633.69</v>
      </c>
      <c r="D316" s="89">
        <v>29633.69</v>
      </c>
      <c r="E316" s="89">
        <v>15649691.07</v>
      </c>
    </row>
    <row r="317" spans="2:16" x14ac:dyDescent="0.25">
      <c r="B317" s="90" t="s">
        <v>138</v>
      </c>
      <c r="C317" s="89">
        <v>342591.62</v>
      </c>
      <c r="D317" s="89">
        <v>16508.62</v>
      </c>
      <c r="E317" s="89">
        <v>8639077.0999999996</v>
      </c>
    </row>
    <row r="318" spans="2:16" x14ac:dyDescent="0.25">
      <c r="B318" s="90" t="s">
        <v>280</v>
      </c>
      <c r="C318" s="89">
        <v>4906.1400000000003</v>
      </c>
      <c r="D318" s="89">
        <v>4906.1400000000003</v>
      </c>
      <c r="E318" s="89">
        <v>1704615.88</v>
      </c>
    </row>
    <row r="319" spans="2:16" x14ac:dyDescent="0.25">
      <c r="B319" s="90" t="s">
        <v>246</v>
      </c>
      <c r="C319" s="89">
        <v>74748.03</v>
      </c>
      <c r="D319" s="89">
        <v>6857.03</v>
      </c>
      <c r="E319" s="89">
        <v>3809344.19</v>
      </c>
    </row>
    <row r="320" spans="2:16" x14ac:dyDescent="0.25">
      <c r="B320" s="90" t="s">
        <v>270</v>
      </c>
      <c r="C320" s="89">
        <v>6420.94</v>
      </c>
      <c r="D320" s="89">
        <v>6420.94</v>
      </c>
      <c r="E320" s="89">
        <v>1919082.73</v>
      </c>
    </row>
    <row r="321" spans="2:5" x14ac:dyDescent="0.25">
      <c r="B321" s="90" t="s">
        <v>164</v>
      </c>
      <c r="C321" s="89">
        <v>3010322.95</v>
      </c>
      <c r="D321" s="89">
        <v>15265.95</v>
      </c>
      <c r="E321" s="89">
        <v>7474923.8099999996</v>
      </c>
    </row>
    <row r="322" spans="2:5" x14ac:dyDescent="0.25">
      <c r="B322" s="90" t="s">
        <v>116</v>
      </c>
      <c r="C322" s="89">
        <v>26067.93</v>
      </c>
      <c r="D322" s="89">
        <v>26067.93</v>
      </c>
      <c r="E322" s="89">
        <v>5874877.0199999996</v>
      </c>
    </row>
    <row r="323" spans="2:5" x14ac:dyDescent="0.25">
      <c r="B323" s="90" t="s">
        <v>302</v>
      </c>
      <c r="C323" s="89">
        <v>4964671</v>
      </c>
      <c r="D323" s="89"/>
      <c r="E323" s="89">
        <v>2580399.06</v>
      </c>
    </row>
  </sheetData>
  <pageMargins left="0.7" right="0.7" top="0.75" bottom="0.75" header="0.3" footer="0.3"/>
  <pageSetup orientation="portrait" horizontalDpi="360" verticalDpi="36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6DBE5-E7B0-496E-AC1F-281C0F55327D}">
  <sheetPr>
    <tabColor theme="7" tint="0.79998168889431442"/>
  </sheetPr>
  <dimension ref="A1:E327"/>
  <sheetViews>
    <sheetView workbookViewId="0">
      <selection activeCell="A7" sqref="A7"/>
    </sheetView>
  </sheetViews>
  <sheetFormatPr defaultRowHeight="15" x14ac:dyDescent="0.25"/>
  <cols>
    <col min="1" max="1" width="11" customWidth="1"/>
    <col min="2" max="2" width="23.7109375" bestFit="1" customWidth="1"/>
    <col min="3" max="3" width="13.140625" customWidth="1"/>
    <col min="4" max="4" width="13.28515625" customWidth="1"/>
    <col min="5" max="5" width="12.42578125" customWidth="1"/>
    <col min="6" max="6" width="13.28515625" bestFit="1" customWidth="1"/>
    <col min="7" max="7" width="10.140625" bestFit="1" customWidth="1"/>
    <col min="8" max="8" width="12.7109375" bestFit="1" customWidth="1"/>
    <col min="9" max="9" width="9.85546875" bestFit="1" customWidth="1"/>
    <col min="17" max="17" width="12.7109375" bestFit="1" customWidth="1"/>
    <col min="18" max="18" width="8.42578125" bestFit="1" customWidth="1"/>
  </cols>
  <sheetData>
    <row r="1" spans="1:5" x14ac:dyDescent="0.25">
      <c r="A1" s="199" t="s">
        <v>1288</v>
      </c>
      <c r="B1" s="199"/>
      <c r="C1" s="199"/>
      <c r="D1" s="199"/>
      <c r="E1" s="199"/>
    </row>
    <row r="2" spans="1:5" x14ac:dyDescent="0.25">
      <c r="A2" s="200"/>
      <c r="B2" s="200"/>
      <c r="C2" s="200"/>
      <c r="D2" s="200"/>
      <c r="E2" s="200"/>
    </row>
    <row r="3" spans="1:5" ht="15.75" thickBot="1" x14ac:dyDescent="0.3"/>
    <row r="4" spans="1:5" ht="30" x14ac:dyDescent="0.25">
      <c r="A4" s="208" t="s">
        <v>612</v>
      </c>
      <c r="B4" s="209" t="s">
        <v>1153</v>
      </c>
      <c r="C4" s="210" t="s">
        <v>0</v>
      </c>
      <c r="D4" s="210" t="s">
        <v>2</v>
      </c>
      <c r="E4" s="211" t="s">
        <v>3</v>
      </c>
    </row>
    <row r="5" spans="1:5" x14ac:dyDescent="0.25">
      <c r="A5" s="183" t="s">
        <v>1268</v>
      </c>
      <c r="B5" s="183" t="s">
        <v>1269</v>
      </c>
      <c r="C5" s="184" t="s">
        <v>1270</v>
      </c>
      <c r="D5" s="184" t="s">
        <v>1271</v>
      </c>
      <c r="E5" s="184" t="s">
        <v>1272</v>
      </c>
    </row>
    <row r="6" spans="1:5" x14ac:dyDescent="0.25">
      <c r="A6" s="183" t="s">
        <v>1245</v>
      </c>
      <c r="B6" s="183" t="s">
        <v>1267</v>
      </c>
      <c r="C6" s="184">
        <v>1088261.9900000005</v>
      </c>
      <c r="D6" s="184">
        <v>1073450.4800000004</v>
      </c>
      <c r="E6" s="184">
        <v>14811.510000000002</v>
      </c>
    </row>
    <row r="7" spans="1:5" x14ac:dyDescent="0.25">
      <c r="A7" s="185" t="s">
        <v>162</v>
      </c>
      <c r="B7" s="185" t="s">
        <v>163</v>
      </c>
      <c r="C7" s="186">
        <v>3175.7300000000005</v>
      </c>
      <c r="D7" s="186">
        <v>3104.7300000000005</v>
      </c>
      <c r="E7" s="186">
        <v>71</v>
      </c>
    </row>
    <row r="8" spans="1:5" x14ac:dyDescent="0.25">
      <c r="A8" s="185" t="s">
        <v>354</v>
      </c>
      <c r="B8" s="185" t="s">
        <v>355</v>
      </c>
      <c r="C8" s="186">
        <v>628.80999999999995</v>
      </c>
      <c r="D8" s="186">
        <v>620.36999999999989</v>
      </c>
      <c r="E8" s="186">
        <v>8.44</v>
      </c>
    </row>
    <row r="9" spans="1:5" x14ac:dyDescent="0.25">
      <c r="A9" s="185" t="s">
        <v>542</v>
      </c>
      <c r="B9" s="185" t="s">
        <v>543</v>
      </c>
      <c r="C9" s="186">
        <v>108.21999999999998</v>
      </c>
      <c r="D9" s="186">
        <v>107.88999999999999</v>
      </c>
      <c r="E9" s="186">
        <v>0.33</v>
      </c>
    </row>
    <row r="10" spans="1:5" x14ac:dyDescent="0.25">
      <c r="A10" s="185" t="s">
        <v>190</v>
      </c>
      <c r="B10" s="185" t="s">
        <v>191</v>
      </c>
      <c r="C10" s="186">
        <v>2583.6099999999997</v>
      </c>
      <c r="D10" s="186">
        <v>2539.2799999999997</v>
      </c>
      <c r="E10" s="186">
        <v>44.33</v>
      </c>
    </row>
    <row r="11" spans="1:5" x14ac:dyDescent="0.25">
      <c r="A11" s="185" t="s">
        <v>114</v>
      </c>
      <c r="B11" s="185" t="s">
        <v>115</v>
      </c>
      <c r="C11" s="186">
        <v>5645.4</v>
      </c>
      <c r="D11" s="186">
        <v>5547.5099999999993</v>
      </c>
      <c r="E11" s="186">
        <v>97.89</v>
      </c>
    </row>
    <row r="12" spans="1:5" x14ac:dyDescent="0.25">
      <c r="A12" s="185" t="s">
        <v>346</v>
      </c>
      <c r="B12" s="185" t="s">
        <v>347</v>
      </c>
      <c r="C12" s="186">
        <v>656.59</v>
      </c>
      <c r="D12" s="186">
        <v>655.03000000000009</v>
      </c>
      <c r="E12" s="186">
        <v>1.56</v>
      </c>
    </row>
    <row r="13" spans="1:5" x14ac:dyDescent="0.25">
      <c r="A13" s="185" t="s">
        <v>42</v>
      </c>
      <c r="B13" s="185" t="s">
        <v>43</v>
      </c>
      <c r="C13" s="186">
        <v>17745.02</v>
      </c>
      <c r="D13" s="186">
        <v>17454.46</v>
      </c>
      <c r="E13" s="186">
        <v>290.56</v>
      </c>
    </row>
    <row r="14" spans="1:5" x14ac:dyDescent="0.25">
      <c r="A14" s="185" t="s">
        <v>144</v>
      </c>
      <c r="B14" s="185" t="s">
        <v>145</v>
      </c>
      <c r="C14" s="186">
        <v>3488.13</v>
      </c>
      <c r="D14" s="186">
        <v>3451.8</v>
      </c>
      <c r="E14" s="186">
        <v>36.33</v>
      </c>
    </row>
    <row r="15" spans="1:5" x14ac:dyDescent="0.25">
      <c r="A15" s="185" t="s">
        <v>54</v>
      </c>
      <c r="B15" s="185" t="s">
        <v>55</v>
      </c>
      <c r="C15" s="186">
        <v>12701.88</v>
      </c>
      <c r="D15" s="186">
        <v>12582.439999999999</v>
      </c>
      <c r="E15" s="186">
        <v>119.44</v>
      </c>
    </row>
    <row r="16" spans="1:5" x14ac:dyDescent="0.25">
      <c r="A16" s="185" t="s">
        <v>28</v>
      </c>
      <c r="B16" s="185" t="s">
        <v>29</v>
      </c>
      <c r="C16" s="186">
        <v>19702.3</v>
      </c>
      <c r="D16" s="186">
        <v>19508.52</v>
      </c>
      <c r="E16" s="186">
        <v>193.78</v>
      </c>
    </row>
    <row r="17" spans="1:5" x14ac:dyDescent="0.25">
      <c r="A17" s="185" t="s">
        <v>58</v>
      </c>
      <c r="B17" s="185" t="s">
        <v>59</v>
      </c>
      <c r="C17" s="186">
        <v>11164.02</v>
      </c>
      <c r="D17" s="186">
        <v>11070.130000000001</v>
      </c>
      <c r="E17" s="186">
        <v>93.89</v>
      </c>
    </row>
    <row r="18" spans="1:5" x14ac:dyDescent="0.25">
      <c r="A18" s="185" t="s">
        <v>604</v>
      </c>
      <c r="B18" s="185" t="s">
        <v>605</v>
      </c>
      <c r="C18" s="186">
        <v>13.3</v>
      </c>
      <c r="D18" s="186">
        <v>13.3</v>
      </c>
      <c r="E18" s="186">
        <v>0</v>
      </c>
    </row>
    <row r="19" spans="1:5" x14ac:dyDescent="0.25">
      <c r="A19" s="185" t="s">
        <v>34</v>
      </c>
      <c r="B19" s="185" t="s">
        <v>35</v>
      </c>
      <c r="C19" s="186">
        <v>21155.88</v>
      </c>
      <c r="D19" s="186">
        <v>20864.77</v>
      </c>
      <c r="E19" s="186">
        <v>291.11</v>
      </c>
    </row>
    <row r="20" spans="1:5" x14ac:dyDescent="0.25">
      <c r="A20" s="185" t="s">
        <v>528</v>
      </c>
      <c r="B20" s="185" t="s">
        <v>529</v>
      </c>
      <c r="C20" s="186">
        <v>92.980000000000018</v>
      </c>
      <c r="D20" s="186">
        <v>92.980000000000018</v>
      </c>
      <c r="E20" s="186">
        <v>0</v>
      </c>
    </row>
    <row r="21" spans="1:5" x14ac:dyDescent="0.25">
      <c r="A21" s="185" t="s">
        <v>212</v>
      </c>
      <c r="B21" s="185" t="s">
        <v>213</v>
      </c>
      <c r="C21" s="186">
        <v>1994.1299999999994</v>
      </c>
      <c r="D21" s="186">
        <v>1971.0199999999995</v>
      </c>
      <c r="E21" s="186">
        <v>23.11</v>
      </c>
    </row>
    <row r="22" spans="1:5" x14ac:dyDescent="0.25">
      <c r="A22" s="185" t="s">
        <v>526</v>
      </c>
      <c r="B22" s="185" t="s">
        <v>527</v>
      </c>
      <c r="C22" s="186">
        <v>296.66000000000003</v>
      </c>
      <c r="D22" s="186">
        <v>293.66000000000003</v>
      </c>
      <c r="E22" s="186">
        <v>3</v>
      </c>
    </row>
    <row r="23" spans="1:5" x14ac:dyDescent="0.25">
      <c r="A23" s="185" t="s">
        <v>118</v>
      </c>
      <c r="B23" s="185" t="s">
        <v>119</v>
      </c>
      <c r="C23" s="186">
        <v>4566.2199999999993</v>
      </c>
      <c r="D23" s="186">
        <v>4477.1099999999997</v>
      </c>
      <c r="E23" s="186">
        <v>89.11</v>
      </c>
    </row>
    <row r="24" spans="1:5" x14ac:dyDescent="0.25">
      <c r="A24" s="185" t="s">
        <v>296</v>
      </c>
      <c r="B24" s="185" t="s">
        <v>297</v>
      </c>
      <c r="C24" s="186">
        <v>987.57</v>
      </c>
      <c r="D24" s="186">
        <v>981.68000000000006</v>
      </c>
      <c r="E24" s="186">
        <v>5.89</v>
      </c>
    </row>
    <row r="25" spans="1:5" x14ac:dyDescent="0.25">
      <c r="A25" s="185" t="s">
        <v>316</v>
      </c>
      <c r="B25" s="185" t="s">
        <v>317</v>
      </c>
      <c r="C25" s="186">
        <v>759.99</v>
      </c>
      <c r="D25" s="186">
        <v>751.43000000000006</v>
      </c>
      <c r="E25" s="186">
        <v>8.56</v>
      </c>
    </row>
    <row r="26" spans="1:5" x14ac:dyDescent="0.25">
      <c r="A26" s="185" t="s">
        <v>566</v>
      </c>
      <c r="B26" s="185" t="s">
        <v>567</v>
      </c>
      <c r="C26" s="186">
        <v>73.39</v>
      </c>
      <c r="D26" s="186">
        <v>71.5</v>
      </c>
      <c r="E26" s="186">
        <v>1.89</v>
      </c>
    </row>
    <row r="27" spans="1:5" x14ac:dyDescent="0.25">
      <c r="A27" s="185" t="s">
        <v>154</v>
      </c>
      <c r="B27" s="185" t="s">
        <v>155</v>
      </c>
      <c r="C27" s="186">
        <v>2920.2400000000002</v>
      </c>
      <c r="D27" s="186">
        <v>2870.46</v>
      </c>
      <c r="E27" s="186">
        <v>49.78</v>
      </c>
    </row>
    <row r="28" spans="1:5" x14ac:dyDescent="0.25">
      <c r="A28" s="185" t="s">
        <v>88</v>
      </c>
      <c r="B28" s="185" t="s">
        <v>89</v>
      </c>
      <c r="C28" s="186">
        <v>7133.7699999999986</v>
      </c>
      <c r="D28" s="186">
        <v>7074.329999999999</v>
      </c>
      <c r="E28" s="186">
        <v>59.44</v>
      </c>
    </row>
    <row r="29" spans="1:5" x14ac:dyDescent="0.25">
      <c r="A29" s="185" t="s">
        <v>388</v>
      </c>
      <c r="B29" s="185" t="s">
        <v>389</v>
      </c>
      <c r="C29" s="186">
        <v>491.3599999999999</v>
      </c>
      <c r="D29" s="186">
        <v>482.46999999999991</v>
      </c>
      <c r="E29" s="186">
        <v>8.89</v>
      </c>
    </row>
    <row r="30" spans="1:5" x14ac:dyDescent="0.25">
      <c r="A30" s="185" t="s">
        <v>484</v>
      </c>
      <c r="B30" s="185" t="s">
        <v>485</v>
      </c>
      <c r="C30" s="186">
        <v>178.4</v>
      </c>
      <c r="D30" s="186">
        <v>177.4</v>
      </c>
      <c r="E30" s="186">
        <v>1</v>
      </c>
    </row>
    <row r="31" spans="1:5" x14ac:dyDescent="0.25">
      <c r="A31" s="185" t="s">
        <v>268</v>
      </c>
      <c r="B31" s="185" t="s">
        <v>269</v>
      </c>
      <c r="C31" s="186">
        <v>1219.1900000000003</v>
      </c>
      <c r="D31" s="186">
        <v>1208.7500000000002</v>
      </c>
      <c r="E31" s="186">
        <v>10.44</v>
      </c>
    </row>
    <row r="32" spans="1:5" x14ac:dyDescent="0.25">
      <c r="A32" s="185" t="s">
        <v>244</v>
      </c>
      <c r="B32" s="185" t="s">
        <v>245</v>
      </c>
      <c r="C32" s="186">
        <v>1628.6799999999998</v>
      </c>
      <c r="D32" s="186">
        <v>1604.7899999999997</v>
      </c>
      <c r="E32" s="186">
        <v>23.89</v>
      </c>
    </row>
    <row r="33" spans="1:5" x14ac:dyDescent="0.25">
      <c r="A33" s="185" t="s">
        <v>272</v>
      </c>
      <c r="B33" s="185" t="s">
        <v>273</v>
      </c>
      <c r="C33" s="186">
        <v>1450.68</v>
      </c>
      <c r="D33" s="186">
        <v>1419.9</v>
      </c>
      <c r="E33" s="186">
        <v>30.78</v>
      </c>
    </row>
    <row r="34" spans="1:5" x14ac:dyDescent="0.25">
      <c r="A34" s="187" t="s">
        <v>1159</v>
      </c>
      <c r="B34" s="188" t="s">
        <v>1176</v>
      </c>
      <c r="C34" s="186">
        <v>500.85</v>
      </c>
      <c r="D34" s="186">
        <v>500.85</v>
      </c>
      <c r="E34" s="186">
        <v>0</v>
      </c>
    </row>
    <row r="35" spans="1:5" x14ac:dyDescent="0.25">
      <c r="A35" s="185" t="s">
        <v>534</v>
      </c>
      <c r="B35" s="185" t="s">
        <v>535</v>
      </c>
      <c r="C35" s="186">
        <v>88.899999999999991</v>
      </c>
      <c r="D35" s="186">
        <v>88.899999999999991</v>
      </c>
      <c r="E35" s="186">
        <v>0</v>
      </c>
    </row>
    <row r="36" spans="1:5" x14ac:dyDescent="0.25">
      <c r="A36" s="185" t="s">
        <v>60</v>
      </c>
      <c r="B36" s="185" t="s">
        <v>61</v>
      </c>
      <c r="C36" s="186">
        <v>11066.74</v>
      </c>
      <c r="D36" s="186">
        <v>10923.52</v>
      </c>
      <c r="E36" s="186">
        <v>143.22</v>
      </c>
    </row>
    <row r="37" spans="1:5" x14ac:dyDescent="0.25">
      <c r="A37" s="185" t="s">
        <v>50</v>
      </c>
      <c r="B37" s="185" t="s">
        <v>51</v>
      </c>
      <c r="C37" s="186">
        <v>14708.41</v>
      </c>
      <c r="D37" s="186">
        <v>14481.41</v>
      </c>
      <c r="E37" s="186">
        <v>227</v>
      </c>
    </row>
    <row r="38" spans="1:5" x14ac:dyDescent="0.25">
      <c r="A38" s="185" t="s">
        <v>158</v>
      </c>
      <c r="B38" s="185" t="s">
        <v>159</v>
      </c>
      <c r="C38" s="186">
        <v>3340.89</v>
      </c>
      <c r="D38" s="186">
        <v>3284.45</v>
      </c>
      <c r="E38" s="186">
        <v>56.44</v>
      </c>
    </row>
    <row r="39" spans="1:5" x14ac:dyDescent="0.25">
      <c r="A39" s="185" t="s">
        <v>178</v>
      </c>
      <c r="B39" s="185" t="s">
        <v>179</v>
      </c>
      <c r="C39" s="186">
        <v>3140.43</v>
      </c>
      <c r="D39" s="186">
        <v>2937.52</v>
      </c>
      <c r="E39" s="186">
        <v>202.91000000000003</v>
      </c>
    </row>
    <row r="40" spans="1:5" x14ac:dyDescent="0.25">
      <c r="A40" s="185" t="s">
        <v>126</v>
      </c>
      <c r="B40" s="185" t="s">
        <v>127</v>
      </c>
      <c r="C40" s="186">
        <v>5572.7000000000007</v>
      </c>
      <c r="D40" s="186">
        <v>5471.3700000000008</v>
      </c>
      <c r="E40" s="186">
        <v>101.33</v>
      </c>
    </row>
    <row r="41" spans="1:5" x14ac:dyDescent="0.25">
      <c r="A41" s="185" t="s">
        <v>326</v>
      </c>
      <c r="B41" s="185" t="s">
        <v>327</v>
      </c>
      <c r="C41" s="186">
        <v>787.6</v>
      </c>
      <c r="D41" s="186">
        <v>785.71</v>
      </c>
      <c r="E41" s="186">
        <v>1.89</v>
      </c>
    </row>
    <row r="42" spans="1:5" x14ac:dyDescent="0.25">
      <c r="A42" s="189" t="s">
        <v>1154</v>
      </c>
      <c r="B42" s="188" t="s">
        <v>1155</v>
      </c>
      <c r="C42" s="186">
        <v>643.72</v>
      </c>
      <c r="D42" s="186">
        <v>643.72</v>
      </c>
      <c r="E42" s="186">
        <v>0</v>
      </c>
    </row>
    <row r="43" spans="1:5" x14ac:dyDescent="0.25">
      <c r="A43" s="185" t="s">
        <v>288</v>
      </c>
      <c r="B43" s="185" t="s">
        <v>289</v>
      </c>
      <c r="C43" s="186">
        <v>680.71</v>
      </c>
      <c r="D43" s="186">
        <v>675.6</v>
      </c>
      <c r="E43" s="186">
        <v>5.1100000000000003</v>
      </c>
    </row>
    <row r="44" spans="1:5" x14ac:dyDescent="0.25">
      <c r="A44" s="185" t="s">
        <v>196</v>
      </c>
      <c r="B44" s="185" t="s">
        <v>197</v>
      </c>
      <c r="C44" s="186">
        <v>2437.71</v>
      </c>
      <c r="D44" s="186">
        <v>2399.15</v>
      </c>
      <c r="E44" s="186">
        <v>38.56</v>
      </c>
    </row>
    <row r="45" spans="1:5" x14ac:dyDescent="0.25">
      <c r="A45" s="185" t="s">
        <v>314</v>
      </c>
      <c r="B45" s="185" t="s">
        <v>315</v>
      </c>
      <c r="C45" s="186">
        <v>984.87</v>
      </c>
      <c r="D45" s="186">
        <v>968.98</v>
      </c>
      <c r="E45" s="186">
        <v>15.89</v>
      </c>
    </row>
    <row r="46" spans="1:5" x14ac:dyDescent="0.25">
      <c r="A46" s="185" t="s">
        <v>56</v>
      </c>
      <c r="B46" s="185" t="s">
        <v>57</v>
      </c>
      <c r="C46" s="186">
        <v>12047.44</v>
      </c>
      <c r="D46" s="186">
        <v>11697.15</v>
      </c>
      <c r="E46" s="186">
        <v>350.29</v>
      </c>
    </row>
    <row r="47" spans="1:5" x14ac:dyDescent="0.25">
      <c r="A47" s="185" t="s">
        <v>370</v>
      </c>
      <c r="B47" s="185" t="s">
        <v>371</v>
      </c>
      <c r="C47" s="186">
        <v>540.77</v>
      </c>
      <c r="D47" s="186">
        <v>536.99</v>
      </c>
      <c r="E47" s="186">
        <v>3.78</v>
      </c>
    </row>
    <row r="48" spans="1:5" x14ac:dyDescent="0.25">
      <c r="A48" s="185" t="s">
        <v>264</v>
      </c>
      <c r="B48" s="185" t="s">
        <v>265</v>
      </c>
      <c r="C48" s="186">
        <v>1495.04</v>
      </c>
      <c r="D48" s="186">
        <v>1474.48</v>
      </c>
      <c r="E48" s="186">
        <v>20.56</v>
      </c>
    </row>
    <row r="49" spans="1:5" x14ac:dyDescent="0.25">
      <c r="A49" s="185" t="s">
        <v>504</v>
      </c>
      <c r="B49" s="185" t="s">
        <v>505</v>
      </c>
      <c r="C49" s="186">
        <v>155.09</v>
      </c>
      <c r="D49" s="186">
        <v>152.09</v>
      </c>
      <c r="E49" s="186">
        <v>3</v>
      </c>
    </row>
    <row r="50" spans="1:5" x14ac:dyDescent="0.25">
      <c r="A50" s="185" t="s">
        <v>500</v>
      </c>
      <c r="B50" s="185" t="s">
        <v>501</v>
      </c>
      <c r="C50" s="186">
        <v>112.38000000000001</v>
      </c>
      <c r="D50" s="186">
        <v>111.38000000000001</v>
      </c>
      <c r="E50" s="186">
        <v>1</v>
      </c>
    </row>
    <row r="51" spans="1:5" x14ac:dyDescent="0.25">
      <c r="A51" s="185" t="s">
        <v>332</v>
      </c>
      <c r="B51" s="185" t="s">
        <v>333</v>
      </c>
      <c r="C51" s="186">
        <v>791.49999999999989</v>
      </c>
      <c r="D51" s="186">
        <v>782.27999999999986</v>
      </c>
      <c r="E51" s="186">
        <v>9.2200000000000006</v>
      </c>
    </row>
    <row r="52" spans="1:5" x14ac:dyDescent="0.25">
      <c r="A52" s="185" t="s">
        <v>230</v>
      </c>
      <c r="B52" s="185" t="s">
        <v>231</v>
      </c>
      <c r="C52" s="186">
        <v>1749.79</v>
      </c>
      <c r="D52" s="186">
        <v>1731.68</v>
      </c>
      <c r="E52" s="186">
        <v>18.11</v>
      </c>
    </row>
    <row r="53" spans="1:5" x14ac:dyDescent="0.25">
      <c r="A53" s="185" t="s">
        <v>380</v>
      </c>
      <c r="B53" s="185" t="s">
        <v>381</v>
      </c>
      <c r="C53" s="186">
        <v>513.11</v>
      </c>
      <c r="D53" s="186">
        <v>512.11</v>
      </c>
      <c r="E53" s="186">
        <v>1</v>
      </c>
    </row>
    <row r="54" spans="1:5" x14ac:dyDescent="0.25">
      <c r="A54" s="185" t="s">
        <v>396</v>
      </c>
      <c r="B54" s="185" t="s">
        <v>397</v>
      </c>
      <c r="C54" s="186">
        <v>423.85</v>
      </c>
      <c r="D54" s="186">
        <v>417.18</v>
      </c>
      <c r="E54" s="186">
        <v>6.67</v>
      </c>
    </row>
    <row r="55" spans="1:5" x14ac:dyDescent="0.25">
      <c r="A55" s="185" t="s">
        <v>502</v>
      </c>
      <c r="B55" s="185" t="s">
        <v>503</v>
      </c>
      <c r="C55" s="186">
        <v>187.05</v>
      </c>
      <c r="D55" s="186">
        <v>185.72</v>
      </c>
      <c r="E55" s="186">
        <v>1.33</v>
      </c>
    </row>
    <row r="56" spans="1:5" x14ac:dyDescent="0.25">
      <c r="A56" s="185" t="s">
        <v>472</v>
      </c>
      <c r="B56" s="185" t="s">
        <v>473</v>
      </c>
      <c r="C56" s="186">
        <v>196.30999999999997</v>
      </c>
      <c r="D56" s="186">
        <v>194.52999999999997</v>
      </c>
      <c r="E56" s="186">
        <v>1.78</v>
      </c>
    </row>
    <row r="57" spans="1:5" x14ac:dyDescent="0.25">
      <c r="A57" s="185" t="s">
        <v>292</v>
      </c>
      <c r="B57" s="185" t="s">
        <v>293</v>
      </c>
      <c r="C57" s="186">
        <v>1039.9000000000001</v>
      </c>
      <c r="D57" s="186">
        <v>1028.73</v>
      </c>
      <c r="E57" s="186">
        <v>11.17</v>
      </c>
    </row>
    <row r="58" spans="1:5" x14ac:dyDescent="0.25">
      <c r="A58" s="185" t="s">
        <v>422</v>
      </c>
      <c r="B58" s="185" t="s">
        <v>423</v>
      </c>
      <c r="C58" s="186">
        <v>381.63</v>
      </c>
      <c r="D58" s="186">
        <v>381.63</v>
      </c>
      <c r="E58" s="186">
        <v>0</v>
      </c>
    </row>
    <row r="59" spans="1:5" x14ac:dyDescent="0.25">
      <c r="A59" s="185" t="s">
        <v>530</v>
      </c>
      <c r="B59" s="185" t="s">
        <v>531</v>
      </c>
      <c r="C59" s="186">
        <v>73.22</v>
      </c>
      <c r="D59" s="186">
        <v>73.22</v>
      </c>
      <c r="E59" s="186">
        <v>0</v>
      </c>
    </row>
    <row r="60" spans="1:5" x14ac:dyDescent="0.25">
      <c r="A60" s="185" t="s">
        <v>488</v>
      </c>
      <c r="B60" s="185" t="s">
        <v>489</v>
      </c>
      <c r="C60" s="186">
        <v>282.13000000000005</v>
      </c>
      <c r="D60" s="186">
        <v>279.13000000000005</v>
      </c>
      <c r="E60" s="186">
        <v>3</v>
      </c>
    </row>
    <row r="61" spans="1:5" x14ac:dyDescent="0.25">
      <c r="A61" s="185" t="s">
        <v>452</v>
      </c>
      <c r="B61" s="185" t="s">
        <v>453</v>
      </c>
      <c r="C61" s="186">
        <v>387.49000000000007</v>
      </c>
      <c r="D61" s="186">
        <v>385.38000000000005</v>
      </c>
      <c r="E61" s="186">
        <v>2.11</v>
      </c>
    </row>
    <row r="62" spans="1:5" x14ac:dyDescent="0.25">
      <c r="A62" s="185" t="s">
        <v>580</v>
      </c>
      <c r="B62" s="185" t="s">
        <v>581</v>
      </c>
      <c r="C62" s="186">
        <v>46.260000000000005</v>
      </c>
      <c r="D62" s="186">
        <v>45.7</v>
      </c>
      <c r="E62" s="186">
        <v>0.56000000000000005</v>
      </c>
    </row>
    <row r="63" spans="1:5" x14ac:dyDescent="0.25">
      <c r="A63" s="185" t="s">
        <v>406</v>
      </c>
      <c r="B63" s="185" t="s">
        <v>407</v>
      </c>
      <c r="C63" s="186">
        <v>429.26000000000005</v>
      </c>
      <c r="D63" s="186">
        <v>425.15000000000003</v>
      </c>
      <c r="E63" s="186">
        <v>4.1100000000000003</v>
      </c>
    </row>
    <row r="64" spans="1:5" x14ac:dyDescent="0.25">
      <c r="A64" s="185" t="s">
        <v>368</v>
      </c>
      <c r="B64" s="185" t="s">
        <v>369</v>
      </c>
      <c r="C64" s="186">
        <v>679.8900000000001</v>
      </c>
      <c r="D64" s="186">
        <v>675.00000000000011</v>
      </c>
      <c r="E64" s="186">
        <v>4.8899999999999997</v>
      </c>
    </row>
    <row r="65" spans="1:5" x14ac:dyDescent="0.25">
      <c r="A65" s="185" t="s">
        <v>402</v>
      </c>
      <c r="B65" s="185" t="s">
        <v>403</v>
      </c>
      <c r="C65" s="186">
        <v>353.47</v>
      </c>
      <c r="D65" s="186">
        <v>351.03000000000003</v>
      </c>
      <c r="E65" s="186">
        <v>2.44</v>
      </c>
    </row>
    <row r="66" spans="1:5" x14ac:dyDescent="0.25">
      <c r="A66" s="185" t="s">
        <v>202</v>
      </c>
      <c r="B66" s="185" t="s">
        <v>203</v>
      </c>
      <c r="C66" s="186">
        <v>2680.96</v>
      </c>
      <c r="D66" s="186">
        <v>2637.85</v>
      </c>
      <c r="E66" s="186">
        <v>43.11</v>
      </c>
    </row>
    <row r="67" spans="1:5" x14ac:dyDescent="0.25">
      <c r="A67" s="185" t="s">
        <v>248</v>
      </c>
      <c r="B67" s="185" t="s">
        <v>249</v>
      </c>
      <c r="C67" s="186">
        <v>1442.3300000000002</v>
      </c>
      <c r="D67" s="186">
        <v>1426.44</v>
      </c>
      <c r="E67" s="186">
        <v>15.89</v>
      </c>
    </row>
    <row r="68" spans="1:5" x14ac:dyDescent="0.25">
      <c r="A68" s="185" t="s">
        <v>602</v>
      </c>
      <c r="B68" s="185" t="s">
        <v>603</v>
      </c>
      <c r="C68" s="186">
        <v>14.3</v>
      </c>
      <c r="D68" s="186">
        <v>14.3</v>
      </c>
      <c r="E68" s="186">
        <v>0</v>
      </c>
    </row>
    <row r="69" spans="1:5" x14ac:dyDescent="0.25">
      <c r="A69" s="185" t="s">
        <v>140</v>
      </c>
      <c r="B69" s="185" t="s">
        <v>141</v>
      </c>
      <c r="C69" s="186">
        <v>3454.0699999999997</v>
      </c>
      <c r="D69" s="186">
        <v>3388.9599999999996</v>
      </c>
      <c r="E69" s="186">
        <v>65.11</v>
      </c>
    </row>
    <row r="70" spans="1:5" x14ac:dyDescent="0.25">
      <c r="A70" s="185" t="s">
        <v>176</v>
      </c>
      <c r="B70" s="185" t="s">
        <v>177</v>
      </c>
      <c r="C70" s="186">
        <v>3396.6200000000003</v>
      </c>
      <c r="D70" s="186">
        <v>3358.9500000000003</v>
      </c>
      <c r="E70" s="186">
        <v>37.67</v>
      </c>
    </row>
    <row r="71" spans="1:5" x14ac:dyDescent="0.25">
      <c r="A71" s="185" t="s">
        <v>102</v>
      </c>
      <c r="B71" s="185" t="s">
        <v>103</v>
      </c>
      <c r="C71" s="186">
        <v>5907.5700000000006</v>
      </c>
      <c r="D71" s="186">
        <v>5842.3300000000008</v>
      </c>
      <c r="E71" s="186">
        <v>65.239999999999995</v>
      </c>
    </row>
    <row r="72" spans="1:5" x14ac:dyDescent="0.25">
      <c r="A72" s="185" t="s">
        <v>516</v>
      </c>
      <c r="B72" s="185" t="s">
        <v>517</v>
      </c>
      <c r="C72" s="186">
        <v>85.51</v>
      </c>
      <c r="D72" s="186">
        <v>83.73</v>
      </c>
      <c r="E72" s="186">
        <v>1.78</v>
      </c>
    </row>
    <row r="73" spans="1:5" x14ac:dyDescent="0.25">
      <c r="A73" s="185" t="s">
        <v>222</v>
      </c>
      <c r="B73" s="185" t="s">
        <v>223</v>
      </c>
      <c r="C73" s="186">
        <v>2014.18</v>
      </c>
      <c r="D73" s="186">
        <v>2003.51</v>
      </c>
      <c r="E73" s="186">
        <v>10.67</v>
      </c>
    </row>
    <row r="74" spans="1:5" x14ac:dyDescent="0.25">
      <c r="A74" s="185" t="s">
        <v>24</v>
      </c>
      <c r="B74" s="185" t="s">
        <v>25</v>
      </c>
      <c r="C74" s="186">
        <v>20578.53</v>
      </c>
      <c r="D74" s="186">
        <v>20220.309999999998</v>
      </c>
      <c r="E74" s="186">
        <v>358.22</v>
      </c>
    </row>
    <row r="75" spans="1:5" x14ac:dyDescent="0.25">
      <c r="A75" s="185" t="s">
        <v>166</v>
      </c>
      <c r="B75" s="185" t="s">
        <v>167</v>
      </c>
      <c r="C75" s="186">
        <v>3323.06</v>
      </c>
      <c r="D75" s="186">
        <v>3294.2799999999997</v>
      </c>
      <c r="E75" s="186">
        <v>28.78</v>
      </c>
    </row>
    <row r="76" spans="1:5" x14ac:dyDescent="0.25">
      <c r="A76" s="185" t="s">
        <v>256</v>
      </c>
      <c r="B76" s="185" t="s">
        <v>257</v>
      </c>
      <c r="C76" s="186">
        <v>1652.6399999999999</v>
      </c>
      <c r="D76" s="186">
        <v>1629.31</v>
      </c>
      <c r="E76" s="186">
        <v>23.33</v>
      </c>
    </row>
    <row r="77" spans="1:5" x14ac:dyDescent="0.25">
      <c r="A77" s="185" t="s">
        <v>532</v>
      </c>
      <c r="B77" s="185" t="s">
        <v>533</v>
      </c>
      <c r="C77" s="186">
        <v>72.709999999999994</v>
      </c>
      <c r="D77" s="186">
        <v>72.149999999999991</v>
      </c>
      <c r="E77" s="186">
        <v>0.56000000000000005</v>
      </c>
    </row>
    <row r="78" spans="1:5" x14ac:dyDescent="0.25">
      <c r="A78" s="185" t="s">
        <v>412</v>
      </c>
      <c r="B78" s="185" t="s">
        <v>413</v>
      </c>
      <c r="C78" s="186">
        <v>410.4</v>
      </c>
      <c r="D78" s="186">
        <v>403.84</v>
      </c>
      <c r="E78" s="186">
        <v>6.56</v>
      </c>
    </row>
    <row r="79" spans="1:5" x14ac:dyDescent="0.25">
      <c r="A79" s="185" t="s">
        <v>142</v>
      </c>
      <c r="B79" s="185" t="s">
        <v>143</v>
      </c>
      <c r="C79" s="186">
        <v>4461.45</v>
      </c>
      <c r="D79" s="186">
        <v>4366.12</v>
      </c>
      <c r="E79" s="186">
        <v>95.33</v>
      </c>
    </row>
    <row r="80" spans="1:5" x14ac:dyDescent="0.25">
      <c r="A80" s="185" t="s">
        <v>200</v>
      </c>
      <c r="B80" s="185" t="s">
        <v>201</v>
      </c>
      <c r="C80" s="186">
        <v>2746.1600000000003</v>
      </c>
      <c r="D80" s="186">
        <v>2705.7200000000003</v>
      </c>
      <c r="E80" s="186">
        <v>40.44</v>
      </c>
    </row>
    <row r="81" spans="1:5" x14ac:dyDescent="0.25">
      <c r="A81" s="185" t="s">
        <v>570</v>
      </c>
      <c r="B81" s="185" t="s">
        <v>571</v>
      </c>
      <c r="C81" s="186">
        <v>53.800000000000004</v>
      </c>
      <c r="D81" s="186">
        <v>53.800000000000004</v>
      </c>
      <c r="E81" s="186">
        <v>0</v>
      </c>
    </row>
    <row r="82" spans="1:5" x14ac:dyDescent="0.25">
      <c r="A82" s="185" t="s">
        <v>30</v>
      </c>
      <c r="B82" s="185" t="s">
        <v>31</v>
      </c>
      <c r="C82" s="186">
        <v>20228.390000000003</v>
      </c>
      <c r="D82" s="186">
        <v>19971.280000000002</v>
      </c>
      <c r="E82" s="186">
        <v>257.11</v>
      </c>
    </row>
    <row r="83" spans="1:5" x14ac:dyDescent="0.25">
      <c r="A83" s="185" t="s">
        <v>14</v>
      </c>
      <c r="B83" s="185" t="s">
        <v>15</v>
      </c>
      <c r="C83" s="186">
        <v>22380.110000000008</v>
      </c>
      <c r="D83" s="186">
        <v>22125.780000000006</v>
      </c>
      <c r="E83" s="186">
        <v>254.33</v>
      </c>
    </row>
    <row r="84" spans="1:5" x14ac:dyDescent="0.25">
      <c r="A84" s="185" t="s">
        <v>590</v>
      </c>
      <c r="B84" s="185" t="s">
        <v>591</v>
      </c>
      <c r="C84" s="186">
        <v>38.400000000000006</v>
      </c>
      <c r="D84" s="186">
        <v>38.400000000000006</v>
      </c>
      <c r="E84" s="186">
        <v>0</v>
      </c>
    </row>
    <row r="85" spans="1:5" x14ac:dyDescent="0.25">
      <c r="A85" s="185" t="s">
        <v>20</v>
      </c>
      <c r="B85" s="185" t="s">
        <v>21</v>
      </c>
      <c r="C85" s="186">
        <v>21630.780000000002</v>
      </c>
      <c r="D85" s="186">
        <v>21297.670000000002</v>
      </c>
      <c r="E85" s="186">
        <v>333.11</v>
      </c>
    </row>
    <row r="86" spans="1:5" x14ac:dyDescent="0.25">
      <c r="A86" s="185" t="s">
        <v>124</v>
      </c>
      <c r="B86" s="185" t="s">
        <v>125</v>
      </c>
      <c r="C86" s="186">
        <v>4749.4399999999996</v>
      </c>
      <c r="D86" s="186">
        <v>4684</v>
      </c>
      <c r="E86" s="186">
        <v>65.44</v>
      </c>
    </row>
    <row r="87" spans="1:5" x14ac:dyDescent="0.25">
      <c r="A87" s="185" t="s">
        <v>152</v>
      </c>
      <c r="B87" s="185" t="s">
        <v>153</v>
      </c>
      <c r="C87" s="186">
        <v>3934.3000000000006</v>
      </c>
      <c r="D87" s="186">
        <v>3873.9700000000007</v>
      </c>
      <c r="E87" s="186">
        <v>60.33</v>
      </c>
    </row>
    <row r="88" spans="1:5" x14ac:dyDescent="0.25">
      <c r="A88" s="185" t="s">
        <v>308</v>
      </c>
      <c r="B88" s="185" t="s">
        <v>309</v>
      </c>
      <c r="C88" s="186">
        <v>868.75999999999988</v>
      </c>
      <c r="D88" s="186">
        <v>859.19999999999993</v>
      </c>
      <c r="E88" s="186">
        <v>9.56</v>
      </c>
    </row>
    <row r="89" spans="1:5" x14ac:dyDescent="0.25">
      <c r="A89" s="185" t="s">
        <v>84</v>
      </c>
      <c r="B89" s="185" t="s">
        <v>85</v>
      </c>
      <c r="C89" s="186">
        <v>7059.49</v>
      </c>
      <c r="D89" s="186">
        <v>6908.38</v>
      </c>
      <c r="E89" s="186">
        <v>151.11000000000001</v>
      </c>
    </row>
    <row r="90" spans="1:5" x14ac:dyDescent="0.25">
      <c r="A90" s="185" t="s">
        <v>312</v>
      </c>
      <c r="B90" s="185" t="s">
        <v>313</v>
      </c>
      <c r="C90" s="186">
        <v>878.03</v>
      </c>
      <c r="D90" s="186">
        <v>872.81</v>
      </c>
      <c r="E90" s="186">
        <v>5.22</v>
      </c>
    </row>
    <row r="91" spans="1:5" x14ac:dyDescent="0.25">
      <c r="A91" s="185" t="s">
        <v>522</v>
      </c>
      <c r="B91" s="185" t="s">
        <v>523</v>
      </c>
      <c r="C91" s="186">
        <v>117.15</v>
      </c>
      <c r="D91" s="186">
        <v>115.15</v>
      </c>
      <c r="E91" s="186">
        <v>2</v>
      </c>
    </row>
    <row r="92" spans="1:5" x14ac:dyDescent="0.25">
      <c r="A92" s="185" t="s">
        <v>546</v>
      </c>
      <c r="B92" s="185" t="s">
        <v>547</v>
      </c>
      <c r="C92" s="186">
        <v>53.699999999999996</v>
      </c>
      <c r="D92" s="186">
        <v>53.699999999999996</v>
      </c>
      <c r="E92" s="186">
        <v>0</v>
      </c>
    </row>
    <row r="93" spans="1:5" x14ac:dyDescent="0.25">
      <c r="A93" s="185" t="s">
        <v>304</v>
      </c>
      <c r="B93" s="185" t="s">
        <v>305</v>
      </c>
      <c r="C93" s="186">
        <v>2950.3899999999994</v>
      </c>
      <c r="D93" s="186">
        <v>2944.1699999999996</v>
      </c>
      <c r="E93" s="186">
        <v>6.22</v>
      </c>
    </row>
    <row r="94" spans="1:5" x14ac:dyDescent="0.25">
      <c r="A94" s="185" t="s">
        <v>336</v>
      </c>
      <c r="B94" s="185" t="s">
        <v>337</v>
      </c>
      <c r="C94" s="186">
        <v>661.72</v>
      </c>
      <c r="D94" s="186">
        <v>657.72</v>
      </c>
      <c r="E94" s="186">
        <v>4</v>
      </c>
    </row>
    <row r="95" spans="1:5" x14ac:dyDescent="0.25">
      <c r="A95" s="185" t="s">
        <v>148</v>
      </c>
      <c r="B95" s="185" t="s">
        <v>149</v>
      </c>
      <c r="C95" s="186">
        <v>3572.69</v>
      </c>
      <c r="D95" s="186">
        <v>3541.69</v>
      </c>
      <c r="E95" s="186">
        <v>31</v>
      </c>
    </row>
    <row r="96" spans="1:5" x14ac:dyDescent="0.25">
      <c r="A96" s="185" t="s">
        <v>246</v>
      </c>
      <c r="B96" s="185" t="s">
        <v>247</v>
      </c>
      <c r="C96" s="186">
        <v>1402.69</v>
      </c>
      <c r="D96" s="186">
        <v>1382.25</v>
      </c>
      <c r="E96" s="186">
        <v>20.440000000000001</v>
      </c>
    </row>
    <row r="97" spans="1:5" x14ac:dyDescent="0.25">
      <c r="A97" s="185" t="s">
        <v>218</v>
      </c>
      <c r="B97" s="185" t="s">
        <v>219</v>
      </c>
      <c r="C97" s="186">
        <v>2295.59</v>
      </c>
      <c r="D97" s="186">
        <v>2237.7000000000003</v>
      </c>
      <c r="E97" s="186">
        <v>57.89</v>
      </c>
    </row>
    <row r="98" spans="1:5" x14ac:dyDescent="0.25">
      <c r="A98" s="185" t="s">
        <v>466</v>
      </c>
      <c r="B98" s="185" t="s">
        <v>467</v>
      </c>
      <c r="C98" s="186">
        <v>226.84</v>
      </c>
      <c r="D98" s="186">
        <v>225.84</v>
      </c>
      <c r="E98" s="186">
        <v>1</v>
      </c>
    </row>
    <row r="99" spans="1:5" x14ac:dyDescent="0.25">
      <c r="A99" s="185" t="s">
        <v>572</v>
      </c>
      <c r="B99" s="185" t="s">
        <v>573</v>
      </c>
      <c r="C99" s="186">
        <v>41.2</v>
      </c>
      <c r="D99" s="186">
        <v>41.2</v>
      </c>
      <c r="E99" s="186">
        <v>0</v>
      </c>
    </row>
    <row r="100" spans="1:5" x14ac:dyDescent="0.25">
      <c r="A100" s="189" t="s">
        <v>999</v>
      </c>
      <c r="B100" s="185" t="s">
        <v>1003</v>
      </c>
      <c r="C100" s="186">
        <v>122.62999999999998</v>
      </c>
      <c r="D100" s="186">
        <v>122.62999999999998</v>
      </c>
      <c r="E100" s="186">
        <v>0</v>
      </c>
    </row>
    <row r="101" spans="1:5" x14ac:dyDescent="0.25">
      <c r="A101" s="185" t="s">
        <v>498</v>
      </c>
      <c r="B101" s="185" t="s">
        <v>499</v>
      </c>
      <c r="C101" s="186">
        <v>163.72999999999996</v>
      </c>
      <c r="D101" s="186">
        <v>163.72999999999996</v>
      </c>
      <c r="E101" s="186">
        <v>0</v>
      </c>
    </row>
    <row r="102" spans="1:5" x14ac:dyDescent="0.25">
      <c r="A102" s="185" t="s">
        <v>352</v>
      </c>
      <c r="B102" s="185" t="s">
        <v>353</v>
      </c>
      <c r="C102" s="186">
        <v>588.51999999999987</v>
      </c>
      <c r="D102" s="186">
        <v>583.62999999999988</v>
      </c>
      <c r="E102" s="186">
        <v>4.8899999999999997</v>
      </c>
    </row>
    <row r="103" spans="1:5" x14ac:dyDescent="0.25">
      <c r="A103" s="185" t="s">
        <v>518</v>
      </c>
      <c r="B103" s="185" t="s">
        <v>519</v>
      </c>
      <c r="C103" s="186">
        <v>116.25000000000001</v>
      </c>
      <c r="D103" s="186">
        <v>114.69000000000001</v>
      </c>
      <c r="E103" s="186">
        <v>1.56</v>
      </c>
    </row>
    <row r="104" spans="1:5" x14ac:dyDescent="0.25">
      <c r="A104" s="185" t="s">
        <v>280</v>
      </c>
      <c r="B104" s="185" t="s">
        <v>281</v>
      </c>
      <c r="C104" s="186">
        <v>1064.7</v>
      </c>
      <c r="D104" s="186">
        <v>1053.03</v>
      </c>
      <c r="E104" s="186">
        <v>11.67</v>
      </c>
    </row>
    <row r="105" spans="1:5" x14ac:dyDescent="0.25">
      <c r="A105" s="185" t="s">
        <v>32</v>
      </c>
      <c r="B105" s="185" t="s">
        <v>33</v>
      </c>
      <c r="C105" s="186">
        <v>18089.810000000001</v>
      </c>
      <c r="D105" s="186">
        <v>17814.59</v>
      </c>
      <c r="E105" s="186">
        <v>275.22000000000003</v>
      </c>
    </row>
    <row r="106" spans="1:5" x14ac:dyDescent="0.25">
      <c r="A106" s="185" t="s">
        <v>228</v>
      </c>
      <c r="B106" s="185" t="s">
        <v>229</v>
      </c>
      <c r="C106" s="186">
        <v>2079.4</v>
      </c>
      <c r="D106" s="186">
        <v>2072.29</v>
      </c>
      <c r="E106" s="186">
        <v>7.11</v>
      </c>
    </row>
    <row r="107" spans="1:5" x14ac:dyDescent="0.25">
      <c r="A107" s="185" t="s">
        <v>424</v>
      </c>
      <c r="B107" s="185" t="s">
        <v>425</v>
      </c>
      <c r="C107" s="186">
        <v>324.56</v>
      </c>
      <c r="D107" s="186">
        <v>317.12</v>
      </c>
      <c r="E107" s="186">
        <v>7.44</v>
      </c>
    </row>
    <row r="108" spans="1:5" x14ac:dyDescent="0.25">
      <c r="A108" s="185" t="s">
        <v>238</v>
      </c>
      <c r="B108" s="185" t="s">
        <v>239</v>
      </c>
      <c r="C108" s="186">
        <v>1571.6900000000003</v>
      </c>
      <c r="D108" s="186">
        <v>1554.4700000000003</v>
      </c>
      <c r="E108" s="186">
        <v>17.22</v>
      </c>
    </row>
    <row r="109" spans="1:5" x14ac:dyDescent="0.25">
      <c r="A109" t="s">
        <v>1255</v>
      </c>
      <c r="B109" t="s">
        <v>1256</v>
      </c>
      <c r="C109" s="186">
        <v>201</v>
      </c>
      <c r="D109" s="186">
        <v>201</v>
      </c>
      <c r="E109" s="186">
        <v>0</v>
      </c>
    </row>
    <row r="110" spans="1:5" x14ac:dyDescent="0.25">
      <c r="A110" s="187" t="s">
        <v>1193</v>
      </c>
      <c r="B110" s="188" t="s">
        <v>1224</v>
      </c>
      <c r="C110" s="186">
        <v>225.8</v>
      </c>
      <c r="D110" s="186">
        <v>225.8</v>
      </c>
      <c r="E110" s="186">
        <v>0</v>
      </c>
    </row>
    <row r="111" spans="1:5" x14ac:dyDescent="0.25">
      <c r="A111" s="190" t="s">
        <v>1156</v>
      </c>
      <c r="B111" s="188" t="s">
        <v>1157</v>
      </c>
      <c r="C111" s="186">
        <v>493.59999999999997</v>
      </c>
      <c r="D111" s="186">
        <v>493.59999999999997</v>
      </c>
      <c r="E111" s="186">
        <v>0</v>
      </c>
    </row>
    <row r="112" spans="1:5" x14ac:dyDescent="0.25">
      <c r="A112" s="187" t="s">
        <v>1158</v>
      </c>
      <c r="B112" s="188" t="s">
        <v>1177</v>
      </c>
      <c r="C112" s="186">
        <v>384.2</v>
      </c>
      <c r="D112" s="186">
        <v>384.2</v>
      </c>
      <c r="E112" s="186">
        <v>0</v>
      </c>
    </row>
    <row r="113" spans="1:5" x14ac:dyDescent="0.25">
      <c r="A113" s="185" t="s">
        <v>462</v>
      </c>
      <c r="B113" s="185" t="s">
        <v>463</v>
      </c>
      <c r="C113" s="186">
        <v>189.94000000000003</v>
      </c>
      <c r="D113" s="186">
        <v>186.94000000000003</v>
      </c>
      <c r="E113" s="186">
        <v>3</v>
      </c>
    </row>
    <row r="114" spans="1:5" x14ac:dyDescent="0.25">
      <c r="A114" s="185" t="s">
        <v>582</v>
      </c>
      <c r="B114" s="185" t="s">
        <v>583</v>
      </c>
      <c r="C114" s="186">
        <v>32.93</v>
      </c>
      <c r="D114" s="186">
        <v>32.93</v>
      </c>
      <c r="E114" s="186">
        <v>0</v>
      </c>
    </row>
    <row r="115" spans="1:5" x14ac:dyDescent="0.25">
      <c r="A115" s="185" t="s">
        <v>26</v>
      </c>
      <c r="B115" s="185" t="s">
        <v>27</v>
      </c>
      <c r="C115" s="186">
        <v>18989.319999999996</v>
      </c>
      <c r="D115" s="186">
        <v>18779.949999999997</v>
      </c>
      <c r="E115" s="186">
        <v>209.37</v>
      </c>
    </row>
    <row r="116" spans="1:5" x14ac:dyDescent="0.25">
      <c r="A116" s="185" t="s">
        <v>576</v>
      </c>
      <c r="B116" s="185" t="s">
        <v>577</v>
      </c>
      <c r="C116" s="186">
        <v>55.040000000000006</v>
      </c>
      <c r="D116" s="186">
        <v>54.600000000000009</v>
      </c>
      <c r="E116" s="186">
        <v>0.44</v>
      </c>
    </row>
    <row r="117" spans="1:5" x14ac:dyDescent="0.25">
      <c r="A117" s="185" t="s">
        <v>300</v>
      </c>
      <c r="B117" s="185" t="s">
        <v>301</v>
      </c>
      <c r="C117" s="186">
        <v>1153.55</v>
      </c>
      <c r="D117" s="186">
        <v>1143.77</v>
      </c>
      <c r="E117" s="186">
        <v>9.7799999999999994</v>
      </c>
    </row>
    <row r="118" spans="1:5" x14ac:dyDescent="0.25">
      <c r="A118" s="185" t="s">
        <v>588</v>
      </c>
      <c r="B118" s="185" t="s">
        <v>589</v>
      </c>
      <c r="C118" s="186">
        <v>37.4</v>
      </c>
      <c r="D118" s="186">
        <v>37.4</v>
      </c>
      <c r="E118" s="186">
        <v>0</v>
      </c>
    </row>
    <row r="119" spans="1:5" x14ac:dyDescent="0.25">
      <c r="A119" s="185" t="s">
        <v>122</v>
      </c>
      <c r="B119" s="185" t="s">
        <v>123</v>
      </c>
      <c r="C119" s="186">
        <v>5088.03</v>
      </c>
      <c r="D119" s="186">
        <v>5028.25</v>
      </c>
      <c r="E119" s="186">
        <v>59.78</v>
      </c>
    </row>
    <row r="120" spans="1:5" x14ac:dyDescent="0.25">
      <c r="A120" s="185" t="s">
        <v>36</v>
      </c>
      <c r="B120" s="185" t="s">
        <v>37</v>
      </c>
      <c r="C120" s="186">
        <v>19077.87</v>
      </c>
      <c r="D120" s="186">
        <v>18843.739999999998</v>
      </c>
      <c r="E120" s="186">
        <v>234.13</v>
      </c>
    </row>
    <row r="121" spans="1:5" x14ac:dyDescent="0.25">
      <c r="A121" s="185" t="s">
        <v>12</v>
      </c>
      <c r="B121" s="185" t="s">
        <v>13</v>
      </c>
      <c r="C121" s="186">
        <v>25664.360000000004</v>
      </c>
      <c r="D121" s="186">
        <v>25284.250000000004</v>
      </c>
      <c r="E121" s="186">
        <v>380.11</v>
      </c>
    </row>
    <row r="122" spans="1:5" x14ac:dyDescent="0.25">
      <c r="A122" s="185" t="s">
        <v>298</v>
      </c>
      <c r="B122" s="185" t="s">
        <v>299</v>
      </c>
      <c r="C122" s="186">
        <v>1092.22</v>
      </c>
      <c r="D122" s="186">
        <v>1085.55</v>
      </c>
      <c r="E122" s="186">
        <v>6.67</v>
      </c>
    </row>
    <row r="123" spans="1:5" x14ac:dyDescent="0.25">
      <c r="A123" s="185" t="s">
        <v>254</v>
      </c>
      <c r="B123" s="185" t="s">
        <v>255</v>
      </c>
      <c r="C123" s="186">
        <v>1336.9199999999996</v>
      </c>
      <c r="D123" s="186">
        <v>1325.8099999999997</v>
      </c>
      <c r="E123" s="186">
        <v>11.11</v>
      </c>
    </row>
    <row r="124" spans="1:5" x14ac:dyDescent="0.25">
      <c r="A124" s="185" t="s">
        <v>350</v>
      </c>
      <c r="B124" s="185" t="s">
        <v>351</v>
      </c>
      <c r="C124" s="186">
        <v>579.23000000000013</v>
      </c>
      <c r="D124" s="186">
        <v>568.1400000000001</v>
      </c>
      <c r="E124" s="186">
        <v>11.09</v>
      </c>
    </row>
    <row r="125" spans="1:5" x14ac:dyDescent="0.25">
      <c r="A125" s="185" t="s">
        <v>548</v>
      </c>
      <c r="B125" s="185" t="s">
        <v>549</v>
      </c>
      <c r="C125" s="186">
        <v>73.75</v>
      </c>
      <c r="D125" s="186">
        <v>71.75</v>
      </c>
      <c r="E125" s="186">
        <v>2</v>
      </c>
    </row>
    <row r="126" spans="1:5" x14ac:dyDescent="0.25">
      <c r="A126" s="185" t="s">
        <v>378</v>
      </c>
      <c r="B126" s="185" t="s">
        <v>379</v>
      </c>
      <c r="C126" s="186">
        <v>474.58</v>
      </c>
      <c r="D126" s="186">
        <v>470.58</v>
      </c>
      <c r="E126" s="186">
        <v>4</v>
      </c>
    </row>
    <row r="127" spans="1:5" x14ac:dyDescent="0.25">
      <c r="A127" s="185" t="s">
        <v>240</v>
      </c>
      <c r="B127" s="185" t="s">
        <v>241</v>
      </c>
      <c r="C127" s="186">
        <v>1806.5100000000002</v>
      </c>
      <c r="D127" s="186">
        <v>1795.4000000000003</v>
      </c>
      <c r="E127" s="186">
        <v>11.11</v>
      </c>
    </row>
    <row r="128" spans="1:5" x14ac:dyDescent="0.25">
      <c r="A128" s="185" t="s">
        <v>564</v>
      </c>
      <c r="B128" s="185" t="s">
        <v>565</v>
      </c>
      <c r="C128" s="186">
        <v>77.660000000000011</v>
      </c>
      <c r="D128" s="186">
        <v>76.660000000000011</v>
      </c>
      <c r="E128" s="186">
        <v>1</v>
      </c>
    </row>
    <row r="129" spans="1:5" x14ac:dyDescent="0.25">
      <c r="A129" s="185" t="s">
        <v>252</v>
      </c>
      <c r="B129" s="185" t="s">
        <v>253</v>
      </c>
      <c r="C129" s="186">
        <v>1257.6499999999999</v>
      </c>
      <c r="D129" s="186">
        <v>1247.6499999999999</v>
      </c>
      <c r="E129" s="186">
        <v>10</v>
      </c>
    </row>
    <row r="130" spans="1:5" x14ac:dyDescent="0.25">
      <c r="A130" s="185" t="s">
        <v>78</v>
      </c>
      <c r="B130" s="185" t="s">
        <v>79</v>
      </c>
      <c r="C130" s="186">
        <v>9984.82</v>
      </c>
      <c r="D130" s="186">
        <v>9801.6</v>
      </c>
      <c r="E130" s="186">
        <v>183.22</v>
      </c>
    </row>
    <row r="131" spans="1:5" x14ac:dyDescent="0.25">
      <c r="A131" s="185" t="s">
        <v>8</v>
      </c>
      <c r="B131" s="185" t="s">
        <v>9</v>
      </c>
      <c r="C131" s="186">
        <v>30941.37</v>
      </c>
      <c r="D131" s="186">
        <v>30693.48</v>
      </c>
      <c r="E131" s="186">
        <v>247.89</v>
      </c>
    </row>
    <row r="132" spans="1:5" x14ac:dyDescent="0.25">
      <c r="A132" s="185" t="s">
        <v>208</v>
      </c>
      <c r="B132" s="185" t="s">
        <v>209</v>
      </c>
      <c r="C132" s="186">
        <v>2644.6899999999996</v>
      </c>
      <c r="D132" s="186">
        <v>2611.7999999999997</v>
      </c>
      <c r="E132" s="186">
        <v>32.89</v>
      </c>
    </row>
    <row r="133" spans="1:5" x14ac:dyDescent="0.25">
      <c r="A133" s="185" t="s">
        <v>586</v>
      </c>
      <c r="B133" s="185" t="s">
        <v>587</v>
      </c>
      <c r="C133" s="186">
        <v>30.89</v>
      </c>
      <c r="D133" s="186">
        <v>30.89</v>
      </c>
      <c r="E133" s="186">
        <v>0</v>
      </c>
    </row>
    <row r="134" spans="1:5" x14ac:dyDescent="0.25">
      <c r="A134" s="185" t="s">
        <v>390</v>
      </c>
      <c r="B134" s="185" t="s">
        <v>391</v>
      </c>
      <c r="C134" s="186">
        <v>601.35</v>
      </c>
      <c r="D134" s="186">
        <v>600.35</v>
      </c>
      <c r="E134" s="186">
        <v>1</v>
      </c>
    </row>
    <row r="135" spans="1:5" x14ac:dyDescent="0.25">
      <c r="A135" s="185" t="s">
        <v>478</v>
      </c>
      <c r="B135" s="185" t="s">
        <v>479</v>
      </c>
      <c r="C135" s="186">
        <v>173.35</v>
      </c>
      <c r="D135" s="186">
        <v>172.35</v>
      </c>
      <c r="E135" s="186">
        <v>1</v>
      </c>
    </row>
    <row r="136" spans="1:5" x14ac:dyDescent="0.25">
      <c r="A136" s="185" t="s">
        <v>100</v>
      </c>
      <c r="B136" s="185" t="s">
        <v>101</v>
      </c>
      <c r="C136" s="186">
        <v>6388.5599999999995</v>
      </c>
      <c r="D136" s="186">
        <v>6298.45</v>
      </c>
      <c r="E136" s="186">
        <v>90.11</v>
      </c>
    </row>
    <row r="137" spans="1:5" x14ac:dyDescent="0.25">
      <c r="A137" s="185" t="s">
        <v>474</v>
      </c>
      <c r="B137" s="185" t="s">
        <v>475</v>
      </c>
      <c r="C137" s="186">
        <v>258.13</v>
      </c>
      <c r="D137" s="186">
        <v>256.24</v>
      </c>
      <c r="E137" s="186">
        <v>1.89</v>
      </c>
    </row>
    <row r="138" spans="1:5" x14ac:dyDescent="0.25">
      <c r="A138" s="185" t="s">
        <v>450</v>
      </c>
      <c r="B138" s="185" t="s">
        <v>451</v>
      </c>
      <c r="C138" s="186">
        <v>202.04000000000005</v>
      </c>
      <c r="D138" s="186">
        <v>199.04000000000005</v>
      </c>
      <c r="E138" s="186">
        <v>3</v>
      </c>
    </row>
    <row r="139" spans="1:5" x14ac:dyDescent="0.25">
      <c r="A139" s="187" t="s">
        <v>1160</v>
      </c>
      <c r="B139" s="188" t="s">
        <v>1178</v>
      </c>
      <c r="C139" s="186">
        <v>28.560000000000002</v>
      </c>
      <c r="D139" s="186">
        <v>28.560000000000002</v>
      </c>
      <c r="E139" s="186">
        <v>0</v>
      </c>
    </row>
    <row r="140" spans="1:5" x14ac:dyDescent="0.25">
      <c r="A140" s="191" t="s">
        <v>416</v>
      </c>
      <c r="B140" s="185" t="s">
        <v>417</v>
      </c>
      <c r="C140" s="186">
        <v>435.65000000000003</v>
      </c>
      <c r="D140" s="186">
        <v>421.98</v>
      </c>
      <c r="E140" s="186">
        <v>13.67</v>
      </c>
    </row>
    <row r="141" spans="1:5" x14ac:dyDescent="0.25">
      <c r="A141" s="185" t="s">
        <v>456</v>
      </c>
      <c r="B141" s="185" t="s">
        <v>457</v>
      </c>
      <c r="C141" s="186">
        <v>189.77</v>
      </c>
      <c r="D141" s="186">
        <v>187.99</v>
      </c>
      <c r="E141" s="186">
        <v>1.78</v>
      </c>
    </row>
    <row r="142" spans="1:5" x14ac:dyDescent="0.25">
      <c r="A142" s="185" t="s">
        <v>172</v>
      </c>
      <c r="B142" s="185" t="s">
        <v>173</v>
      </c>
      <c r="C142" s="186">
        <v>3608.3899999999994</v>
      </c>
      <c r="D142" s="186">
        <v>3548.0599999999995</v>
      </c>
      <c r="E142" s="186">
        <v>60.33</v>
      </c>
    </row>
    <row r="143" spans="1:5" x14ac:dyDescent="0.25">
      <c r="A143" s="185" t="s">
        <v>310</v>
      </c>
      <c r="B143" s="185" t="s">
        <v>311</v>
      </c>
      <c r="C143" s="186">
        <v>736.18000000000006</v>
      </c>
      <c r="D143" s="186">
        <v>736.07</v>
      </c>
      <c r="E143" s="186">
        <v>0.11</v>
      </c>
    </row>
    <row r="144" spans="1:5" x14ac:dyDescent="0.25">
      <c r="A144" s="185" t="s">
        <v>524</v>
      </c>
      <c r="B144" s="185" t="s">
        <v>525</v>
      </c>
      <c r="C144" s="186">
        <v>99.45</v>
      </c>
      <c r="D144" s="186">
        <v>96.78</v>
      </c>
      <c r="E144" s="186">
        <v>2.67</v>
      </c>
    </row>
    <row r="145" spans="1:5" x14ac:dyDescent="0.25">
      <c r="A145" s="185" t="s">
        <v>344</v>
      </c>
      <c r="B145" s="185" t="s">
        <v>345</v>
      </c>
      <c r="C145" s="186">
        <v>631.2299999999999</v>
      </c>
      <c r="D145" s="186">
        <v>624.2299999999999</v>
      </c>
      <c r="E145" s="186">
        <v>7</v>
      </c>
    </row>
    <row r="146" spans="1:5" x14ac:dyDescent="0.25">
      <c r="A146" s="185" t="s">
        <v>374</v>
      </c>
      <c r="B146" s="185" t="s">
        <v>375</v>
      </c>
      <c r="C146" s="186">
        <v>753.61999999999989</v>
      </c>
      <c r="D146" s="186">
        <v>752.61999999999989</v>
      </c>
      <c r="E146" s="186">
        <v>1</v>
      </c>
    </row>
    <row r="147" spans="1:5" x14ac:dyDescent="0.25">
      <c r="A147" s="185" t="s">
        <v>382</v>
      </c>
      <c r="B147" s="185" t="s">
        <v>383</v>
      </c>
      <c r="C147" s="186">
        <v>531.77000000000021</v>
      </c>
      <c r="D147" s="186">
        <v>524.55000000000018</v>
      </c>
      <c r="E147" s="186">
        <v>7.22</v>
      </c>
    </row>
    <row r="148" spans="1:5" x14ac:dyDescent="0.25">
      <c r="A148" s="185" t="s">
        <v>62</v>
      </c>
      <c r="B148" s="185" t="s">
        <v>63</v>
      </c>
      <c r="C148" s="186">
        <v>9395.2000000000007</v>
      </c>
      <c r="D148" s="186">
        <v>9232.3100000000013</v>
      </c>
      <c r="E148" s="186">
        <v>162.88999999999999</v>
      </c>
    </row>
    <row r="149" spans="1:5" x14ac:dyDescent="0.25">
      <c r="A149" s="185" t="s">
        <v>414</v>
      </c>
      <c r="B149" s="185" t="s">
        <v>415</v>
      </c>
      <c r="C149" s="186">
        <v>317.42</v>
      </c>
      <c r="D149" s="186">
        <v>310.42</v>
      </c>
      <c r="E149" s="186">
        <v>7</v>
      </c>
    </row>
    <row r="150" spans="1:5" x14ac:dyDescent="0.25">
      <c r="A150" s="185" t="s">
        <v>70</v>
      </c>
      <c r="B150" s="185" t="s">
        <v>71</v>
      </c>
      <c r="C150" s="186">
        <v>10501.81</v>
      </c>
      <c r="D150" s="186">
        <v>10373.92</v>
      </c>
      <c r="E150" s="186">
        <v>127.89</v>
      </c>
    </row>
    <row r="151" spans="1:5" x14ac:dyDescent="0.25">
      <c r="A151" s="185" t="s">
        <v>226</v>
      </c>
      <c r="B151" s="185" t="s">
        <v>227</v>
      </c>
      <c r="C151" s="186">
        <v>1760.52</v>
      </c>
      <c r="D151" s="186">
        <v>1724.44</v>
      </c>
      <c r="E151" s="186">
        <v>36.08</v>
      </c>
    </row>
    <row r="152" spans="1:5" x14ac:dyDescent="0.25">
      <c r="A152" s="185" t="s">
        <v>132</v>
      </c>
      <c r="B152" s="185" t="s">
        <v>133</v>
      </c>
      <c r="C152" s="186">
        <v>3976.38</v>
      </c>
      <c r="D152" s="186">
        <v>3956.27</v>
      </c>
      <c r="E152" s="186">
        <v>20.11</v>
      </c>
    </row>
    <row r="153" spans="1:5" x14ac:dyDescent="0.25">
      <c r="A153" s="185" t="s">
        <v>232</v>
      </c>
      <c r="B153" s="185" t="s">
        <v>233</v>
      </c>
      <c r="C153" s="186">
        <v>1898.3600000000001</v>
      </c>
      <c r="D153" s="186">
        <v>1873.69</v>
      </c>
      <c r="E153" s="186">
        <v>24.67</v>
      </c>
    </row>
    <row r="154" spans="1:5" x14ac:dyDescent="0.25">
      <c r="A154" s="185" t="s">
        <v>360</v>
      </c>
      <c r="B154" s="185" t="s">
        <v>361</v>
      </c>
      <c r="C154" s="186">
        <v>770.43</v>
      </c>
      <c r="D154" s="186">
        <v>763.43</v>
      </c>
      <c r="E154" s="186">
        <v>7</v>
      </c>
    </row>
    <row r="155" spans="1:5" x14ac:dyDescent="0.25">
      <c r="A155" s="185" t="s">
        <v>600</v>
      </c>
      <c r="B155" s="185" t="s">
        <v>601</v>
      </c>
      <c r="C155" s="186">
        <v>58.74</v>
      </c>
      <c r="D155" s="186">
        <v>58.74</v>
      </c>
      <c r="E155" s="186">
        <v>0</v>
      </c>
    </row>
    <row r="156" spans="1:5" x14ac:dyDescent="0.25">
      <c r="A156" s="185" t="s">
        <v>96</v>
      </c>
      <c r="B156" s="185" t="s">
        <v>97</v>
      </c>
      <c r="C156" s="186">
        <v>5710.0700000000006</v>
      </c>
      <c r="D156" s="186">
        <v>5650.18</v>
      </c>
      <c r="E156" s="186">
        <v>59.89</v>
      </c>
    </row>
    <row r="157" spans="1:5" x14ac:dyDescent="0.25">
      <c r="A157" s="185" t="s">
        <v>260</v>
      </c>
      <c r="B157" s="185" t="s">
        <v>261</v>
      </c>
      <c r="C157" s="186">
        <v>1486.1</v>
      </c>
      <c r="D157" s="186">
        <v>1471.32</v>
      </c>
      <c r="E157" s="186">
        <v>14.78</v>
      </c>
    </row>
    <row r="158" spans="1:5" x14ac:dyDescent="0.25">
      <c r="A158" s="185" t="s">
        <v>420</v>
      </c>
      <c r="B158" s="185" t="s">
        <v>421</v>
      </c>
      <c r="C158" s="186">
        <v>435.43999999999994</v>
      </c>
      <c r="D158" s="186">
        <v>432.43999999999994</v>
      </c>
      <c r="E158" s="186">
        <v>3</v>
      </c>
    </row>
    <row r="159" spans="1:5" x14ac:dyDescent="0.25">
      <c r="A159" s="185" t="s">
        <v>80</v>
      </c>
      <c r="B159" s="185" t="s">
        <v>81</v>
      </c>
      <c r="C159" s="186">
        <v>8577.2300000000014</v>
      </c>
      <c r="D159" s="186">
        <v>8437.9000000000015</v>
      </c>
      <c r="E159" s="186">
        <v>139.33000000000001</v>
      </c>
    </row>
    <row r="160" spans="1:5" x14ac:dyDescent="0.25">
      <c r="A160" s="185" t="s">
        <v>384</v>
      </c>
      <c r="B160" s="185" t="s">
        <v>385</v>
      </c>
      <c r="C160" s="186">
        <v>645.3900000000001</v>
      </c>
      <c r="D160" s="186">
        <v>643.95000000000005</v>
      </c>
      <c r="E160" s="186">
        <v>1.44</v>
      </c>
    </row>
    <row r="161" spans="1:5" x14ac:dyDescent="0.25">
      <c r="A161" s="43" t="s">
        <v>302</v>
      </c>
      <c r="B161" s="185" t="s">
        <v>303</v>
      </c>
      <c r="C161" s="186">
        <v>829.19999999999993</v>
      </c>
      <c r="D161" s="186">
        <v>826.86999999999989</v>
      </c>
      <c r="E161" s="186">
        <v>2.33</v>
      </c>
    </row>
    <row r="162" spans="1:5" x14ac:dyDescent="0.25">
      <c r="A162" s="185" t="s">
        <v>224</v>
      </c>
      <c r="B162" s="185" t="s">
        <v>225</v>
      </c>
      <c r="C162" s="186">
        <v>1572.8199999999997</v>
      </c>
      <c r="D162" s="186">
        <v>1547.7099999999998</v>
      </c>
      <c r="E162" s="186">
        <v>25.11</v>
      </c>
    </row>
    <row r="163" spans="1:5" x14ac:dyDescent="0.25">
      <c r="A163" s="185" t="s">
        <v>560</v>
      </c>
      <c r="B163" s="185" t="s">
        <v>561</v>
      </c>
      <c r="C163" s="186">
        <v>71.819999999999993</v>
      </c>
      <c r="D163" s="186">
        <v>71.599999999999994</v>
      </c>
      <c r="E163" s="186">
        <v>0.22</v>
      </c>
    </row>
    <row r="164" spans="1:5" x14ac:dyDescent="0.25">
      <c r="A164" s="185" t="s">
        <v>94</v>
      </c>
      <c r="B164" s="185" t="s">
        <v>95</v>
      </c>
      <c r="C164" s="186">
        <v>6656.4699999999975</v>
      </c>
      <c r="D164" s="186">
        <v>6539.0299999999979</v>
      </c>
      <c r="E164" s="186">
        <v>117.44</v>
      </c>
    </row>
    <row r="165" spans="1:5" x14ac:dyDescent="0.25">
      <c r="A165" s="191" t="s">
        <v>392</v>
      </c>
      <c r="B165" s="185" t="s">
        <v>393</v>
      </c>
      <c r="C165" s="186">
        <v>464.16</v>
      </c>
      <c r="D165" s="186">
        <v>464.16</v>
      </c>
      <c r="E165" s="186">
        <v>0</v>
      </c>
    </row>
    <row r="166" spans="1:5" x14ac:dyDescent="0.25">
      <c r="A166" s="185" t="s">
        <v>46</v>
      </c>
      <c r="B166" s="185" t="s">
        <v>47</v>
      </c>
      <c r="C166" s="186">
        <v>15449.850000000002</v>
      </c>
      <c r="D166" s="186">
        <v>15203.520000000002</v>
      </c>
      <c r="E166" s="186">
        <v>246.33</v>
      </c>
    </row>
    <row r="167" spans="1:5" x14ac:dyDescent="0.25">
      <c r="A167" s="185" t="s">
        <v>266</v>
      </c>
      <c r="B167" s="185" t="s">
        <v>267</v>
      </c>
      <c r="C167" s="186">
        <v>1305.2400000000002</v>
      </c>
      <c r="D167" s="186">
        <v>1296.2400000000002</v>
      </c>
      <c r="E167" s="186">
        <v>9</v>
      </c>
    </row>
    <row r="168" spans="1:5" x14ac:dyDescent="0.25">
      <c r="A168" s="185" t="s">
        <v>322</v>
      </c>
      <c r="B168" s="185" t="s">
        <v>323</v>
      </c>
      <c r="C168" s="186">
        <v>837.4699999999998</v>
      </c>
      <c r="D168" s="186">
        <v>820.79999999999984</v>
      </c>
      <c r="E168" s="186">
        <v>16.670000000000002</v>
      </c>
    </row>
    <row r="169" spans="1:5" x14ac:dyDescent="0.25">
      <c r="A169" s="185" t="s">
        <v>394</v>
      </c>
      <c r="B169" s="185" t="s">
        <v>395</v>
      </c>
      <c r="C169" s="186">
        <v>317.62</v>
      </c>
      <c r="D169" s="186">
        <v>316.73</v>
      </c>
      <c r="E169" s="186">
        <v>0.89</v>
      </c>
    </row>
    <row r="170" spans="1:5" x14ac:dyDescent="0.25">
      <c r="A170" s="185" t="s">
        <v>512</v>
      </c>
      <c r="B170" s="185" t="s">
        <v>513</v>
      </c>
      <c r="C170" s="186">
        <v>182.13</v>
      </c>
      <c r="D170" s="186">
        <v>176.79999999999998</v>
      </c>
      <c r="E170" s="186">
        <v>5.33</v>
      </c>
    </row>
    <row r="171" spans="1:5" x14ac:dyDescent="0.25">
      <c r="A171" s="185" t="s">
        <v>286</v>
      </c>
      <c r="B171" s="185" t="s">
        <v>287</v>
      </c>
      <c r="C171" s="186">
        <v>1184.67</v>
      </c>
      <c r="D171" s="186">
        <v>1164.1100000000001</v>
      </c>
      <c r="E171" s="186">
        <v>20.56</v>
      </c>
    </row>
    <row r="172" spans="1:5" x14ac:dyDescent="0.25">
      <c r="A172" s="185" t="s">
        <v>258</v>
      </c>
      <c r="B172" s="185" t="s">
        <v>259</v>
      </c>
      <c r="C172" s="186">
        <v>1415.3200000000002</v>
      </c>
      <c r="D172" s="186">
        <v>1410.43</v>
      </c>
      <c r="E172" s="186">
        <v>4.8899999999999997</v>
      </c>
    </row>
    <row r="173" spans="1:5" x14ac:dyDescent="0.25">
      <c r="A173" s="185" t="s">
        <v>236</v>
      </c>
      <c r="B173" s="185" t="s">
        <v>237</v>
      </c>
      <c r="C173" s="186">
        <v>2024.4099999999999</v>
      </c>
      <c r="D173" s="186">
        <v>1990.9699999999998</v>
      </c>
      <c r="E173" s="186">
        <v>33.44</v>
      </c>
    </row>
    <row r="174" spans="1:5" x14ac:dyDescent="0.25">
      <c r="A174" s="185" t="s">
        <v>342</v>
      </c>
      <c r="B174" s="185" t="s">
        <v>343</v>
      </c>
      <c r="C174" s="186">
        <v>633.46</v>
      </c>
      <c r="D174" s="186">
        <v>624.68000000000006</v>
      </c>
      <c r="E174" s="186">
        <v>8.7799999999999994</v>
      </c>
    </row>
    <row r="175" spans="1:5" x14ac:dyDescent="0.25">
      <c r="A175" s="185" t="s">
        <v>216</v>
      </c>
      <c r="B175" s="185" t="s">
        <v>217</v>
      </c>
      <c r="C175" s="186">
        <v>2061.27</v>
      </c>
      <c r="D175" s="186">
        <v>2029.6000000000001</v>
      </c>
      <c r="E175" s="186">
        <v>31.67</v>
      </c>
    </row>
    <row r="176" spans="1:5" x14ac:dyDescent="0.25">
      <c r="A176" s="185" t="s">
        <v>104</v>
      </c>
      <c r="B176" s="185" t="s">
        <v>105</v>
      </c>
      <c r="C176" s="186">
        <v>5296.619999999999</v>
      </c>
      <c r="D176" s="186">
        <v>5212.8399999999992</v>
      </c>
      <c r="E176" s="186">
        <v>83.78</v>
      </c>
    </row>
    <row r="177" spans="1:5" x14ac:dyDescent="0.25">
      <c r="A177" s="185" t="s">
        <v>214</v>
      </c>
      <c r="B177" s="185" t="s">
        <v>215</v>
      </c>
      <c r="C177" s="186">
        <v>2332.46</v>
      </c>
      <c r="D177" s="186">
        <v>2308.6799999999998</v>
      </c>
      <c r="E177" s="186">
        <v>23.78</v>
      </c>
    </row>
    <row r="178" spans="1:5" x14ac:dyDescent="0.25">
      <c r="A178" s="185" t="s">
        <v>558</v>
      </c>
      <c r="B178" s="185" t="s">
        <v>559</v>
      </c>
      <c r="C178" s="186">
        <v>52.150000000000013</v>
      </c>
      <c r="D178" s="186">
        <v>52.150000000000013</v>
      </c>
      <c r="E178" s="186">
        <v>0</v>
      </c>
    </row>
    <row r="179" spans="1:5" x14ac:dyDescent="0.25">
      <c r="A179" s="185" t="s">
        <v>48</v>
      </c>
      <c r="B179" s="185" t="s">
        <v>49</v>
      </c>
      <c r="C179" s="186">
        <v>15236.000000000002</v>
      </c>
      <c r="D179" s="186">
        <v>14877.220000000001</v>
      </c>
      <c r="E179" s="186">
        <v>358.78</v>
      </c>
    </row>
    <row r="180" spans="1:5" x14ac:dyDescent="0.25">
      <c r="A180" s="185" t="s">
        <v>454</v>
      </c>
      <c r="B180" s="185" t="s">
        <v>455</v>
      </c>
      <c r="C180" s="186">
        <v>270.95</v>
      </c>
      <c r="D180" s="186">
        <v>268.27999999999997</v>
      </c>
      <c r="E180" s="186">
        <v>2.67</v>
      </c>
    </row>
    <row r="181" spans="1:5" x14ac:dyDescent="0.25">
      <c r="A181" s="185" t="s">
        <v>22</v>
      </c>
      <c r="B181" s="185" t="s">
        <v>23</v>
      </c>
      <c r="C181" s="186">
        <v>22391.21</v>
      </c>
      <c r="D181" s="186">
        <v>22137.26</v>
      </c>
      <c r="E181" s="186">
        <v>253.95</v>
      </c>
    </row>
    <row r="182" spans="1:5" x14ac:dyDescent="0.25">
      <c r="A182" s="185" t="s">
        <v>106</v>
      </c>
      <c r="B182" s="185" t="s">
        <v>107</v>
      </c>
      <c r="C182" s="186">
        <v>5603.77</v>
      </c>
      <c r="D182" s="186">
        <v>5470.1</v>
      </c>
      <c r="E182" s="186">
        <v>133.66999999999999</v>
      </c>
    </row>
    <row r="183" spans="1:5" x14ac:dyDescent="0.25">
      <c r="A183" s="185" t="s">
        <v>520</v>
      </c>
      <c r="B183" s="185" t="s">
        <v>521</v>
      </c>
      <c r="C183" s="186">
        <v>147</v>
      </c>
      <c r="D183" s="186">
        <v>146.22</v>
      </c>
      <c r="E183" s="186">
        <v>0.78</v>
      </c>
    </row>
    <row r="184" spans="1:5" x14ac:dyDescent="0.25">
      <c r="A184" s="185" t="s">
        <v>458</v>
      </c>
      <c r="B184" s="185" t="s">
        <v>459</v>
      </c>
      <c r="C184" s="186">
        <v>331.56</v>
      </c>
      <c r="D184" s="186">
        <v>321.89</v>
      </c>
      <c r="E184" s="186">
        <v>9.67</v>
      </c>
    </row>
    <row r="185" spans="1:5" x14ac:dyDescent="0.25">
      <c r="A185" s="185" t="s">
        <v>290</v>
      </c>
      <c r="B185" s="185" t="s">
        <v>291</v>
      </c>
      <c r="C185" s="186">
        <v>956.8499999999998</v>
      </c>
      <c r="D185" s="186">
        <v>936.17999999999984</v>
      </c>
      <c r="E185" s="186">
        <v>20.67</v>
      </c>
    </row>
    <row r="186" spans="1:5" x14ac:dyDescent="0.25">
      <c r="A186" s="185" t="s">
        <v>362</v>
      </c>
      <c r="B186" s="185" t="s">
        <v>363</v>
      </c>
      <c r="C186" s="186">
        <v>586.11</v>
      </c>
      <c r="D186" s="186">
        <v>582.44000000000005</v>
      </c>
      <c r="E186" s="186">
        <v>3.67</v>
      </c>
    </row>
    <row r="187" spans="1:5" x14ac:dyDescent="0.25">
      <c r="A187" s="185" t="s">
        <v>446</v>
      </c>
      <c r="B187" s="185" t="s">
        <v>447</v>
      </c>
      <c r="C187" s="186">
        <v>216.13000000000002</v>
      </c>
      <c r="D187" s="186">
        <v>216.13000000000002</v>
      </c>
      <c r="E187" s="186">
        <v>0</v>
      </c>
    </row>
    <row r="188" spans="1:5" x14ac:dyDescent="0.25">
      <c r="A188" s="185" t="s">
        <v>284</v>
      </c>
      <c r="B188" s="185" t="s">
        <v>285</v>
      </c>
      <c r="C188" s="186">
        <v>1082.7500000000002</v>
      </c>
      <c r="D188" s="186">
        <v>1070.0400000000002</v>
      </c>
      <c r="E188" s="186">
        <v>12.71</v>
      </c>
    </row>
    <row r="189" spans="1:5" x14ac:dyDescent="0.25">
      <c r="A189" s="185" t="s">
        <v>66</v>
      </c>
      <c r="B189" s="185" t="s">
        <v>67</v>
      </c>
      <c r="C189" s="186">
        <v>9674.6699999999983</v>
      </c>
      <c r="D189" s="186">
        <v>9532.8499999999985</v>
      </c>
      <c r="E189" s="186">
        <v>141.82</v>
      </c>
    </row>
    <row r="190" spans="1:5" x14ac:dyDescent="0.25">
      <c r="A190" s="185" t="s">
        <v>120</v>
      </c>
      <c r="B190" s="185" t="s">
        <v>121</v>
      </c>
      <c r="C190" s="186">
        <v>6001.12</v>
      </c>
      <c r="D190" s="186">
        <v>5975.12</v>
      </c>
      <c r="E190" s="186">
        <v>26</v>
      </c>
    </row>
    <row r="191" spans="1:5" x14ac:dyDescent="0.25">
      <c r="A191" s="185" t="s">
        <v>324</v>
      </c>
      <c r="B191" s="185" t="s">
        <v>325</v>
      </c>
      <c r="C191" s="186">
        <v>881.14</v>
      </c>
      <c r="D191" s="186">
        <v>873.14</v>
      </c>
      <c r="E191" s="186">
        <v>8</v>
      </c>
    </row>
    <row r="192" spans="1:5" x14ac:dyDescent="0.25">
      <c r="A192" s="185" t="s">
        <v>578</v>
      </c>
      <c r="B192" s="185" t="s">
        <v>579</v>
      </c>
      <c r="C192" s="186">
        <v>41.100000000000009</v>
      </c>
      <c r="D192" s="186">
        <v>41.100000000000009</v>
      </c>
      <c r="E192" s="186">
        <v>0</v>
      </c>
    </row>
    <row r="193" spans="1:5" x14ac:dyDescent="0.25">
      <c r="A193" s="185" t="s">
        <v>328</v>
      </c>
      <c r="B193" s="185" t="s">
        <v>329</v>
      </c>
      <c r="C193" s="186">
        <v>785.6</v>
      </c>
      <c r="D193" s="186">
        <v>777.27</v>
      </c>
      <c r="E193" s="186">
        <v>8.33</v>
      </c>
    </row>
    <row r="194" spans="1:5" x14ac:dyDescent="0.25">
      <c r="A194" s="185" t="s">
        <v>540</v>
      </c>
      <c r="B194" s="185" t="s">
        <v>541</v>
      </c>
      <c r="C194" s="186">
        <v>76.8</v>
      </c>
      <c r="D194" s="186">
        <v>76.8</v>
      </c>
      <c r="E194" s="186">
        <v>0</v>
      </c>
    </row>
    <row r="195" spans="1:5" x14ac:dyDescent="0.25">
      <c r="A195" s="185" t="s">
        <v>562</v>
      </c>
      <c r="B195" s="185" t="s">
        <v>563</v>
      </c>
      <c r="C195" s="186">
        <v>43.06</v>
      </c>
      <c r="D195" s="186">
        <v>43.06</v>
      </c>
      <c r="E195" s="186">
        <v>0</v>
      </c>
    </row>
    <row r="196" spans="1:5" x14ac:dyDescent="0.25">
      <c r="A196" s="185" t="s">
        <v>482</v>
      </c>
      <c r="B196" s="185" t="s">
        <v>483</v>
      </c>
      <c r="C196" s="186">
        <v>110</v>
      </c>
      <c r="D196" s="186">
        <v>108</v>
      </c>
      <c r="E196" s="186">
        <v>2</v>
      </c>
    </row>
    <row r="197" spans="1:5" x14ac:dyDescent="0.25">
      <c r="A197" s="185" t="s">
        <v>372</v>
      </c>
      <c r="B197" s="185" t="s">
        <v>373</v>
      </c>
      <c r="C197" s="186">
        <v>527.12</v>
      </c>
      <c r="D197" s="186">
        <v>511.56</v>
      </c>
      <c r="E197" s="186">
        <v>15.56</v>
      </c>
    </row>
    <row r="198" spans="1:5" x14ac:dyDescent="0.25">
      <c r="A198" s="185" t="s">
        <v>198</v>
      </c>
      <c r="B198" s="185" t="s">
        <v>199</v>
      </c>
      <c r="C198" s="186">
        <v>2845.8100000000004</v>
      </c>
      <c r="D198" s="186">
        <v>2787.7000000000003</v>
      </c>
      <c r="E198" s="186">
        <v>58.11</v>
      </c>
    </row>
    <row r="199" spans="1:5" x14ac:dyDescent="0.25">
      <c r="A199" s="185" t="s">
        <v>134</v>
      </c>
      <c r="B199" s="185" t="s">
        <v>135</v>
      </c>
      <c r="C199" s="186">
        <v>4584.16</v>
      </c>
      <c r="D199" s="186">
        <v>4536.38</v>
      </c>
      <c r="E199" s="186">
        <v>47.78</v>
      </c>
    </row>
    <row r="200" spans="1:5" x14ac:dyDescent="0.25">
      <c r="A200" s="185" t="s">
        <v>594</v>
      </c>
      <c r="B200" s="185" t="s">
        <v>595</v>
      </c>
      <c r="C200" s="186">
        <v>31.1</v>
      </c>
      <c r="D200" s="186">
        <v>31.1</v>
      </c>
      <c r="E200" s="186">
        <v>0</v>
      </c>
    </row>
    <row r="201" spans="1:5" x14ac:dyDescent="0.25">
      <c r="A201" s="185" t="s">
        <v>476</v>
      </c>
      <c r="B201" s="185" t="s">
        <v>477</v>
      </c>
      <c r="C201" s="186">
        <v>178.06</v>
      </c>
      <c r="D201" s="186">
        <v>177.95</v>
      </c>
      <c r="E201" s="186">
        <v>0.11</v>
      </c>
    </row>
    <row r="202" spans="1:5" x14ac:dyDescent="0.25">
      <c r="A202" t="s">
        <v>1257</v>
      </c>
      <c r="B202" t="s">
        <v>1258</v>
      </c>
      <c r="C202" s="186">
        <v>150.43</v>
      </c>
      <c r="D202" s="186">
        <v>147.32</v>
      </c>
      <c r="E202" s="186">
        <v>3.11</v>
      </c>
    </row>
    <row r="203" spans="1:5" x14ac:dyDescent="0.25">
      <c r="A203" s="185" t="s">
        <v>38</v>
      </c>
      <c r="B203" s="185" t="s">
        <v>39</v>
      </c>
      <c r="C203" s="186">
        <v>18444.530000000002</v>
      </c>
      <c r="D203" s="186">
        <v>18281.420000000002</v>
      </c>
      <c r="E203" s="186">
        <v>163.11000000000001</v>
      </c>
    </row>
    <row r="204" spans="1:5" x14ac:dyDescent="0.25">
      <c r="A204" s="185" t="s">
        <v>428</v>
      </c>
      <c r="B204" s="185" t="s">
        <v>429</v>
      </c>
      <c r="C204" s="186">
        <v>232.79999999999998</v>
      </c>
      <c r="D204" s="186">
        <v>231.13</v>
      </c>
      <c r="E204" s="186">
        <v>1.67</v>
      </c>
    </row>
    <row r="205" spans="1:5" x14ac:dyDescent="0.25">
      <c r="A205" s="185" t="s">
        <v>510</v>
      </c>
      <c r="B205" s="185" t="s">
        <v>511</v>
      </c>
      <c r="C205" s="186">
        <v>136</v>
      </c>
      <c r="D205" s="186">
        <v>136</v>
      </c>
      <c r="E205" s="186">
        <v>0</v>
      </c>
    </row>
    <row r="206" spans="1:5" x14ac:dyDescent="0.25">
      <c r="A206" s="185" t="s">
        <v>436</v>
      </c>
      <c r="B206" s="185" t="s">
        <v>437</v>
      </c>
      <c r="C206" s="186">
        <v>282.55</v>
      </c>
      <c r="D206" s="186">
        <v>280.22000000000003</v>
      </c>
      <c r="E206" s="186">
        <v>2.33</v>
      </c>
    </row>
    <row r="207" spans="1:5" x14ac:dyDescent="0.25">
      <c r="A207" s="185" t="s">
        <v>76</v>
      </c>
      <c r="B207" s="185" t="s">
        <v>77</v>
      </c>
      <c r="C207" s="186">
        <v>8858.3000000000011</v>
      </c>
      <c r="D207" s="186">
        <v>8745.86</v>
      </c>
      <c r="E207" s="186">
        <v>112.44</v>
      </c>
    </row>
    <row r="208" spans="1:5" x14ac:dyDescent="0.25">
      <c r="A208" s="187" t="s">
        <v>1200</v>
      </c>
      <c r="B208" s="188" t="s">
        <v>1199</v>
      </c>
      <c r="C208" s="186">
        <v>222.79999999999998</v>
      </c>
      <c r="D208" s="186">
        <v>222.79999999999998</v>
      </c>
      <c r="E208" s="186">
        <v>0</v>
      </c>
    </row>
    <row r="209" spans="1:5" x14ac:dyDescent="0.25">
      <c r="A209" s="185" t="s">
        <v>334</v>
      </c>
      <c r="B209" s="185" t="s">
        <v>335</v>
      </c>
      <c r="C209" s="186">
        <v>734.99</v>
      </c>
      <c r="D209" s="186">
        <v>720.55</v>
      </c>
      <c r="E209" s="186">
        <v>14.44</v>
      </c>
    </row>
    <row r="210" spans="1:5" x14ac:dyDescent="0.25">
      <c r="A210" s="185" t="s">
        <v>426</v>
      </c>
      <c r="B210" s="185" t="s">
        <v>427</v>
      </c>
      <c r="C210" s="186">
        <v>343.55</v>
      </c>
      <c r="D210" s="186">
        <v>339.77000000000004</v>
      </c>
      <c r="E210" s="186">
        <v>3.78</v>
      </c>
    </row>
    <row r="211" spans="1:5" x14ac:dyDescent="0.25">
      <c r="A211" s="185" t="s">
        <v>146</v>
      </c>
      <c r="B211" s="185" t="s">
        <v>147</v>
      </c>
      <c r="C211" s="186">
        <v>3456.9100000000003</v>
      </c>
      <c r="D211" s="186">
        <v>3417.5800000000004</v>
      </c>
      <c r="E211" s="186">
        <v>39.33</v>
      </c>
    </row>
    <row r="212" spans="1:5" x14ac:dyDescent="0.25">
      <c r="A212" s="185" t="s">
        <v>278</v>
      </c>
      <c r="B212" s="185" t="s">
        <v>279</v>
      </c>
      <c r="C212" s="186">
        <v>1259.8799999999999</v>
      </c>
      <c r="D212" s="186">
        <v>1250.55</v>
      </c>
      <c r="E212" s="186">
        <v>9.33</v>
      </c>
    </row>
    <row r="213" spans="1:5" x14ac:dyDescent="0.25">
      <c r="A213" s="185" t="s">
        <v>434</v>
      </c>
      <c r="B213" s="185" t="s">
        <v>435</v>
      </c>
      <c r="C213" s="186">
        <v>271.04000000000002</v>
      </c>
      <c r="D213" s="186">
        <v>271.04000000000002</v>
      </c>
      <c r="E213" s="186">
        <v>0</v>
      </c>
    </row>
    <row r="214" spans="1:5" x14ac:dyDescent="0.25">
      <c r="A214" s="188" t="s">
        <v>448</v>
      </c>
      <c r="B214" s="185" t="s">
        <v>449</v>
      </c>
      <c r="C214" s="186">
        <v>230.26</v>
      </c>
      <c r="D214" s="186">
        <v>230.26</v>
      </c>
      <c r="E214" s="186">
        <v>0</v>
      </c>
    </row>
    <row r="215" spans="1:5" x14ac:dyDescent="0.25">
      <c r="A215" s="185" t="s">
        <v>194</v>
      </c>
      <c r="B215" s="185" t="s">
        <v>195</v>
      </c>
      <c r="C215" s="186">
        <v>2487.6599999999994</v>
      </c>
      <c r="D215" s="186">
        <v>2466.6599999999994</v>
      </c>
      <c r="E215" s="186">
        <v>21</v>
      </c>
    </row>
    <row r="216" spans="1:5" x14ac:dyDescent="0.25">
      <c r="A216" s="185" t="s">
        <v>186</v>
      </c>
      <c r="B216" s="185" t="s">
        <v>187</v>
      </c>
      <c r="C216" s="186">
        <v>2695.0699999999997</v>
      </c>
      <c r="D216" s="186">
        <v>2646.6299999999997</v>
      </c>
      <c r="E216" s="186">
        <v>48.44</v>
      </c>
    </row>
    <row r="217" spans="1:5" x14ac:dyDescent="0.25">
      <c r="A217" s="187" t="s">
        <v>18</v>
      </c>
      <c r="B217" s="188" t="s">
        <v>19</v>
      </c>
      <c r="C217" s="186">
        <v>23440.879999999997</v>
      </c>
      <c r="D217" s="186">
        <v>23095.1</v>
      </c>
      <c r="E217" s="186">
        <v>345.78</v>
      </c>
    </row>
    <row r="218" spans="1:5" x14ac:dyDescent="0.25">
      <c r="A218" s="185" t="s">
        <v>596</v>
      </c>
      <c r="B218" s="185" t="s">
        <v>597</v>
      </c>
      <c r="C218" s="186">
        <v>37.299999999999997</v>
      </c>
      <c r="D218" s="186">
        <v>37.299999999999997</v>
      </c>
      <c r="E218" s="186">
        <v>0</v>
      </c>
    </row>
    <row r="219" spans="1:5" x14ac:dyDescent="0.25">
      <c r="A219" s="185" t="s">
        <v>366</v>
      </c>
      <c r="B219" s="185" t="s">
        <v>367</v>
      </c>
      <c r="C219" s="186">
        <v>664.4000000000002</v>
      </c>
      <c r="D219" s="186">
        <v>661.96000000000015</v>
      </c>
      <c r="E219" s="186">
        <v>2.44</v>
      </c>
    </row>
    <row r="220" spans="1:5" x14ac:dyDescent="0.25">
      <c r="A220" s="185" t="s">
        <v>556</v>
      </c>
      <c r="B220" s="185" t="s">
        <v>557</v>
      </c>
      <c r="C220" s="186">
        <v>109.78</v>
      </c>
      <c r="D220" s="186">
        <v>109.78</v>
      </c>
      <c r="E220" s="186">
        <v>0</v>
      </c>
    </row>
    <row r="221" spans="1:5" x14ac:dyDescent="0.25">
      <c r="A221" s="190" t="s">
        <v>184</v>
      </c>
      <c r="B221" s="185" t="s">
        <v>185</v>
      </c>
      <c r="C221" s="186">
        <v>4006.9799999999996</v>
      </c>
      <c r="D221" s="186">
        <v>3996.8699999999994</v>
      </c>
      <c r="E221" s="186">
        <v>10.11</v>
      </c>
    </row>
    <row r="222" spans="1:5" x14ac:dyDescent="0.25">
      <c r="A222" s="185" t="s">
        <v>494</v>
      </c>
      <c r="B222" s="185" t="s">
        <v>495</v>
      </c>
      <c r="C222" s="186">
        <v>211.4</v>
      </c>
      <c r="D222" s="186">
        <v>210.4</v>
      </c>
      <c r="E222" s="186">
        <v>1</v>
      </c>
    </row>
    <row r="223" spans="1:5" x14ac:dyDescent="0.25">
      <c r="A223" s="185" t="s">
        <v>180</v>
      </c>
      <c r="B223" s="185" t="s">
        <v>181</v>
      </c>
      <c r="C223" s="186">
        <v>3259.1200000000003</v>
      </c>
      <c r="D223" s="186">
        <v>3233.1200000000003</v>
      </c>
      <c r="E223" s="186">
        <v>26</v>
      </c>
    </row>
    <row r="224" spans="1:5" x14ac:dyDescent="0.25">
      <c r="A224" s="185" t="s">
        <v>318</v>
      </c>
      <c r="B224" s="185" t="s">
        <v>319</v>
      </c>
      <c r="C224" s="186">
        <v>978.25999999999988</v>
      </c>
      <c r="D224" s="186">
        <v>963.36999999999989</v>
      </c>
      <c r="E224" s="186">
        <v>14.89</v>
      </c>
    </row>
    <row r="225" spans="1:5" x14ac:dyDescent="0.25">
      <c r="A225" s="185" t="s">
        <v>444</v>
      </c>
      <c r="B225" s="185" t="s">
        <v>445</v>
      </c>
      <c r="C225" s="186">
        <v>358.70000000000005</v>
      </c>
      <c r="D225" s="186">
        <v>358.70000000000005</v>
      </c>
      <c r="E225" s="186">
        <v>0</v>
      </c>
    </row>
    <row r="226" spans="1:5" x14ac:dyDescent="0.25">
      <c r="A226" s="188" t="s">
        <v>364</v>
      </c>
      <c r="B226" s="185" t="s">
        <v>365</v>
      </c>
      <c r="C226" s="186">
        <v>482.34</v>
      </c>
      <c r="D226" s="186">
        <v>481.78</v>
      </c>
      <c r="E226" s="186">
        <v>0.56000000000000005</v>
      </c>
    </row>
    <row r="227" spans="1:5" x14ac:dyDescent="0.25">
      <c r="A227" s="185" t="s">
        <v>376</v>
      </c>
      <c r="B227" s="185" t="s">
        <v>377</v>
      </c>
      <c r="C227" s="186">
        <v>711.81000000000006</v>
      </c>
      <c r="D227" s="186">
        <v>711.03000000000009</v>
      </c>
      <c r="E227" s="186">
        <v>0.78</v>
      </c>
    </row>
    <row r="228" spans="1:5" x14ac:dyDescent="0.25">
      <c r="A228" s="185" t="s">
        <v>44</v>
      </c>
      <c r="B228" s="185" t="s">
        <v>45</v>
      </c>
      <c r="C228" s="186">
        <v>14663.939999999999</v>
      </c>
      <c r="D228" s="186">
        <v>14397.609999999999</v>
      </c>
      <c r="E228" s="186">
        <v>266.33</v>
      </c>
    </row>
    <row r="229" spans="1:5" x14ac:dyDescent="0.25">
      <c r="A229" s="185" t="s">
        <v>408</v>
      </c>
      <c r="B229" s="185" t="s">
        <v>409</v>
      </c>
      <c r="C229" s="186">
        <v>518.14999999999986</v>
      </c>
      <c r="D229" s="186">
        <v>516.25999999999988</v>
      </c>
      <c r="E229" s="186">
        <v>1.89</v>
      </c>
    </row>
    <row r="230" spans="1:5" x14ac:dyDescent="0.25">
      <c r="A230" s="185" t="s">
        <v>52</v>
      </c>
      <c r="B230" s="185" t="s">
        <v>53</v>
      </c>
      <c r="C230" s="186">
        <v>14070.43</v>
      </c>
      <c r="D230" s="186">
        <v>13856.9</v>
      </c>
      <c r="E230" s="186">
        <v>213.53</v>
      </c>
    </row>
    <row r="231" spans="1:5" x14ac:dyDescent="0.25">
      <c r="A231" s="185" t="s">
        <v>192</v>
      </c>
      <c r="B231" s="185" t="s">
        <v>193</v>
      </c>
      <c r="C231" s="186">
        <v>4203.87</v>
      </c>
      <c r="D231" s="186">
        <v>4154.6499999999996</v>
      </c>
      <c r="E231" s="186">
        <v>49.22</v>
      </c>
    </row>
    <row r="232" spans="1:5" x14ac:dyDescent="0.25">
      <c r="A232" s="185" t="s">
        <v>410</v>
      </c>
      <c r="B232" s="185" t="s">
        <v>411</v>
      </c>
      <c r="C232" s="186">
        <v>398.97999999999996</v>
      </c>
      <c r="D232" s="186">
        <v>393.97999999999996</v>
      </c>
      <c r="E232" s="186">
        <v>5</v>
      </c>
    </row>
    <row r="233" spans="1:5" x14ac:dyDescent="0.25">
      <c r="A233" s="185" t="s">
        <v>250</v>
      </c>
      <c r="B233" s="185" t="s">
        <v>251</v>
      </c>
      <c r="C233" s="186">
        <v>1478.8799999999999</v>
      </c>
      <c r="D233" s="186">
        <v>1462.1</v>
      </c>
      <c r="E233" s="186">
        <v>16.78</v>
      </c>
    </row>
    <row r="234" spans="1:5" x14ac:dyDescent="0.25">
      <c r="A234" s="185" t="s">
        <v>168</v>
      </c>
      <c r="B234" s="185" t="s">
        <v>169</v>
      </c>
      <c r="C234" s="186">
        <v>2987.65</v>
      </c>
      <c r="D234" s="186">
        <v>2959.54</v>
      </c>
      <c r="E234" s="186">
        <v>28.11</v>
      </c>
    </row>
    <row r="235" spans="1:5" x14ac:dyDescent="0.25">
      <c r="A235" s="185" t="s">
        <v>210</v>
      </c>
      <c r="B235" s="185" t="s">
        <v>211</v>
      </c>
      <c r="C235" s="186">
        <v>2133.86</v>
      </c>
      <c r="D235" s="186">
        <v>2102.19</v>
      </c>
      <c r="E235" s="186">
        <v>31.67</v>
      </c>
    </row>
    <row r="236" spans="1:5" x14ac:dyDescent="0.25">
      <c r="A236" s="185" t="s">
        <v>592</v>
      </c>
      <c r="B236" s="185" t="s">
        <v>593</v>
      </c>
      <c r="C236" s="186">
        <v>24.7</v>
      </c>
      <c r="D236" s="186">
        <v>24.7</v>
      </c>
      <c r="E236" s="186">
        <v>0</v>
      </c>
    </row>
    <row r="237" spans="1:5" x14ac:dyDescent="0.25">
      <c r="A237" s="185" t="s">
        <v>1253</v>
      </c>
      <c r="B237" s="185" t="s">
        <v>1254</v>
      </c>
      <c r="C237" s="186">
        <v>53.69</v>
      </c>
      <c r="D237" s="186">
        <v>53.69</v>
      </c>
      <c r="E237" s="186">
        <v>0</v>
      </c>
    </row>
    <row r="238" spans="1:5" x14ac:dyDescent="0.25">
      <c r="A238" s="201" t="s">
        <v>486</v>
      </c>
      <c r="B238" t="s">
        <v>487</v>
      </c>
      <c r="C238" s="186">
        <v>145.43</v>
      </c>
      <c r="D238" s="186">
        <v>145.43</v>
      </c>
      <c r="E238" s="186">
        <v>0</v>
      </c>
    </row>
    <row r="239" spans="1:5" x14ac:dyDescent="0.25">
      <c r="A239" s="185" t="s">
        <v>234</v>
      </c>
      <c r="B239" s="185" t="s">
        <v>235</v>
      </c>
      <c r="C239" s="186">
        <v>1740.74</v>
      </c>
      <c r="D239" s="186">
        <v>1728.07</v>
      </c>
      <c r="E239" s="186">
        <v>12.67</v>
      </c>
    </row>
    <row r="240" spans="1:5" x14ac:dyDescent="0.25">
      <c r="A240" s="185" t="s">
        <v>320</v>
      </c>
      <c r="B240" s="185" t="s">
        <v>321</v>
      </c>
      <c r="C240" s="186">
        <v>802.58000000000015</v>
      </c>
      <c r="D240" s="186">
        <v>799.1400000000001</v>
      </c>
      <c r="E240" s="186">
        <v>3.44</v>
      </c>
    </row>
    <row r="241" spans="1:5" x14ac:dyDescent="0.25">
      <c r="A241" s="185" t="s">
        <v>552</v>
      </c>
      <c r="B241" s="185" t="s">
        <v>553</v>
      </c>
      <c r="C241" s="186">
        <v>67.08</v>
      </c>
      <c r="D241" s="186">
        <v>62.300000000000004</v>
      </c>
      <c r="E241" s="186">
        <v>4.78</v>
      </c>
    </row>
    <row r="242" spans="1:5" x14ac:dyDescent="0.25">
      <c r="A242" s="185" t="s">
        <v>4</v>
      </c>
      <c r="B242" s="185" t="s">
        <v>5</v>
      </c>
      <c r="C242" s="186">
        <v>50542.029999999992</v>
      </c>
      <c r="D242" s="186">
        <v>49851.029999999992</v>
      </c>
      <c r="E242" s="186">
        <v>691</v>
      </c>
    </row>
    <row r="243" spans="1:5" x14ac:dyDescent="0.25">
      <c r="A243" s="185" t="s">
        <v>136</v>
      </c>
      <c r="B243" s="185" t="s">
        <v>137</v>
      </c>
      <c r="C243" s="186">
        <v>4499.4800000000005</v>
      </c>
      <c r="D243" s="186">
        <v>4424.26</v>
      </c>
      <c r="E243" s="186">
        <v>75.22</v>
      </c>
    </row>
    <row r="244" spans="1:5" x14ac:dyDescent="0.25">
      <c r="A244" s="185" t="s">
        <v>160</v>
      </c>
      <c r="B244" s="185" t="s">
        <v>161</v>
      </c>
      <c r="C244" s="186">
        <v>3694.7900000000004</v>
      </c>
      <c r="D244" s="186">
        <v>3640.8500000000004</v>
      </c>
      <c r="E244" s="186">
        <v>53.94</v>
      </c>
    </row>
    <row r="245" spans="1:5" x14ac:dyDescent="0.25">
      <c r="A245" s="185" t="s">
        <v>440</v>
      </c>
      <c r="B245" s="185" t="s">
        <v>441</v>
      </c>
      <c r="C245" s="186">
        <v>256.46999999999997</v>
      </c>
      <c r="D245" s="186">
        <v>255.79999999999995</v>
      </c>
      <c r="E245" s="186">
        <v>0.67</v>
      </c>
    </row>
    <row r="246" spans="1:5" x14ac:dyDescent="0.25">
      <c r="A246" s="185" t="s">
        <v>188</v>
      </c>
      <c r="B246" s="185" t="s">
        <v>189</v>
      </c>
      <c r="C246" s="186">
        <v>2598.0499999999997</v>
      </c>
      <c r="D246" s="186">
        <v>2565.83</v>
      </c>
      <c r="E246" s="186">
        <v>32.22</v>
      </c>
    </row>
    <row r="247" spans="1:5" x14ac:dyDescent="0.25">
      <c r="A247" s="185" t="s">
        <v>608</v>
      </c>
      <c r="B247" s="185" t="s">
        <v>609</v>
      </c>
      <c r="C247" s="186">
        <v>7.08</v>
      </c>
      <c r="D247" s="186">
        <v>7.08</v>
      </c>
      <c r="E247" s="186">
        <v>0</v>
      </c>
    </row>
    <row r="248" spans="1:5" x14ac:dyDescent="0.25">
      <c r="A248" s="185" t="s">
        <v>130</v>
      </c>
      <c r="B248" s="185" t="s">
        <v>131</v>
      </c>
      <c r="C248" s="186">
        <v>4455.2599999999993</v>
      </c>
      <c r="D248" s="186">
        <v>4341.1299999999992</v>
      </c>
      <c r="E248" s="186">
        <v>114.13</v>
      </c>
    </row>
    <row r="249" spans="1:5" x14ac:dyDescent="0.25">
      <c r="A249" s="185" t="s">
        <v>72</v>
      </c>
      <c r="B249" s="185" t="s">
        <v>73</v>
      </c>
      <c r="C249" s="186">
        <v>9392.8700000000008</v>
      </c>
      <c r="D249" s="186">
        <v>9239.7200000000012</v>
      </c>
      <c r="E249" s="186">
        <v>153.15</v>
      </c>
    </row>
    <row r="250" spans="1:5" x14ac:dyDescent="0.25">
      <c r="A250" s="185" t="s">
        <v>536</v>
      </c>
      <c r="B250" s="185" t="s">
        <v>537</v>
      </c>
      <c r="C250" s="186">
        <v>110.48</v>
      </c>
      <c r="D250" s="186">
        <v>109.7</v>
      </c>
      <c r="E250" s="186">
        <v>0.78</v>
      </c>
    </row>
    <row r="251" spans="1:5" x14ac:dyDescent="0.25">
      <c r="A251" s="185" t="s">
        <v>568</v>
      </c>
      <c r="B251" s="185" t="s">
        <v>569</v>
      </c>
      <c r="C251" s="186">
        <v>41.230000000000004</v>
      </c>
      <c r="D251" s="186">
        <v>40.56</v>
      </c>
      <c r="E251" s="186">
        <v>0.67</v>
      </c>
    </row>
    <row r="252" spans="1:5" x14ac:dyDescent="0.25">
      <c r="A252" s="185" t="s">
        <v>64</v>
      </c>
      <c r="B252" s="185" t="s">
        <v>65</v>
      </c>
      <c r="C252" s="186">
        <v>9693.8799999999992</v>
      </c>
      <c r="D252" s="186">
        <v>9564.0999999999985</v>
      </c>
      <c r="E252" s="186">
        <v>129.78</v>
      </c>
    </row>
    <row r="253" spans="1:5" x14ac:dyDescent="0.25">
      <c r="A253" s="185" t="s">
        <v>90</v>
      </c>
      <c r="B253" s="185" t="s">
        <v>91</v>
      </c>
      <c r="C253" s="186">
        <v>7129.5299999999988</v>
      </c>
      <c r="D253" s="186">
        <v>7041.9699999999984</v>
      </c>
      <c r="E253" s="186">
        <v>87.56</v>
      </c>
    </row>
    <row r="254" spans="1:5" x14ac:dyDescent="0.25">
      <c r="A254" s="185" t="s">
        <v>386</v>
      </c>
      <c r="B254" s="185" t="s">
        <v>387</v>
      </c>
      <c r="C254" s="186">
        <v>547.81000000000006</v>
      </c>
      <c r="D254" s="186">
        <v>546.37</v>
      </c>
      <c r="E254" s="186">
        <v>1.44</v>
      </c>
    </row>
    <row r="255" spans="1:5" x14ac:dyDescent="0.25">
      <c r="A255" s="185" t="s">
        <v>358</v>
      </c>
      <c r="B255" s="185" t="s">
        <v>359</v>
      </c>
      <c r="C255" s="186">
        <v>1381.2099999999998</v>
      </c>
      <c r="D255" s="186">
        <v>1378.7699999999998</v>
      </c>
      <c r="E255" s="186">
        <v>2.44</v>
      </c>
    </row>
    <row r="256" spans="1:5" x14ac:dyDescent="0.25">
      <c r="A256" s="185" t="s">
        <v>68</v>
      </c>
      <c r="B256" s="185" t="s">
        <v>69</v>
      </c>
      <c r="C256" s="186">
        <v>9289.340000000002</v>
      </c>
      <c r="D256" s="186">
        <v>9164.2300000000014</v>
      </c>
      <c r="E256" s="186">
        <v>125.11</v>
      </c>
    </row>
    <row r="257" spans="1:5" x14ac:dyDescent="0.25">
      <c r="A257" s="185" t="s">
        <v>262</v>
      </c>
      <c r="B257" s="185" t="s">
        <v>263</v>
      </c>
      <c r="C257" s="186">
        <v>1191.3499999999997</v>
      </c>
      <c r="D257" s="186">
        <v>1186.7899999999997</v>
      </c>
      <c r="E257" s="186">
        <v>4.5599999999999996</v>
      </c>
    </row>
    <row r="258" spans="1:5" x14ac:dyDescent="0.25">
      <c r="A258" s="185" t="s">
        <v>464</v>
      </c>
      <c r="B258" s="185" t="s">
        <v>465</v>
      </c>
      <c r="C258" s="186">
        <v>218.36</v>
      </c>
      <c r="D258" s="186">
        <v>209.8</v>
      </c>
      <c r="E258" s="186">
        <v>8.56</v>
      </c>
    </row>
    <row r="259" spans="1:5" x14ac:dyDescent="0.25">
      <c r="A259" s="185" t="s">
        <v>6</v>
      </c>
      <c r="B259" s="185" t="s">
        <v>7</v>
      </c>
      <c r="C259" s="186">
        <v>29229.69</v>
      </c>
      <c r="D259" s="186">
        <v>28794.02</v>
      </c>
      <c r="E259" s="186">
        <v>435.67</v>
      </c>
    </row>
    <row r="260" spans="1:5" x14ac:dyDescent="0.25">
      <c r="A260" s="185" t="s">
        <v>442</v>
      </c>
      <c r="B260" s="185" t="s">
        <v>443</v>
      </c>
      <c r="C260" s="186">
        <v>826.18999999999983</v>
      </c>
      <c r="D260" s="186">
        <v>826.18999999999983</v>
      </c>
      <c r="E260" s="186">
        <v>0</v>
      </c>
    </row>
    <row r="261" spans="1:5" x14ac:dyDescent="0.25">
      <c r="A261" s="188" t="s">
        <v>550</v>
      </c>
      <c r="B261" s="185" t="s">
        <v>551</v>
      </c>
      <c r="C261" s="186">
        <v>48.440000000000005</v>
      </c>
      <c r="D261" s="186">
        <v>47.550000000000004</v>
      </c>
      <c r="E261" s="186">
        <v>0.89</v>
      </c>
    </row>
    <row r="262" spans="1:5" x14ac:dyDescent="0.25">
      <c r="A262" s="185" t="s">
        <v>492</v>
      </c>
      <c r="B262" s="185" t="s">
        <v>493</v>
      </c>
      <c r="C262" s="186">
        <v>153.47000000000003</v>
      </c>
      <c r="D262" s="186">
        <v>153.25000000000003</v>
      </c>
      <c r="E262" s="186">
        <v>0.22</v>
      </c>
    </row>
    <row r="263" spans="1:5" x14ac:dyDescent="0.25">
      <c r="A263" s="185" t="s">
        <v>128</v>
      </c>
      <c r="B263" s="185" t="s">
        <v>129</v>
      </c>
      <c r="C263" s="186">
        <v>4853.6699999999983</v>
      </c>
      <c r="D263" s="186">
        <v>4794.8899999999985</v>
      </c>
      <c r="E263" s="186">
        <v>58.78</v>
      </c>
    </row>
    <row r="264" spans="1:5" x14ac:dyDescent="0.25">
      <c r="A264" s="185" t="s">
        <v>606</v>
      </c>
      <c r="B264" s="185" t="s">
        <v>607</v>
      </c>
      <c r="C264" s="186">
        <v>13</v>
      </c>
      <c r="D264" s="186">
        <v>13</v>
      </c>
      <c r="E264" s="186">
        <v>0</v>
      </c>
    </row>
    <row r="265" spans="1:5" x14ac:dyDescent="0.25">
      <c r="A265" s="185" t="s">
        <v>598</v>
      </c>
      <c r="B265" s="185" t="s">
        <v>599</v>
      </c>
      <c r="C265" s="186">
        <v>787.4</v>
      </c>
      <c r="D265" s="186">
        <v>787.4</v>
      </c>
      <c r="E265" s="186">
        <v>0</v>
      </c>
    </row>
    <row r="266" spans="1:5" x14ac:dyDescent="0.25">
      <c r="A266" s="185" t="s">
        <v>610</v>
      </c>
      <c r="B266" s="185" t="s">
        <v>611</v>
      </c>
      <c r="C266" s="186">
        <v>11.739999999999998</v>
      </c>
      <c r="D266" s="186">
        <v>11.739999999999998</v>
      </c>
      <c r="E266" s="186">
        <v>0</v>
      </c>
    </row>
    <row r="267" spans="1:5" x14ac:dyDescent="0.25">
      <c r="A267" s="185" t="s">
        <v>170</v>
      </c>
      <c r="B267" s="185" t="s">
        <v>171</v>
      </c>
      <c r="C267" s="186">
        <v>3042.0700000000006</v>
      </c>
      <c r="D267" s="186">
        <v>3002.5100000000007</v>
      </c>
      <c r="E267" s="186">
        <v>39.56</v>
      </c>
    </row>
    <row r="268" spans="1:5" x14ac:dyDescent="0.25">
      <c r="A268" s="185" t="s">
        <v>584</v>
      </c>
      <c r="B268" s="185" t="s">
        <v>585</v>
      </c>
      <c r="C268" s="186">
        <v>32.1</v>
      </c>
      <c r="D268" s="186">
        <v>32.1</v>
      </c>
      <c r="E268" s="186">
        <v>0</v>
      </c>
    </row>
    <row r="269" spans="1:5" x14ac:dyDescent="0.25">
      <c r="A269" s="185" t="s">
        <v>306</v>
      </c>
      <c r="B269" s="185" t="s">
        <v>307</v>
      </c>
      <c r="C269" s="186">
        <v>743.12999999999988</v>
      </c>
      <c r="D269" s="186">
        <v>732.90999999999985</v>
      </c>
      <c r="E269" s="186">
        <v>10.220000000000001</v>
      </c>
    </row>
    <row r="270" spans="1:5" x14ac:dyDescent="0.25">
      <c r="A270" s="185" t="s">
        <v>220</v>
      </c>
      <c r="B270" s="185" t="s">
        <v>221</v>
      </c>
      <c r="C270" s="186">
        <v>2195.6099999999997</v>
      </c>
      <c r="D270" s="186">
        <v>2158.39</v>
      </c>
      <c r="E270" s="186">
        <v>37.22</v>
      </c>
    </row>
    <row r="271" spans="1:5" x14ac:dyDescent="0.25">
      <c r="A271" s="185" t="s">
        <v>998</v>
      </c>
      <c r="B271" s="185" t="s">
        <v>1001</v>
      </c>
      <c r="C271" s="186">
        <v>566.80000000000007</v>
      </c>
      <c r="D271" s="186">
        <v>566.80000000000007</v>
      </c>
      <c r="E271" s="186">
        <v>0</v>
      </c>
    </row>
    <row r="272" spans="1:5" x14ac:dyDescent="0.25">
      <c r="A272" s="187" t="s">
        <v>514</v>
      </c>
      <c r="B272" s="185" t="s">
        <v>515</v>
      </c>
      <c r="C272" s="186">
        <v>102.4</v>
      </c>
      <c r="D272" s="186">
        <v>102.4</v>
      </c>
      <c r="E272" s="186">
        <v>0</v>
      </c>
    </row>
    <row r="273" spans="1:5" x14ac:dyDescent="0.25">
      <c r="A273" s="188" t="s">
        <v>480</v>
      </c>
      <c r="B273" s="185" t="s">
        <v>481</v>
      </c>
      <c r="C273" s="186">
        <v>211.44</v>
      </c>
      <c r="D273" s="186">
        <v>211.44</v>
      </c>
      <c r="E273" s="186">
        <v>0</v>
      </c>
    </row>
    <row r="274" spans="1:5" x14ac:dyDescent="0.25">
      <c r="A274" s="190" t="s">
        <v>554</v>
      </c>
      <c r="B274" s="185" t="s">
        <v>555</v>
      </c>
      <c r="C274" s="186">
        <v>96.14</v>
      </c>
      <c r="D274" s="186">
        <v>95.7</v>
      </c>
      <c r="E274" s="186">
        <v>0.44</v>
      </c>
    </row>
    <row r="275" spans="1:5" x14ac:dyDescent="0.25">
      <c r="A275" s="185" t="s">
        <v>74</v>
      </c>
      <c r="B275" s="185" t="s">
        <v>75</v>
      </c>
      <c r="C275" s="186">
        <v>10656.160000000002</v>
      </c>
      <c r="D275" s="186">
        <v>10489.490000000002</v>
      </c>
      <c r="E275" s="186">
        <v>166.67</v>
      </c>
    </row>
    <row r="276" spans="1:5" x14ac:dyDescent="0.25">
      <c r="A276" s="185" t="s">
        <v>98</v>
      </c>
      <c r="B276" s="185" t="s">
        <v>99</v>
      </c>
      <c r="C276" s="186">
        <v>6049.52</v>
      </c>
      <c r="D276" s="186">
        <v>5985.1900000000005</v>
      </c>
      <c r="E276" s="186">
        <v>64.33</v>
      </c>
    </row>
    <row r="277" spans="1:5" x14ac:dyDescent="0.25">
      <c r="A277" s="185" t="s">
        <v>544</v>
      </c>
      <c r="B277" s="185" t="s">
        <v>545</v>
      </c>
      <c r="C277" s="186">
        <v>75.759999999999991</v>
      </c>
      <c r="D277" s="186">
        <v>75.759999999999991</v>
      </c>
      <c r="E277" s="186">
        <v>0</v>
      </c>
    </row>
    <row r="278" spans="1:5" x14ac:dyDescent="0.25">
      <c r="A278" s="191" t="s">
        <v>10</v>
      </c>
      <c r="B278" s="185" t="s">
        <v>11</v>
      </c>
      <c r="C278" s="186">
        <v>28161.170000000002</v>
      </c>
      <c r="D278" s="186">
        <v>27780.560000000001</v>
      </c>
      <c r="E278" s="186">
        <v>380.61</v>
      </c>
    </row>
    <row r="279" spans="1:5" x14ac:dyDescent="0.25">
      <c r="A279" s="185" t="s">
        <v>490</v>
      </c>
      <c r="B279" s="185" t="s">
        <v>491</v>
      </c>
      <c r="C279" s="186">
        <v>188.4</v>
      </c>
      <c r="D279" s="186">
        <v>187.4</v>
      </c>
      <c r="E279" s="186">
        <v>1</v>
      </c>
    </row>
    <row r="280" spans="1:5" x14ac:dyDescent="0.25">
      <c r="A280" s="185" t="s">
        <v>82</v>
      </c>
      <c r="B280" s="185" t="s">
        <v>83</v>
      </c>
      <c r="C280" s="186">
        <v>9126.44</v>
      </c>
      <c r="D280" s="186">
        <v>9017.77</v>
      </c>
      <c r="E280" s="186">
        <v>108.67</v>
      </c>
    </row>
    <row r="281" spans="1:5" x14ac:dyDescent="0.25">
      <c r="A281" s="185" t="s">
        <v>470</v>
      </c>
      <c r="B281" s="185" t="s">
        <v>471</v>
      </c>
      <c r="C281" s="186">
        <v>194.01</v>
      </c>
      <c r="D281" s="186">
        <v>193.23</v>
      </c>
      <c r="E281" s="186">
        <v>0.78</v>
      </c>
    </row>
    <row r="282" spans="1:5" x14ac:dyDescent="0.25">
      <c r="A282" s="185" t="s">
        <v>276</v>
      </c>
      <c r="B282" s="185" t="s">
        <v>277</v>
      </c>
      <c r="C282" s="186">
        <v>1276.9899999999998</v>
      </c>
      <c r="D282" s="186">
        <v>1260.9899999999998</v>
      </c>
      <c r="E282" s="186">
        <v>16</v>
      </c>
    </row>
    <row r="283" spans="1:5" x14ac:dyDescent="0.25">
      <c r="A283" s="185" t="s">
        <v>508</v>
      </c>
      <c r="B283" s="185" t="s">
        <v>509</v>
      </c>
      <c r="C283" s="186">
        <v>250.91000000000003</v>
      </c>
      <c r="D283" s="186">
        <v>249.91000000000003</v>
      </c>
      <c r="E283" s="186">
        <v>1</v>
      </c>
    </row>
    <row r="284" spans="1:5" x14ac:dyDescent="0.25">
      <c r="A284" s="185" t="s">
        <v>330</v>
      </c>
      <c r="B284" s="185" t="s">
        <v>331</v>
      </c>
      <c r="C284" s="186">
        <v>913.18999999999994</v>
      </c>
      <c r="D284" s="186">
        <v>906.18999999999994</v>
      </c>
      <c r="E284" s="186">
        <v>7</v>
      </c>
    </row>
    <row r="285" spans="1:5" x14ac:dyDescent="0.25">
      <c r="A285" s="185" t="s">
        <v>282</v>
      </c>
      <c r="B285" s="185" t="s">
        <v>283</v>
      </c>
      <c r="C285" s="186">
        <v>1062.1300000000001</v>
      </c>
      <c r="D285" s="186">
        <v>1055.24</v>
      </c>
      <c r="E285" s="186">
        <v>6.89</v>
      </c>
    </row>
    <row r="286" spans="1:5" x14ac:dyDescent="0.25">
      <c r="A286" s="185" t="s">
        <v>138</v>
      </c>
      <c r="B286" s="185" t="s">
        <v>139</v>
      </c>
      <c r="C286" s="186">
        <v>3903.7</v>
      </c>
      <c r="D286" s="186">
        <v>3865.81</v>
      </c>
      <c r="E286" s="186">
        <v>37.89</v>
      </c>
    </row>
    <row r="287" spans="1:5" x14ac:dyDescent="0.25">
      <c r="A287" s="185" t="s">
        <v>468</v>
      </c>
      <c r="B287" s="185" t="s">
        <v>469</v>
      </c>
      <c r="C287" s="186">
        <v>248.06</v>
      </c>
      <c r="D287" s="186">
        <v>248.06</v>
      </c>
      <c r="E287" s="186">
        <v>0</v>
      </c>
    </row>
    <row r="288" spans="1:5" x14ac:dyDescent="0.25">
      <c r="A288" s="185" t="s">
        <v>348</v>
      </c>
      <c r="B288" s="185" t="s">
        <v>349</v>
      </c>
      <c r="C288" s="186">
        <v>673.68</v>
      </c>
      <c r="D288" s="186">
        <v>665.12</v>
      </c>
      <c r="E288" s="186">
        <v>8.56</v>
      </c>
    </row>
    <row r="289" spans="1:5" x14ac:dyDescent="0.25">
      <c r="A289" s="185" t="s">
        <v>460</v>
      </c>
      <c r="B289" s="185" t="s">
        <v>461</v>
      </c>
      <c r="C289" s="186">
        <v>212.60999999999999</v>
      </c>
      <c r="D289" s="186">
        <v>211.17</v>
      </c>
      <c r="E289" s="186">
        <v>1.44</v>
      </c>
    </row>
    <row r="290" spans="1:5" x14ac:dyDescent="0.25">
      <c r="A290" s="185" t="s">
        <v>182</v>
      </c>
      <c r="B290" s="185" t="s">
        <v>183</v>
      </c>
      <c r="C290" s="186">
        <v>2819.31</v>
      </c>
      <c r="D290" s="186">
        <v>2769.31</v>
      </c>
      <c r="E290" s="186">
        <v>50</v>
      </c>
    </row>
    <row r="291" spans="1:5" x14ac:dyDescent="0.25">
      <c r="A291" s="185" t="s">
        <v>92</v>
      </c>
      <c r="B291" s="185" t="s">
        <v>93</v>
      </c>
      <c r="C291" s="186">
        <v>6791.7500000000009</v>
      </c>
      <c r="D291" s="186">
        <v>6697.9800000000005</v>
      </c>
      <c r="E291" s="186">
        <v>93.77</v>
      </c>
    </row>
    <row r="292" spans="1:5" x14ac:dyDescent="0.25">
      <c r="A292" s="185" t="s">
        <v>356</v>
      </c>
      <c r="B292" s="185" t="s">
        <v>357</v>
      </c>
      <c r="C292" s="186">
        <v>552.87999999999988</v>
      </c>
      <c r="D292" s="186">
        <v>540.09999999999991</v>
      </c>
      <c r="E292" s="186">
        <v>12.78</v>
      </c>
    </row>
    <row r="293" spans="1:5" x14ac:dyDescent="0.25">
      <c r="A293" s="185" t="s">
        <v>112</v>
      </c>
      <c r="B293" s="185" t="s">
        <v>113</v>
      </c>
      <c r="C293" s="186">
        <v>5667.6100000000006</v>
      </c>
      <c r="D293" s="186">
        <v>5600.05</v>
      </c>
      <c r="E293" s="186">
        <v>67.56</v>
      </c>
    </row>
    <row r="294" spans="1:5" x14ac:dyDescent="0.25">
      <c r="A294" s="185" t="s">
        <v>338</v>
      </c>
      <c r="B294" s="185" t="s">
        <v>339</v>
      </c>
      <c r="C294" s="186">
        <v>1021.61</v>
      </c>
      <c r="D294" s="186">
        <v>1014.5</v>
      </c>
      <c r="E294" s="186">
        <v>7.11</v>
      </c>
    </row>
    <row r="295" spans="1:5" x14ac:dyDescent="0.25">
      <c r="A295" s="185" t="s">
        <v>16</v>
      </c>
      <c r="B295" s="185" t="s">
        <v>17</v>
      </c>
      <c r="C295" s="186">
        <v>21475.4</v>
      </c>
      <c r="D295" s="186">
        <v>21227.18</v>
      </c>
      <c r="E295" s="186">
        <v>248.22</v>
      </c>
    </row>
    <row r="296" spans="1:5" x14ac:dyDescent="0.25">
      <c r="A296" s="185" t="s">
        <v>242</v>
      </c>
      <c r="B296" s="185" t="s">
        <v>243</v>
      </c>
      <c r="C296" s="186">
        <v>1439.65</v>
      </c>
      <c r="D296" s="186">
        <v>1421.8700000000001</v>
      </c>
      <c r="E296" s="186">
        <v>17.78</v>
      </c>
    </row>
    <row r="297" spans="1:5" x14ac:dyDescent="0.25">
      <c r="A297" s="185" t="s">
        <v>1000</v>
      </c>
      <c r="B297" s="185" t="s">
        <v>1002</v>
      </c>
      <c r="C297" s="186">
        <v>135.1</v>
      </c>
      <c r="D297" s="186">
        <v>135.1</v>
      </c>
      <c r="E297" s="186">
        <v>0</v>
      </c>
    </row>
    <row r="298" spans="1:5" x14ac:dyDescent="0.25">
      <c r="A298" s="187" t="s">
        <v>398</v>
      </c>
      <c r="B298" s="185" t="s">
        <v>399</v>
      </c>
      <c r="C298" s="186">
        <v>403.80000000000007</v>
      </c>
      <c r="D298" s="186">
        <v>398.80000000000007</v>
      </c>
      <c r="E298" s="186">
        <v>5</v>
      </c>
    </row>
    <row r="299" spans="1:5" x14ac:dyDescent="0.25">
      <c r="A299" s="185" t="s">
        <v>206</v>
      </c>
      <c r="B299" s="185" t="s">
        <v>207</v>
      </c>
      <c r="C299" s="186">
        <v>2338.69</v>
      </c>
      <c r="D299" s="186">
        <v>2312.4700000000003</v>
      </c>
      <c r="E299" s="186">
        <v>26.22</v>
      </c>
    </row>
    <row r="300" spans="1:5" x14ac:dyDescent="0.25">
      <c r="A300" s="185" t="s">
        <v>430</v>
      </c>
      <c r="B300" s="185" t="s">
        <v>431</v>
      </c>
      <c r="C300" s="186">
        <v>282.31</v>
      </c>
      <c r="D300" s="186">
        <v>278.98</v>
      </c>
      <c r="E300" s="186">
        <v>3.33</v>
      </c>
    </row>
    <row r="301" spans="1:5" x14ac:dyDescent="0.25">
      <c r="A301" s="185" t="s">
        <v>108</v>
      </c>
      <c r="B301" s="185" t="s">
        <v>109</v>
      </c>
      <c r="C301" s="186">
        <v>5395.0999999999995</v>
      </c>
      <c r="D301" s="186">
        <v>5330.41</v>
      </c>
      <c r="E301" s="186">
        <v>64.69</v>
      </c>
    </row>
    <row r="302" spans="1:5" x14ac:dyDescent="0.25">
      <c r="A302" s="185" t="s">
        <v>164</v>
      </c>
      <c r="B302" s="185" t="s">
        <v>165</v>
      </c>
      <c r="C302" s="186">
        <v>3137.64</v>
      </c>
      <c r="D302" s="186">
        <v>3116.64</v>
      </c>
      <c r="E302" s="186">
        <v>21</v>
      </c>
    </row>
    <row r="303" spans="1:5" x14ac:dyDescent="0.25">
      <c r="A303" s="43" t="s">
        <v>294</v>
      </c>
      <c r="B303" s="185" t="s">
        <v>295</v>
      </c>
      <c r="C303" s="186">
        <v>923.29999999999984</v>
      </c>
      <c r="D303" s="186">
        <v>907.51999999999987</v>
      </c>
      <c r="E303" s="186">
        <v>15.78</v>
      </c>
    </row>
    <row r="304" spans="1:5" x14ac:dyDescent="0.25">
      <c r="A304" s="185" t="s">
        <v>174</v>
      </c>
      <c r="B304" s="185" t="s">
        <v>175</v>
      </c>
      <c r="C304" s="186">
        <v>2691.6</v>
      </c>
      <c r="D304" s="186">
        <v>2652.6</v>
      </c>
      <c r="E304" s="186">
        <v>39</v>
      </c>
    </row>
    <row r="305" spans="1:5" x14ac:dyDescent="0.25">
      <c r="A305" s="185" t="s">
        <v>574</v>
      </c>
      <c r="B305" s="185" t="s">
        <v>575</v>
      </c>
      <c r="C305" s="186">
        <v>61.01</v>
      </c>
      <c r="D305" s="186">
        <v>59.68</v>
      </c>
      <c r="E305" s="186">
        <v>1.33</v>
      </c>
    </row>
    <row r="306" spans="1:5" x14ac:dyDescent="0.25">
      <c r="A306" s="185" t="s">
        <v>432</v>
      </c>
      <c r="B306" s="185" t="s">
        <v>433</v>
      </c>
      <c r="C306" s="186">
        <v>258.94000000000005</v>
      </c>
      <c r="D306" s="186">
        <v>258.72000000000003</v>
      </c>
      <c r="E306" s="186">
        <v>0.22</v>
      </c>
    </row>
    <row r="307" spans="1:5" x14ac:dyDescent="0.25">
      <c r="A307" s="185" t="s">
        <v>404</v>
      </c>
      <c r="B307" s="185" t="s">
        <v>405</v>
      </c>
      <c r="C307" s="186">
        <v>422.21999999999997</v>
      </c>
      <c r="D307" s="186">
        <v>415.78</v>
      </c>
      <c r="E307" s="186">
        <v>6.44</v>
      </c>
    </row>
    <row r="308" spans="1:5" x14ac:dyDescent="0.25">
      <c r="A308" s="185" t="s">
        <v>86</v>
      </c>
      <c r="B308" s="185" t="s">
        <v>87</v>
      </c>
      <c r="C308" s="186">
        <v>7084.7300000000005</v>
      </c>
      <c r="D308" s="186">
        <v>6983.6200000000008</v>
      </c>
      <c r="E308" s="186">
        <v>101.11</v>
      </c>
    </row>
    <row r="309" spans="1:5" x14ac:dyDescent="0.25">
      <c r="A309" s="185" t="s">
        <v>150</v>
      </c>
      <c r="B309" s="185" t="s">
        <v>151</v>
      </c>
      <c r="C309" s="186">
        <v>3445.8600000000006</v>
      </c>
      <c r="D309" s="186">
        <v>3399.6400000000008</v>
      </c>
      <c r="E309" s="186">
        <v>46.22</v>
      </c>
    </row>
    <row r="310" spans="1:5" x14ac:dyDescent="0.25">
      <c r="A310" s="185" t="s">
        <v>116</v>
      </c>
      <c r="B310" s="185" t="s">
        <v>117</v>
      </c>
      <c r="C310" s="186">
        <v>5408.18</v>
      </c>
      <c r="D310" s="186">
        <v>5344.62</v>
      </c>
      <c r="E310" s="186">
        <v>63.56</v>
      </c>
    </row>
    <row r="311" spans="1:5" x14ac:dyDescent="0.25">
      <c r="A311" s="43" t="s">
        <v>1187</v>
      </c>
      <c r="B311" s="185" t="s">
        <v>1223</v>
      </c>
      <c r="C311" s="186">
        <v>100.14000000000001</v>
      </c>
      <c r="D311" s="186">
        <v>100.14000000000001</v>
      </c>
      <c r="E311" s="186">
        <v>0</v>
      </c>
    </row>
    <row r="312" spans="1:5" x14ac:dyDescent="0.25">
      <c r="A312" s="187" t="s">
        <v>400</v>
      </c>
      <c r="B312" s="188" t="s">
        <v>401</v>
      </c>
      <c r="C312" s="186">
        <v>352.81000000000006</v>
      </c>
      <c r="D312" s="186">
        <v>348.92000000000007</v>
      </c>
      <c r="E312" s="186">
        <v>3.89</v>
      </c>
    </row>
    <row r="313" spans="1:5" x14ac:dyDescent="0.25">
      <c r="A313" s="185" t="s">
        <v>156</v>
      </c>
      <c r="B313" s="185" t="s">
        <v>157</v>
      </c>
      <c r="C313" s="186">
        <v>4406.3300000000008</v>
      </c>
      <c r="D313" s="186">
        <v>4347.7700000000004</v>
      </c>
      <c r="E313" s="186">
        <v>58.56</v>
      </c>
    </row>
    <row r="314" spans="1:5" x14ac:dyDescent="0.25">
      <c r="A314" s="185" t="s">
        <v>274</v>
      </c>
      <c r="B314" s="185" t="s">
        <v>275</v>
      </c>
      <c r="C314" s="186">
        <v>1096.7399999999998</v>
      </c>
      <c r="D314" s="186">
        <v>1085.4099999999999</v>
      </c>
      <c r="E314" s="186">
        <v>11.33</v>
      </c>
    </row>
    <row r="315" spans="1:5" x14ac:dyDescent="0.25">
      <c r="A315" s="185" t="s">
        <v>1196</v>
      </c>
      <c r="B315" s="185" t="s">
        <v>1195</v>
      </c>
      <c r="C315" s="186">
        <v>142.22</v>
      </c>
      <c r="D315" s="186">
        <v>142.22</v>
      </c>
      <c r="E315" s="186">
        <v>0</v>
      </c>
    </row>
    <row r="316" spans="1:5" x14ac:dyDescent="0.25">
      <c r="A316" s="187" t="s">
        <v>438</v>
      </c>
      <c r="B316" s="188" t="s">
        <v>439</v>
      </c>
      <c r="C316" s="186">
        <v>226.27000000000004</v>
      </c>
      <c r="D316" s="186">
        <v>226.27000000000004</v>
      </c>
      <c r="E316" s="186">
        <v>0</v>
      </c>
    </row>
    <row r="317" spans="1:5" x14ac:dyDescent="0.25">
      <c r="A317" s="185" t="s">
        <v>418</v>
      </c>
      <c r="B317" s="185" t="s">
        <v>419</v>
      </c>
      <c r="C317" s="186">
        <v>355.16</v>
      </c>
      <c r="D317" s="186">
        <v>350.94</v>
      </c>
      <c r="E317" s="186">
        <v>4.22</v>
      </c>
    </row>
    <row r="318" spans="1:5" x14ac:dyDescent="0.25">
      <c r="A318" s="185" t="s">
        <v>506</v>
      </c>
      <c r="B318" s="185" t="s">
        <v>507</v>
      </c>
      <c r="C318" s="186">
        <v>122.83</v>
      </c>
      <c r="D318" s="186">
        <v>122.83</v>
      </c>
      <c r="E318" s="186">
        <v>0</v>
      </c>
    </row>
    <row r="319" spans="1:5" x14ac:dyDescent="0.25">
      <c r="A319" s="185" t="s">
        <v>340</v>
      </c>
      <c r="B319" s="185" t="s">
        <v>341</v>
      </c>
      <c r="C319" s="186">
        <v>773.02</v>
      </c>
      <c r="D319" s="186">
        <v>765.13</v>
      </c>
      <c r="E319" s="186">
        <v>7.89</v>
      </c>
    </row>
    <row r="320" spans="1:5" x14ac:dyDescent="0.25">
      <c r="A320" s="185" t="s">
        <v>496</v>
      </c>
      <c r="B320" s="185" t="s">
        <v>497</v>
      </c>
      <c r="C320" s="186">
        <v>174.41</v>
      </c>
      <c r="D320" s="186">
        <v>174.41</v>
      </c>
      <c r="E320" s="186">
        <v>0</v>
      </c>
    </row>
    <row r="321" spans="1:5" x14ac:dyDescent="0.25">
      <c r="A321" s="185" t="s">
        <v>538</v>
      </c>
      <c r="B321" s="185" t="s">
        <v>539</v>
      </c>
      <c r="C321" s="186">
        <v>91.679999999999993</v>
      </c>
      <c r="D321" s="186">
        <v>90.789999999999992</v>
      </c>
      <c r="E321" s="186">
        <v>0.89</v>
      </c>
    </row>
    <row r="322" spans="1:5" x14ac:dyDescent="0.25">
      <c r="A322" s="185" t="s">
        <v>204</v>
      </c>
      <c r="B322" s="185" t="s">
        <v>205</v>
      </c>
      <c r="C322" s="186">
        <v>2399.0900000000006</v>
      </c>
      <c r="D322" s="186">
        <v>2368.0900000000006</v>
      </c>
      <c r="E322" s="186">
        <v>31</v>
      </c>
    </row>
    <row r="323" spans="1:5" x14ac:dyDescent="0.25">
      <c r="A323" s="185" t="s">
        <v>1165</v>
      </c>
      <c r="B323" s="185" t="s">
        <v>1167</v>
      </c>
      <c r="C323" s="186">
        <v>132.20000000000002</v>
      </c>
      <c r="D323" s="186">
        <v>132.20000000000002</v>
      </c>
      <c r="E323" s="186">
        <v>0</v>
      </c>
    </row>
    <row r="324" spans="1:5" x14ac:dyDescent="0.25">
      <c r="A324" s="187" t="s">
        <v>40</v>
      </c>
      <c r="B324" s="185" t="s">
        <v>41</v>
      </c>
      <c r="C324" s="186">
        <v>15593.84</v>
      </c>
      <c r="D324" s="186">
        <v>15309.02</v>
      </c>
      <c r="E324" s="186">
        <v>284.82</v>
      </c>
    </row>
    <row r="325" spans="1:5" x14ac:dyDescent="0.25">
      <c r="A325" s="185" t="s">
        <v>110</v>
      </c>
      <c r="B325" s="185" t="s">
        <v>111</v>
      </c>
      <c r="C325" s="186">
        <v>5639.05</v>
      </c>
      <c r="D325" s="186">
        <v>5567.83</v>
      </c>
      <c r="E325" s="186">
        <v>71.22</v>
      </c>
    </row>
    <row r="326" spans="1:5" x14ac:dyDescent="0.25">
      <c r="A326" s="185" t="s">
        <v>270</v>
      </c>
      <c r="B326" s="185" t="s">
        <v>271</v>
      </c>
      <c r="C326" s="186">
        <v>1326.36</v>
      </c>
      <c r="D326" s="186">
        <v>1324.1399999999999</v>
      </c>
      <c r="E326" s="186">
        <v>2.2200000000000002</v>
      </c>
    </row>
    <row r="327" spans="1:5" x14ac:dyDescent="0.25">
      <c r="A327" s="43"/>
      <c r="B327" s="185"/>
      <c r="C327" s="186"/>
      <c r="D327" s="186"/>
      <c r="E327" s="186"/>
    </row>
  </sheetData>
  <conditionalFormatting sqref="A313">
    <cfRule type="duplicateValues" dxfId="3" priority="1"/>
  </conditionalFormatting>
  <conditionalFormatting sqref="A314:A324 A7:A312">
    <cfRule type="duplicateValues" dxfId="2" priority="4"/>
  </conditionalFormatting>
  <conditionalFormatting sqref="B313">
    <cfRule type="duplicateValues" dxfId="1" priority="2"/>
  </conditionalFormatting>
  <conditionalFormatting sqref="B314:B316 B7:B312">
    <cfRule type="duplicateValues" dxfId="0" priority="3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25-26 vs. 24-25 Fed CC Template</vt:lpstr>
      <vt:lpstr>CCDDD</vt:lpstr>
      <vt:lpstr>TEST</vt:lpstr>
      <vt:lpstr>Detail</vt:lpstr>
      <vt:lpstr>Items</vt:lpstr>
      <vt:lpstr>EXP</vt:lpstr>
      <vt:lpstr>REV</vt:lpstr>
      <vt:lpstr>Enroll</vt:lpstr>
      <vt:lpstr>'25-26 vs. 24-25 Fed CC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Fortunato</dc:creator>
  <cp:lastModifiedBy>Carrie Hert</cp:lastModifiedBy>
  <cp:lastPrinted>2022-12-22T17:15:47Z</cp:lastPrinted>
  <dcterms:created xsi:type="dcterms:W3CDTF">2018-04-23T17:52:49Z</dcterms:created>
  <dcterms:modified xsi:type="dcterms:W3CDTF">2026-05-19T19:20:10Z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2024-11-22T21:51:49Z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d8494dd1-5e56-4ded-9665-0f7f886d5c4a</vt:lpwstr>
  </property>
  <property fmtid="{D5CDD505-2E9C-101B-9397-08002B2CF9AE}" pid="8" name="MSIP_Label_9145f431-4c8c-42c6-a5a5-ba6d3bdea585_ContentBits">
    <vt:lpwstr>0</vt:lpwstr>
  </property>
</Properties>
</file>