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S Drive Files\Website\"/>
    </mc:Choice>
  </mc:AlternateContent>
  <xr:revisionPtr revIDLastSave="0" documentId="13_ncr:1_{CB0C103A-B517-44B0-A7E2-6893C570EF96}" xr6:coauthVersionLast="47" xr6:coauthVersionMax="47" xr10:uidLastSave="{00000000-0000-0000-0000-000000000000}"/>
  <bookViews>
    <workbookView xWindow="28680" yWindow="-120" windowWidth="29040" windowHeight="15720" xr2:uid="{D34EEDE9-FCAA-4AB6-967B-95022133E751}"/>
  </bookViews>
  <sheets>
    <sheet name="FFY 2026" sheetId="1" r:id="rId1"/>
  </sheets>
  <externalReferences>
    <externalReference r:id="rId2"/>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year_row">'[1]Prior Year Funding Levels'!$A$1:$AN$1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113" i="1" l="1"/>
  <c r="Z256" i="1"/>
  <c r="X253" i="1"/>
  <c r="Z216" i="1"/>
  <c r="U210" i="1"/>
  <c r="Q208" i="1"/>
  <c r="H202" i="1"/>
  <c r="J195" i="1"/>
  <c r="J194" i="1"/>
  <c r="I194" i="1"/>
  <c r="I188" i="1"/>
  <c r="A184" i="1"/>
  <c r="I173" i="1"/>
  <c r="I160" i="1"/>
  <c r="I154" i="1"/>
  <c r="I149" i="1"/>
  <c r="I145" i="1"/>
  <c r="I141" i="1"/>
  <c r="I138" i="1"/>
  <c r="I135" i="1"/>
  <c r="I132" i="1"/>
  <c r="I129" i="1"/>
  <c r="I125" i="1"/>
  <c r="J120" i="1"/>
  <c r="I120" i="1"/>
  <c r="J116" i="1"/>
  <c r="I116" i="1"/>
  <c r="I110" i="1"/>
  <c r="I97" i="1"/>
  <c r="I96" i="1"/>
  <c r="B95" i="1"/>
  <c r="J91" i="1"/>
  <c r="I58" i="1"/>
  <c r="H47" i="1"/>
  <c r="I45" i="1"/>
  <c r="I41" i="1"/>
  <c r="I39" i="1"/>
  <c r="I35" i="1"/>
  <c r="I24" i="1"/>
  <c r="I21" i="1"/>
  <c r="I12" i="1"/>
  <c r="I2" i="1"/>
  <c r="H2" i="1"/>
  <c r="G2" i="1"/>
  <c r="F2" i="1"/>
  <c r="E2" i="1"/>
  <c r="D2" i="1"/>
  <c r="B2" i="1"/>
  <c r="H118" i="1" l="1"/>
  <c r="H122" i="1" s="1"/>
  <c r="S279" i="1"/>
  <c r="S278" i="1"/>
  <c r="S277" i="1"/>
  <c r="S276" i="1"/>
  <c r="S274" i="1"/>
  <c r="V273" i="1"/>
  <c r="S273" i="1"/>
  <c r="Z272" i="1"/>
  <c r="S272" i="1"/>
  <c r="S271" i="1"/>
  <c r="U270" i="1"/>
  <c r="S270" i="1"/>
  <c r="S269" i="1"/>
  <c r="S268" i="1"/>
  <c r="V228" i="1"/>
  <c r="Y226" i="1"/>
  <c r="J202" i="1"/>
  <c r="J203" i="1" s="1"/>
  <c r="D111" i="1"/>
  <c r="I9" i="1"/>
  <c r="I3" i="1"/>
  <c r="I5" i="1" s="1"/>
  <c r="H82" i="1"/>
  <c r="E111" i="1"/>
  <c r="H88" i="1"/>
  <c r="H78" i="1"/>
  <c r="H72" i="1"/>
  <c r="I62" i="1"/>
  <c r="B32" i="1"/>
  <c r="A110" i="1"/>
  <c r="H127" i="1" l="1"/>
  <c r="H130" i="1" s="1"/>
  <c r="Z217" i="1"/>
  <c r="X228" i="1" s="1"/>
  <c r="H13" i="1"/>
  <c r="J11" i="1"/>
  <c r="J64" i="1"/>
  <c r="J62" i="1"/>
  <c r="J66" i="1"/>
  <c r="J47" i="1"/>
  <c r="J48" i="1" s="1"/>
  <c r="U231" i="1"/>
  <c r="J110" i="1"/>
  <c r="H96" i="1"/>
  <c r="H134" i="1" l="1"/>
  <c r="H137" i="1" s="1"/>
  <c r="H140" i="1" s="1"/>
  <c r="H143" i="1" s="1"/>
  <c r="H147" i="1" s="1"/>
  <c r="H152" i="1" s="1"/>
  <c r="H157" i="1" s="1"/>
  <c r="H166" i="1" s="1"/>
  <c r="H175" i="1" s="1"/>
  <c r="I99" i="1"/>
  <c r="J99" i="1" s="1"/>
  <c r="J98" i="1"/>
  <c r="Z258" i="1"/>
  <c r="K122" i="1" l="1"/>
  <c r="J152" i="1"/>
  <c r="K134" i="1"/>
  <c r="J118" i="1"/>
  <c r="K152" i="1"/>
  <c r="J134" i="1"/>
  <c r="K118" i="1"/>
  <c r="K127" i="1"/>
  <c r="K143" i="1"/>
  <c r="K157" i="1"/>
  <c r="K140" i="1"/>
  <c r="J127" i="1"/>
  <c r="J166" i="1"/>
  <c r="J130" i="1"/>
  <c r="K137" i="1"/>
  <c r="J147" i="1"/>
  <c r="J157" i="1"/>
  <c r="K166" i="1"/>
  <c r="J140" i="1"/>
  <c r="I177" i="1"/>
  <c r="K113" i="1"/>
  <c r="J122" i="1"/>
  <c r="J143" i="1"/>
  <c r="J113" i="1"/>
  <c r="K130" i="1"/>
  <c r="J137" i="1"/>
  <c r="K147" i="1"/>
  <c r="J177" i="1"/>
  <c r="J179" i="1" s="1"/>
  <c r="J181" i="1"/>
  <c r="K101" i="1"/>
  <c r="J100" i="1"/>
  <c r="J103" i="1"/>
  <c r="J101" i="1"/>
  <c r="J104" i="1"/>
  <c r="J1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F5047A6D-4572-4CA2-8EC4-C1F1E54D2D66}">
      <text>
        <r>
          <rPr>
            <b/>
            <sz val="8"/>
            <color indexed="81"/>
            <rFont val="Tahoma"/>
            <family val="2"/>
          </rPr>
          <t xml:space="preserve">See 20 U.S.C. 1411(e)(1)(A) and 1411(e)(3)(B)(i)
</t>
        </r>
      </text>
    </comment>
    <comment ref="B23" authorId="0" shapeId="0" xr:uid="{A0F40E5C-1195-4ECF-8176-8B817AB79098}">
      <text>
        <r>
          <rPr>
            <b/>
            <sz val="8"/>
            <color indexed="81"/>
            <rFont val="Tahoma"/>
            <family val="2"/>
          </rPr>
          <t xml:space="preserve">See 20 U.S.C. 1411(e)(1)(D)
</t>
        </r>
      </text>
    </comment>
    <comment ref="B27" authorId="0" shapeId="0" xr:uid="{0B95620F-B04D-410A-A3B7-616B264C6914}">
      <text>
        <r>
          <rPr>
            <b/>
            <sz val="8"/>
            <color indexed="81"/>
            <rFont val="Tahoma"/>
            <family val="2"/>
          </rPr>
          <t>See 20 U.S.C. 1411(e)(6) and 1411(e)(1)(B)</t>
        </r>
        <r>
          <rPr>
            <sz val="8"/>
            <color indexed="81"/>
            <rFont val="Tahoma"/>
            <family val="2"/>
          </rPr>
          <t xml:space="preserve">
</t>
        </r>
      </text>
    </comment>
    <comment ref="C34" authorId="0" shapeId="0" xr:uid="{F43D1128-E2F1-4581-AB0C-BF4C989866EA}">
      <text>
        <r>
          <rPr>
            <b/>
            <sz val="8"/>
            <color indexed="81"/>
            <rFont val="Tahoma"/>
            <family val="2"/>
          </rPr>
          <t>See 20 U.S.C. 1411(e)(2)(C)(i)</t>
        </r>
        <r>
          <rPr>
            <sz val="8"/>
            <color indexed="81"/>
            <rFont val="Tahoma"/>
            <family val="2"/>
          </rPr>
          <t xml:space="preserve">
</t>
        </r>
      </text>
    </comment>
    <comment ref="C37" authorId="0" shapeId="0" xr:uid="{A1C4BCCA-9918-4205-A65A-4CFBEE6872E5}">
      <text>
        <r>
          <rPr>
            <b/>
            <sz val="8"/>
            <color indexed="81"/>
            <rFont val="Tahoma"/>
            <family val="2"/>
          </rPr>
          <t>See 20 U.S.C. 1411(e)(2)(C)(iii)</t>
        </r>
        <r>
          <rPr>
            <sz val="8"/>
            <color indexed="81"/>
            <rFont val="Tahoma"/>
            <family val="2"/>
          </rPr>
          <t xml:space="preserve">
</t>
        </r>
      </text>
    </comment>
    <comment ref="C41" authorId="0" shapeId="0" xr:uid="{C0377006-1C84-4F30-89A7-3FD4DC975232}">
      <text>
        <r>
          <rPr>
            <b/>
            <sz val="8"/>
            <color indexed="81"/>
            <rFont val="Tahoma"/>
            <family val="2"/>
          </rPr>
          <t>See 20 U.S.C. 1411(e)(2)(C)(vii)</t>
        </r>
        <r>
          <rPr>
            <sz val="8"/>
            <color indexed="81"/>
            <rFont val="Tahoma"/>
            <family val="2"/>
          </rPr>
          <t xml:space="preserve">
</t>
        </r>
      </text>
    </comment>
    <comment ref="C43" authorId="0" shapeId="0" xr:uid="{814688C7-2DB1-4280-B776-D55AEF657CAE}">
      <text>
        <r>
          <rPr>
            <b/>
            <sz val="8"/>
            <color indexed="81"/>
            <rFont val="Tahoma"/>
            <family val="2"/>
          </rPr>
          <t>See 20 U.S.C. 1411(e)(2)(C)(viii)</t>
        </r>
        <r>
          <rPr>
            <sz val="8"/>
            <color indexed="81"/>
            <rFont val="Tahoma"/>
            <family val="2"/>
          </rPr>
          <t xml:space="preserve">
</t>
        </r>
      </text>
    </comment>
    <comment ref="B50" authorId="0" shapeId="0" xr:uid="{C7CC3ECA-5C7C-42C6-9A86-60AAF859FDAD}">
      <text>
        <r>
          <rPr>
            <b/>
            <sz val="8"/>
            <color indexed="81"/>
            <rFont val="Tahoma"/>
            <family val="2"/>
          </rPr>
          <t xml:space="preserve">See 20 U.S.C. 1411(e)(7)
</t>
        </r>
      </text>
    </comment>
    <comment ref="A70" authorId="0" shapeId="0" xr:uid="{655DC751-2BCF-4421-8B98-D501F5D86FAB}">
      <text>
        <r>
          <rPr>
            <b/>
            <sz val="8"/>
            <color indexed="81"/>
            <rFont val="Tahoma"/>
            <family val="2"/>
          </rPr>
          <t>See 20 U.S.C. 1411(e)(2)(A)(i)</t>
        </r>
        <r>
          <rPr>
            <sz val="8"/>
            <color indexed="81"/>
            <rFont val="Tahoma"/>
            <family val="2"/>
          </rPr>
          <t xml:space="preserve">
</t>
        </r>
      </text>
    </comment>
    <comment ref="A76" authorId="0" shapeId="0" xr:uid="{D5C2887F-13BB-43ED-A514-FDD61F5658BB}">
      <text>
        <r>
          <rPr>
            <b/>
            <sz val="8"/>
            <color indexed="81"/>
            <rFont val="Tahoma"/>
            <family val="2"/>
          </rPr>
          <t>See 20 U.S.C. 1411(e)(2)(A)(i) and 20 U.S.C. 1411(e)(2)(A)(iii)(I)</t>
        </r>
        <r>
          <rPr>
            <sz val="8"/>
            <color indexed="81"/>
            <rFont val="Tahoma"/>
            <family val="2"/>
          </rPr>
          <t xml:space="preserve">
</t>
        </r>
      </text>
    </comment>
    <comment ref="A80" authorId="0" shapeId="0" xr:uid="{2886B6EA-E0E5-4BDE-8129-5747CFD9FE32}">
      <text>
        <r>
          <rPr>
            <b/>
            <sz val="8"/>
            <color indexed="81"/>
            <rFont val="Tahoma"/>
            <family val="2"/>
          </rPr>
          <t>See 20 U.S.C. 1411(e)(2)(A)(ii)</t>
        </r>
        <r>
          <rPr>
            <sz val="8"/>
            <color indexed="81"/>
            <rFont val="Tahoma"/>
            <family val="2"/>
          </rPr>
          <t xml:space="preserve">
</t>
        </r>
      </text>
    </comment>
    <comment ref="A86" authorId="0" shapeId="0" xr:uid="{BFAF5DFB-3250-4870-82B8-4DD4FC02CB28}">
      <text>
        <r>
          <rPr>
            <b/>
            <sz val="8"/>
            <color indexed="81"/>
            <rFont val="Tahoma"/>
            <family val="2"/>
          </rPr>
          <t>See 20 U.S.C. 1411(e)(2)(A)(ii) and 20 U.S.C. 1411(e)(2)(A)(iii)(II)</t>
        </r>
        <r>
          <rPr>
            <sz val="8"/>
            <color indexed="81"/>
            <rFont val="Tahoma"/>
            <family val="2"/>
          </rPr>
          <t xml:space="preserve">
</t>
        </r>
      </text>
    </comment>
    <comment ref="A91" authorId="0" shapeId="0" xr:uid="{E971BADC-6D2C-4E47-9352-46B882CF4A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51595153-2A67-4010-9859-E6F6663D9945}">
      <text>
        <r>
          <rPr>
            <b/>
            <sz val="8"/>
            <color indexed="81"/>
            <rFont val="Tahoma"/>
            <family val="2"/>
          </rPr>
          <t>See 20 U.S.C. 1411(e)(2)(B)(i)</t>
        </r>
        <r>
          <rPr>
            <sz val="8"/>
            <color indexed="81"/>
            <rFont val="Tahoma"/>
            <family val="2"/>
          </rPr>
          <t xml:space="preserve">
</t>
        </r>
      </text>
    </comment>
    <comment ref="C118" authorId="0" shapeId="0" xr:uid="{303F51AF-47C5-4AD8-A60A-3E7B6F95AFBF}">
      <text>
        <r>
          <rPr>
            <b/>
            <sz val="8"/>
            <color indexed="81"/>
            <rFont val="Tahoma"/>
            <family val="2"/>
          </rPr>
          <t>See 20 U.S.C. 1411(e)(2)(B)(ii)</t>
        </r>
        <r>
          <rPr>
            <sz val="8"/>
            <color indexed="81"/>
            <rFont val="Tahoma"/>
            <family val="2"/>
          </rPr>
          <t xml:space="preserve">
</t>
        </r>
      </text>
    </comment>
    <comment ref="C124" authorId="0" shapeId="0" xr:uid="{7A628582-060F-4A65-9E7B-2CF65DDB23C4}">
      <text>
        <r>
          <rPr>
            <b/>
            <sz val="8"/>
            <color indexed="81"/>
            <rFont val="Tahoma"/>
            <family val="2"/>
          </rPr>
          <t>See 20 U.S.C. 1411(e)(2)(C)(i)</t>
        </r>
        <r>
          <rPr>
            <sz val="8"/>
            <color indexed="81"/>
            <rFont val="Tahoma"/>
            <family val="2"/>
          </rPr>
          <t xml:space="preserve">
</t>
        </r>
      </text>
    </comment>
    <comment ref="C127" authorId="0" shapeId="0" xr:uid="{119C7ECB-99DB-4DE3-A2BC-1C48AE6E00F5}">
      <text>
        <r>
          <rPr>
            <b/>
            <sz val="8"/>
            <color indexed="81"/>
            <rFont val="Tahoma"/>
            <family val="2"/>
          </rPr>
          <t>See 20 U.S.C. 1411(e)(2)(C)(iii)</t>
        </r>
        <r>
          <rPr>
            <sz val="8"/>
            <color indexed="81"/>
            <rFont val="Tahoma"/>
            <family val="2"/>
          </rPr>
          <t xml:space="preserve">
</t>
        </r>
      </text>
    </comment>
    <comment ref="C132" authorId="0" shapeId="0" xr:uid="{3FE5F45A-6B19-4885-A40E-E4CE043AD1C7}">
      <text>
        <r>
          <rPr>
            <b/>
            <sz val="8"/>
            <color indexed="81"/>
            <rFont val="Tahoma"/>
            <family val="2"/>
          </rPr>
          <t>See 20 U.S.C. 1411(e)(2)(C)(vii)</t>
        </r>
        <r>
          <rPr>
            <sz val="8"/>
            <color indexed="81"/>
            <rFont val="Tahoma"/>
            <family val="2"/>
          </rPr>
          <t xml:space="preserve">
</t>
        </r>
      </text>
    </comment>
    <comment ref="C134" authorId="0" shapeId="0" xr:uid="{5559A0A8-F7B6-496C-8E96-34D420B1D9EA}">
      <text>
        <r>
          <rPr>
            <b/>
            <sz val="8"/>
            <color indexed="81"/>
            <rFont val="Tahoma"/>
            <family val="2"/>
          </rPr>
          <t>See 20 U.S.C. 1411(e)(2)(C)(viii)</t>
        </r>
        <r>
          <rPr>
            <sz val="8"/>
            <color indexed="81"/>
            <rFont val="Tahoma"/>
            <family val="2"/>
          </rPr>
          <t xml:space="preserve">
</t>
        </r>
      </text>
    </comment>
    <comment ref="C137" authorId="0" shapeId="0" xr:uid="{004CCAC9-6E97-4B00-8194-CE1BF22EE1C1}">
      <text>
        <r>
          <rPr>
            <b/>
            <sz val="8"/>
            <color indexed="81"/>
            <rFont val="Tahoma"/>
            <family val="2"/>
          </rPr>
          <t>See 20 U.S.C. 1411(e)(2)(C)(ii)</t>
        </r>
        <r>
          <rPr>
            <sz val="8"/>
            <color indexed="81"/>
            <rFont val="Tahoma"/>
            <family val="2"/>
          </rPr>
          <t xml:space="preserve">
</t>
        </r>
      </text>
    </comment>
    <comment ref="C140" authorId="0" shapeId="0" xr:uid="{1D0A2DCC-6145-4B6D-BCF6-B17168A1125A}">
      <text>
        <r>
          <rPr>
            <b/>
            <sz val="8"/>
            <color indexed="81"/>
            <rFont val="Tahoma"/>
            <family val="2"/>
          </rPr>
          <t>See 20 U.S.C. 1411(e)(2)(C)(iv)</t>
        </r>
        <r>
          <rPr>
            <sz val="8"/>
            <color indexed="81"/>
            <rFont val="Tahoma"/>
            <family val="2"/>
          </rPr>
          <t xml:space="preserve">
</t>
        </r>
      </text>
    </comment>
    <comment ref="C143" authorId="0" shapeId="0" xr:uid="{1BAD2102-89DA-417B-84C0-B227C8B009C4}">
      <text>
        <r>
          <rPr>
            <b/>
            <sz val="8"/>
            <color indexed="81"/>
            <rFont val="Tahoma"/>
            <family val="2"/>
          </rPr>
          <t>See 20 U.S.C. 1411(e)(2)(C)(v)</t>
        </r>
        <r>
          <rPr>
            <sz val="8"/>
            <color indexed="81"/>
            <rFont val="Tahoma"/>
            <family val="2"/>
          </rPr>
          <t xml:space="preserve">
</t>
        </r>
      </text>
    </comment>
    <comment ref="C147" authorId="0" shapeId="0" xr:uid="{AFD532F1-C3D0-4E4D-BDDB-DE5370E27804}">
      <text>
        <r>
          <rPr>
            <b/>
            <sz val="8"/>
            <color indexed="81"/>
            <rFont val="Tahoma"/>
            <family val="2"/>
          </rPr>
          <t>See 20 U.S.C. 1411(e)(2)(C)(vi)</t>
        </r>
        <r>
          <rPr>
            <sz val="8"/>
            <color indexed="81"/>
            <rFont val="Tahoma"/>
            <family val="2"/>
          </rPr>
          <t xml:space="preserve">
</t>
        </r>
      </text>
    </comment>
    <comment ref="C151" authorId="0" shapeId="0" xr:uid="{8158C863-CEF1-4D03-B160-0528DBF91442}">
      <text>
        <r>
          <rPr>
            <b/>
            <sz val="8"/>
            <color indexed="81"/>
            <rFont val="Tahoma"/>
            <family val="2"/>
          </rPr>
          <t>See 20 U.S.C. 1411(e)(2)(C)(ix)</t>
        </r>
        <r>
          <rPr>
            <sz val="8"/>
            <color indexed="81"/>
            <rFont val="Tahoma"/>
            <family val="2"/>
          </rPr>
          <t xml:space="preserve">
</t>
        </r>
      </text>
    </comment>
    <comment ref="C156" authorId="0" shapeId="0" xr:uid="{54D6A2C3-BAC7-4E15-8880-D3178CF7198D}">
      <text>
        <r>
          <rPr>
            <b/>
            <sz val="8"/>
            <color indexed="81"/>
            <rFont val="Tahoma"/>
            <family val="2"/>
          </rPr>
          <t>See 20 U.S.C. 1411(e)(2)(C)(x)</t>
        </r>
        <r>
          <rPr>
            <sz val="8"/>
            <color indexed="81"/>
            <rFont val="Tahoma"/>
            <family val="2"/>
          </rPr>
          <t xml:space="preserve">
</t>
        </r>
      </text>
    </comment>
    <comment ref="C162" authorId="0" shapeId="0" xr:uid="{D79D787D-A933-44E3-9C42-10FF4DC80030}">
      <text>
        <r>
          <rPr>
            <b/>
            <sz val="8"/>
            <color indexed="81"/>
            <rFont val="Tahoma"/>
            <family val="2"/>
          </rPr>
          <t>See 20 U.S.C. 1411(e)(2)(C)(xi)</t>
        </r>
        <r>
          <rPr>
            <sz val="8"/>
            <color indexed="81"/>
            <rFont val="Tahoma"/>
            <family val="2"/>
          </rPr>
          <t xml:space="preserve">
</t>
        </r>
      </text>
    </comment>
    <comment ref="C186" authorId="0" shapeId="0" xr:uid="{9379B5CE-A07C-4294-A22D-663550E59FBD}">
      <text>
        <r>
          <rPr>
            <b/>
            <sz val="8"/>
            <color indexed="81"/>
            <rFont val="Tahoma"/>
            <family val="2"/>
          </rPr>
          <t>See 20 U.S.C. 1411(e)(3)(A)(i)(I)</t>
        </r>
        <r>
          <rPr>
            <sz val="8"/>
            <color indexed="81"/>
            <rFont val="Tahoma"/>
            <family val="2"/>
          </rPr>
          <t xml:space="preserve">
</t>
        </r>
      </text>
    </comment>
    <comment ref="C190" authorId="0" shapeId="0" xr:uid="{B413A0DB-6E42-43AA-B296-F2681A08AB9D}">
      <text>
        <r>
          <rPr>
            <b/>
            <sz val="8"/>
            <color indexed="81"/>
            <rFont val="Tahoma"/>
            <family val="2"/>
          </rPr>
          <t>See 20 U.S.C. 1411(e)(3)(A)(i)(II) and 20 U.S.C. 1411(e)(3)(B)(ii)</t>
        </r>
        <r>
          <rPr>
            <sz val="8"/>
            <color indexed="81"/>
            <rFont val="Tahoma"/>
            <family val="2"/>
          </rPr>
          <t xml:space="preserve">
</t>
        </r>
      </text>
    </comment>
    <comment ref="C197" authorId="0" shapeId="0" xr:uid="{EB506193-ECE8-47D5-AAAB-4556D19F3D8D}">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<sst xmlns="http://schemas.openxmlformats.org/spreadsheetml/2006/main" count="244" uniqueCount="187">
  <si>
    <t>Washington</t>
  </si>
  <si>
    <t>FFY</t>
  </si>
  <si>
    <t xml:space="preserve"> </t>
  </si>
  <si>
    <t>Select Area</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</si>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</sst>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44" formatCode="_(&quot;$&quot;* #,##0.00_);_(&quot;$&quot;* \(#,##0.00\);_(&quot;$&quot;* &quot;-&quot;??_);_(@_)"/>
    <numFmt numFmtId="164" formatCode="&quot;$&quot;#,##0"/>
  </numFmts>
  <fonts count="11" x14ac:knownFonts="1">
    <font>
      <sz val="11"/>
      <color theme="1"/>
      <name val="Aptos Narrow"/>
      <family val="2"/>
      <scheme val="minor"/>
    </font>
    <font>
      <sz val="11"/>
      <color theme="1"/>
      <name val="Aptos Narrow"/>
      <family val="2"/>
      <scheme val="minor"/>
    </font>
    <font>
      <b/>
      <sz val="16"/>
      <name val="Arial"/>
      <family val="2"/>
    </font>
    <font>
      <sz val="10"/>
      <name val="Arial"/>
      <family val="2"/>
    </font>
    <font>
      <sz val="10"/>
      <color theme="0"/>
      <name val="Arial"/>
      <family val="2"/>
    </font>
    <font>
      <b/>
      <sz val="10"/>
      <name val="Arial"/>
      <family val="2"/>
    </font>
    <font>
      <b/>
      <sz val="10"/>
      <color theme="0"/>
      <name val="Arial"/>
      <family val="2"/>
    </font>
    <font>
      <sz val="11"/>
      <name val="Aptos Narrow"/>
      <family val="2"/>
      <scheme val="minor"/>
    </font>
    <font>
      <b/>
      <sz val="14"/>
      <color theme="0"/>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3" borderId="0" xfId="0" applyFont="1" applyFill="1" applyAlignment="1">
      <alignment horizontal="right"/>
    </xf>
    <xf numFmtId="0" fontId="3" fillId="3" borderId="0" xfId="0" applyFont="1" applyFill="1" applyAlignment="1">
      <alignment horizontal="right" vertical="top"/>
    </xf>
    <xf numFmtId="0" fontId="2" fillId="3" borderId="0" xfId="0" applyFont="1" applyFill="1" applyAlignment="1">
      <alignment horizontal="left"/>
    </xf>
    <xf numFmtId="0" fontId="3" fillId="3" borderId="0" xfId="0" applyFont="1" applyFill="1"/>
    <xf numFmtId="0" fontId="4" fillId="0" borderId="0" xfId="0" applyFont="1"/>
    <xf numFmtId="0" fontId="3" fillId="0" borderId="0" xfId="0" applyFont="1"/>
    <xf numFmtId="0" fontId="4" fillId="3" borderId="0" xfId="0" applyFont="1" applyFill="1"/>
    <xf numFmtId="44" fontId="4" fillId="3" borderId="0" xfId="1" applyFont="1" applyFill="1" applyProtection="1"/>
    <xf numFmtId="0" fontId="3" fillId="3" borderId="1" xfId="0" applyFont="1" applyFill="1" applyBorder="1" applyAlignment="1">
      <alignment horizontal="right" vertical="top"/>
    </xf>
    <xf numFmtId="0" fontId="3" fillId="3" borderId="1" xfId="0" applyFont="1" applyFill="1" applyBorder="1"/>
    <xf numFmtId="6" fontId="3" fillId="3" borderId="1" xfId="0" applyNumberFormat="1" applyFont="1" applyFill="1" applyBorder="1" applyAlignment="1">
      <alignment horizontal="right"/>
    </xf>
    <xf numFmtId="0" fontId="5" fillId="3" borderId="0" xfId="0" applyFont="1" applyFill="1"/>
    <xf numFmtId="6" fontId="3" fillId="3" borderId="0" xfId="0" applyNumberFormat="1" applyFont="1" applyFill="1" applyAlignment="1">
      <alignment horizontal="right"/>
    </xf>
    <xf numFmtId="0" fontId="5" fillId="3" borderId="0" xfId="0" applyFont="1" applyFill="1" applyAlignment="1">
      <alignment horizontal="center" vertical="top"/>
    </xf>
    <xf numFmtId="0" fontId="3" fillId="3" borderId="0" xfId="0" applyFont="1" applyFill="1" applyAlignment="1">
      <alignment horizontal="right"/>
    </xf>
    <xf numFmtId="44" fontId="3" fillId="3" borderId="0" xfId="0" applyNumberFormat="1" applyFont="1" applyFill="1" applyAlignment="1">
      <alignment horizontal="right"/>
    </xf>
    <xf numFmtId="164" fontId="3" fillId="3" borderId="2" xfId="0" applyNumberFormat="1" applyFont="1" applyFill="1" applyBorder="1" applyAlignment="1" applyProtection="1">
      <alignment horizontal="right"/>
      <protection locked="0"/>
    </xf>
    <xf numFmtId="0" fontId="3" fillId="3" borderId="0" xfId="0" applyFont="1" applyFill="1" applyProtection="1">
      <protection locked="0"/>
    </xf>
    <xf numFmtId="0" fontId="3" fillId="3" borderId="0" xfId="0" applyFont="1" applyFill="1" applyAlignment="1">
      <alignment vertical="top" wrapText="1"/>
    </xf>
    <xf numFmtId="0" fontId="3" fillId="3" borderId="0" xfId="0" applyFont="1" applyFill="1" applyAlignment="1">
      <alignment horizontal="right" vertical="top" wrapText="1"/>
    </xf>
    <xf numFmtId="164" fontId="3" fillId="3" borderId="0" xfId="0" applyNumberFormat="1" applyFont="1" applyFill="1" applyAlignment="1">
      <alignment horizontal="right" vertical="top"/>
    </xf>
    <xf numFmtId="164" fontId="3" fillId="3" borderId="2" xfId="0" applyNumberFormat="1" applyFont="1" applyFill="1" applyBorder="1" applyProtection="1">
      <protection locked="0"/>
    </xf>
    <xf numFmtId="164" fontId="3" fillId="3" borderId="0" xfId="0" applyNumberFormat="1" applyFont="1" applyFill="1"/>
    <xf numFmtId="0" fontId="3" fillId="3" borderId="0" xfId="0" applyFont="1" applyFill="1" applyAlignment="1">
      <alignment horizontal="left"/>
    </xf>
    <xf numFmtId="164" fontId="5" fillId="3" borderId="0" xfId="0" applyNumberFormat="1" applyFont="1" applyFill="1"/>
    <xf numFmtId="164" fontId="6" fillId="0" borderId="0" xfId="0" quotePrefix="1" applyNumberFormat="1" applyFont="1"/>
    <xf numFmtId="0" fontId="5" fillId="3" borderId="2" xfId="0" applyFont="1" applyFill="1" applyBorder="1" applyAlignment="1" applyProtection="1">
      <alignment horizontal="right"/>
      <protection locked="0"/>
    </xf>
    <xf numFmtId="0" fontId="3" fillId="3" borderId="0" xfId="0" applyFont="1" applyFill="1" applyAlignment="1">
      <alignment horizontal="right" vertical="center"/>
    </xf>
    <xf numFmtId="164" fontId="3" fillId="3" borderId="0" xfId="0" applyNumberFormat="1" applyFont="1" applyFill="1" applyAlignment="1">
      <alignment horizontal="right" vertical="center"/>
    </xf>
    <xf numFmtId="164" fontId="3" fillId="3" borderId="0" xfId="0" applyNumberFormat="1" applyFont="1" applyFill="1" applyProtection="1">
      <protection locked="0"/>
    </xf>
    <xf numFmtId="6" fontId="3" fillId="3" borderId="0" xfId="0" applyNumberFormat="1" applyFont="1" applyFill="1"/>
    <xf numFmtId="0" fontId="3" fillId="3" borderId="0" xfId="0" quotePrefix="1" applyFont="1" applyFill="1"/>
    <xf numFmtId="164" fontId="3" fillId="3" borderId="2" xfId="0" applyNumberFormat="1" applyFont="1" applyFill="1" applyBorder="1" applyAlignment="1" applyProtection="1">
      <alignment vertical="top"/>
      <protection locked="0"/>
    </xf>
    <xf numFmtId="164" fontId="5" fillId="3" borderId="0" xfId="0" applyNumberFormat="1" applyFont="1" applyFill="1" applyAlignment="1">
      <alignment horizontal="left" vertical="top"/>
    </xf>
    <xf numFmtId="0" fontId="3" fillId="3" borderId="0" xfId="0" applyFont="1" applyFill="1" applyAlignment="1">
      <alignment vertical="top"/>
    </xf>
    <xf numFmtId="0" fontId="3" fillId="3" borderId="3" xfId="0" applyFont="1" applyFill="1" applyBorder="1" applyAlignment="1">
      <alignment horizontal="right" vertical="top"/>
    </xf>
    <xf numFmtId="164" fontId="6" fillId="0" borderId="0" xfId="0" applyNumberFormat="1" applyFont="1"/>
    <xf numFmtId="164" fontId="5" fillId="3" borderId="0" xfId="0" quotePrefix="1" applyNumberFormat="1" applyFont="1" applyFill="1"/>
    <xf numFmtId="164" fontId="3" fillId="3" borderId="0" xfId="0" applyNumberFormat="1" applyFont="1" applyFill="1" applyAlignment="1">
      <alignment vertical="top"/>
    </xf>
    <xf numFmtId="0" fontId="3" fillId="0" borderId="0" xfId="0" applyFont="1" applyAlignment="1">
      <alignment horizontal="right" vertical="top"/>
    </xf>
    <xf numFmtId="164" fontId="5" fillId="0" borderId="0" xfId="0" applyNumberFormat="1" applyFont="1"/>
    <xf numFmtId="0" fontId="8" fillId="0" borderId="0" xfId="0" applyFont="1"/>
    <xf numFmtId="0" fontId="6" fillId="0" borderId="0" xfId="0" applyFont="1"/>
    <xf numFmtId="0" fontId="4" fillId="0" borderId="0" xfId="0" applyFont="1" applyAlignment="1">
      <alignment vertical="top"/>
    </xf>
    <xf numFmtId="5" fontId="4" fillId="0" borderId="0" xfId="0" applyNumberFormat="1" applyFont="1" applyAlignment="1">
      <alignment horizontal="center"/>
    </xf>
    <xf numFmtId="0" fontId="6" fillId="0" borderId="0" xfId="0" applyFont="1" applyAlignment="1">
      <alignment vertical="top"/>
    </xf>
    <xf numFmtId="164" fontId="6" fillId="0" borderId="0" xfId="0" applyNumberFormat="1" applyFont="1" applyAlignment="1">
      <alignment horizontal="right" vertical="top"/>
    </xf>
    <xf numFmtId="164" fontId="4" fillId="0" borderId="0" xfId="0" applyNumberFormat="1" applyFont="1" applyAlignment="1">
      <alignment vertical="top"/>
    </xf>
    <xf numFmtId="164" fontId="6" fillId="0" borderId="0" xfId="0" applyNumberFormat="1" applyFont="1" applyAlignment="1">
      <alignment horizontal="center"/>
    </xf>
    <xf numFmtId="0" fontId="6" fillId="0" borderId="0" xfId="0" applyFont="1" applyAlignment="1">
      <alignment horizontal="center" vertical="top"/>
    </xf>
    <xf numFmtId="164" fontId="6" fillId="0" borderId="0" xfId="0" applyNumberFormat="1" applyFont="1" applyAlignment="1">
      <alignment horizontal="center" vertical="top"/>
    </xf>
    <xf numFmtId="164" fontId="6" fillId="0" borderId="0" xfId="0" applyNumberFormat="1" applyFont="1" applyAlignment="1">
      <alignment vertical="top"/>
    </xf>
    <xf numFmtId="5" fontId="4" fillId="0" borderId="0" xfId="0" applyNumberFormat="1" applyFont="1" applyAlignment="1">
      <alignment horizontal="left"/>
    </xf>
    <xf numFmtId="2" fontId="6" fillId="0" borderId="0" xfId="0" applyNumberFormat="1" applyFont="1" applyAlignment="1">
      <alignment horizontal="center" vertical="top"/>
    </xf>
    <xf numFmtId="0" fontId="5" fillId="3" borderId="0" xfId="0" applyFont="1" applyFill="1" applyAlignment="1">
      <alignment vertical="top" wrapText="1"/>
    </xf>
    <xf numFmtId="0" fontId="2" fillId="2" borderId="0" xfId="0" applyFont="1" applyFill="1" applyAlignment="1" applyProtection="1">
      <alignment vertical="top"/>
      <protection locked="0"/>
    </xf>
    <xf numFmtId="0" fontId="5" fillId="3" borderId="1" xfId="0" applyFont="1" applyFill="1" applyBorder="1"/>
    <xf numFmtId="0" fontId="5" fillId="3" borderId="0" xfId="0" applyFont="1" applyFill="1"/>
    <xf numFmtId="0" fontId="3" fillId="3" borderId="0" xfId="0" applyFont="1" applyFill="1"/>
    <xf numFmtId="0" fontId="3" fillId="3" borderId="0" xfId="0" applyFont="1" applyFill="1" applyAlignment="1">
      <alignment vertical="top" wrapText="1"/>
    </xf>
    <xf numFmtId="164" fontId="5" fillId="3" borderId="0" xfId="0" applyNumberFormat="1" applyFont="1" applyFill="1" applyAlignment="1">
      <alignment horizontal="left"/>
    </xf>
    <xf numFmtId="164" fontId="5" fillId="3" borderId="0" xfId="0" applyNumberFormat="1" applyFont="1" applyFill="1" applyAlignment="1">
      <alignment vertical="top" wrapText="1"/>
    </xf>
    <xf numFmtId="0" fontId="5" fillId="3" borderId="0" xfId="0" applyFont="1" applyFill="1" applyAlignment="1">
      <alignment horizontal="center"/>
    </xf>
    <xf numFmtId="164" fontId="5" fillId="3" borderId="0" xfId="0" applyNumberFormat="1" applyFont="1" applyFill="1" applyAlignment="1">
      <alignment horizontal="left" vertical="top"/>
    </xf>
    <xf numFmtId="0" fontId="3" fillId="3" borderId="0" xfId="0" applyFont="1" applyFill="1" applyAlignment="1">
      <alignment wrapText="1"/>
    </xf>
    <xf numFmtId="0" fontId="3" fillId="3" borderId="0" xfId="0" applyFont="1" applyFill="1" applyAlignment="1">
      <alignment vertical="top"/>
    </xf>
    <xf numFmtId="0" fontId="3" fillId="0" borderId="0" xfId="0" applyFont="1" applyAlignment="1">
      <alignment vertical="top" wrapText="1"/>
    </xf>
    <xf numFmtId="164" fontId="5" fillId="3" borderId="0" xfId="0" applyNumberFormat="1" applyFont="1" applyFill="1"/>
    <xf numFmtId="0" fontId="4" fillId="0" borderId="0" xfId="0" applyFont="1"/>
    <xf numFmtId="0" fontId="6" fillId="0" borderId="0" xfId="0" applyFont="1" applyAlignment="1">
      <alignment vertical="top"/>
    </xf>
    <xf numFmtId="0" fontId="6"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SCAL/IDEA%20Grants/IDEA%20Application%20for%20Funds/2026/Final%20Application%20&amp;%20Interactive%20Spreadsheet/IDEA%20Part%20B%20Interactive%20Table%20for%20FFY%202026%20-%20Copy.xlsx" TargetMode="External"/><Relationship Id="rId2" Type="http://schemas.openxmlformats.org/officeDocument/2006/relationships/externalLinkPath" Target="file:///P:\S%20Drive%20Files\FISCAL\IDEA%20Grants\IDEA%20Application%20for%20Funds\2026\Final%20Application%20&amp;%20Interactive%20Spreadsheet\IDEA%20Part%20B%20Interactive%20Table%20for%20FFY%202026%20-%20Copy.xlsx" TargetMode="External"/><Relationship Id="rId1" Type="http://schemas.openxmlformats.org/officeDocument/2006/relationships/externalLinkPath" Target="/S%20Drive%20Files/FISCAL/IDEA%20Grants/IDEA%20Application%20for%20Funds/2026/Final%20Application%20&amp;%20Interactive%20Spreadsheet/IDEA%20Part%20B%20Interactive%20Table%20for%20FFY%20202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pprop Path"/>
      <sheetName val="Prior Year Funding Levels"/>
      <sheetName val="Prior Year Penalties"/>
      <sheetName val="Inflation"/>
      <sheetName val="APPE"/>
      <sheetName val="APPE Public &amp; CJ"/>
      <sheetName val="Childcount 2007"/>
      <sheetName val="Admin Maximums"/>
      <sheetName val="Other Activities Maxmiums"/>
      <sheetName val="State-Level Activities"/>
      <sheetName val="Summary Table"/>
    </sheetNames>
    <sheetDataSet>
      <sheetData sheetId="0" refreshError="1"/>
      <sheetData sheetId="1">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222844923</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45682519</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255353183</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139752224</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1482362797</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201456677</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160106558</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44659831</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24652797</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791940904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425165671</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49613319</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71784530</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607421383</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318187405</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147118953</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132500319</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198054143</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227097349</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65940010</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250273720</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342079872</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477358089</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234828907</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146042079</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275355588</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46432766</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91650181</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99138754</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57171053</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435580586</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109642322</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912820566</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417523448</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39812365</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524872331</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182714002</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161112107</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523135162</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52697687</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221922917</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44292660</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291449202</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1267878259</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144810233</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38386720</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348531988</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276964768</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91518614</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251633192</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40271475</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7976702</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19146401</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6136815</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150764448</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7750254</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107481801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24500000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14341248697</v>
          </cell>
        </row>
      </sheetData>
      <sheetData sheetId="2" refreshError="1"/>
      <sheetData sheetId="3" refreshError="1"/>
      <sheetData sheetId="4" refreshError="1"/>
      <sheetData sheetId="5" refreshError="1"/>
      <sheetData sheetId="6" refreshError="1"/>
      <sheetData sheetId="7">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5281927</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1404389</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4289472</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2997900</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31571377</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3863094</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4133616</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1404389</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1404389</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17451443</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7629312</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1404389</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1404389</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14299525</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7475994</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3677557</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2992442</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4597245</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5015352</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1760335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5656407</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8596950</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10463568</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5472274</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3538414</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6792015</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1404389</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2155899</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1620319</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1428292</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10941739</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2655696</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22314127</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8305668</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1404389</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12215470</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3988622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3446174</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11647340</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1404389</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4906634</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1404389</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6777310</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24953042</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2912594</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1404389</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7816848</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5785449</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2451883</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5968340</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1404389</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398835.10000000003</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957320.05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306840.75</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2490052</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387512.7</v>
          </cell>
        </row>
        <row r="60">
          <cell r="A60" t="str">
            <v>Freely Associated States</v>
          </cell>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4299272.040000001</v>
          </cell>
        </row>
      </sheetData>
      <sheetData sheetId="8">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cell r="CD2" t="str">
            <v>2026 RPLA</v>
          </cell>
          <cell r="CE2" t="str">
            <v>2026 RPHA</v>
          </cell>
          <cell r="CF2" t="str">
            <v>2026 LA</v>
          </cell>
          <cell r="CG2" t="str">
            <v>2026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cell r="CD5">
            <v>28696733.002711859</v>
          </cell>
          <cell r="CE5">
            <v>27330221.907344643</v>
          </cell>
          <cell r="CF5">
            <v>25963710.811977398</v>
          </cell>
          <cell r="CG5">
            <v>24456531.179938648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cell r="CD6">
            <v>5555265.2355022393</v>
          </cell>
          <cell r="CE6">
            <v>5290728.795716418</v>
          </cell>
          <cell r="CF6">
            <v>5026192.3559305975</v>
          </cell>
          <cell r="CG6">
            <v>4734424.5573895341</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cell r="CD7">
            <v>27788245.193389226</v>
          </cell>
          <cell r="CE7">
            <v>26464995.42227545</v>
          </cell>
          <cell r="CF7">
            <v>25141745.651161674</v>
          </cell>
          <cell r="CG7">
            <v>23682280.66043897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cell r="CD8">
            <v>17700733.684711993</v>
          </cell>
          <cell r="CE8">
            <v>16857841.604487617</v>
          </cell>
          <cell r="CF8">
            <v>16014949.524263237</v>
          </cell>
          <cell r="CG8">
            <v>15085290.204534436</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cell r="CD9">
            <v>193601451.20936361</v>
          </cell>
          <cell r="CE9">
            <v>184382334.48510838</v>
          </cell>
          <cell r="CF9">
            <v>175163217.76085281</v>
          </cell>
          <cell r="CG9">
            <v>164995085.94012186</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cell r="CD10">
            <v>23534917.175815355</v>
          </cell>
          <cell r="CE10">
            <v>22414206.83410985</v>
          </cell>
          <cell r="CF10">
            <v>21293496.492404357</v>
          </cell>
          <cell r="CG10">
            <v>20057420.322836358</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cell r="CD11">
            <v>20981779.271770891</v>
          </cell>
          <cell r="CE11">
            <v>19982646.925496094</v>
          </cell>
          <cell r="CF11">
            <v>18983514.57922129</v>
          </cell>
          <cell r="CG11">
            <v>17881531.633658901</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cell r="CD12">
            <v>5091385.1695896313</v>
          </cell>
          <cell r="CE12">
            <v>4848938.25675203</v>
          </cell>
          <cell r="CF12">
            <v>4606491.3439144278</v>
          </cell>
          <cell r="CG12">
            <v>4339086.9663588209</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cell r="CD13">
            <v>2559963.4433701141</v>
          </cell>
          <cell r="CE13">
            <v>2438060.4222572534</v>
          </cell>
          <cell r="CF13">
            <v>2316157.4011443905</v>
          </cell>
          <cell r="CG13">
            <v>2181705.693340349</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cell r="CD14">
            <v>99366238.136886522</v>
          </cell>
          <cell r="CE14">
            <v>94634512.511320502</v>
          </cell>
          <cell r="CF14">
            <v>89902786.885754481</v>
          </cell>
          <cell r="CG14">
            <v>84683977.824176833</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cell r="CD15">
            <v>48851332.641022183</v>
          </cell>
          <cell r="CE15">
            <v>46525078.705735378</v>
          </cell>
          <cell r="CF15">
            <v>44198824.770448618</v>
          </cell>
          <cell r="CG15">
            <v>41633106.451658115</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cell r="CD16">
            <v>6299871.6264972379</v>
          </cell>
          <cell r="CE16">
            <v>5999877.7395211812</v>
          </cell>
          <cell r="CF16">
            <v>5699883.8525451208</v>
          </cell>
          <cell r="CG16">
            <v>5369008.6201966126</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cell r="CD17">
            <v>8565553.3592637237</v>
          </cell>
          <cell r="CE17">
            <v>8157669.865965453</v>
          </cell>
          <cell r="CF17">
            <v>7749786.3726671776</v>
          </cell>
          <cell r="CG17">
            <v>7299915.3870395338</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cell r="CD18">
            <v>79918244.959306583</v>
          </cell>
          <cell r="CE18">
            <v>76112614.246958673</v>
          </cell>
          <cell r="CF18">
            <v>72306983.534610733</v>
          </cell>
          <cell r="CG18">
            <v>68109601.518352404</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cell r="CD19">
            <v>40355453.638083667</v>
          </cell>
          <cell r="CE19">
            <v>38433765.369603477</v>
          </cell>
          <cell r="CF19">
            <v>36512077.101123318</v>
          </cell>
          <cell r="CG19">
            <v>34392570.404690102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cell r="CD20">
            <v>19265585.124182057</v>
          </cell>
          <cell r="CE20">
            <v>18348176.308744814</v>
          </cell>
          <cell r="CF20">
            <v>17430767.493307576</v>
          </cell>
          <cell r="CG20">
            <v>16418920.691940604</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cell r="CD21">
            <v>16863466.215002354</v>
          </cell>
          <cell r="CE21">
            <v>16060444.01428796</v>
          </cell>
          <cell r="CF21">
            <v>15257421.813573554</v>
          </cell>
          <cell r="CG21">
            <v>14371736.57538205</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cell r="CD22">
            <v>24908514.682094339</v>
          </cell>
          <cell r="CE22">
            <v>23722394.935327943</v>
          </cell>
          <cell r="CF22">
            <v>22536275.188561544</v>
          </cell>
          <cell r="CG22">
            <v>21228056.375303503</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cell r="CD23">
            <v>29873037.979799762</v>
          </cell>
          <cell r="CE23">
            <v>28450512.361714065</v>
          </cell>
          <cell r="CF23">
            <v>27027986.743628357</v>
          </cell>
          <cell r="CG23">
            <v>25459026.458636355</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cell r="CD24">
            <v>8635004.8310533818</v>
          </cell>
          <cell r="CE24">
            <v>8223814.1248127446</v>
          </cell>
          <cell r="CF24">
            <v>7812623.4185721101</v>
          </cell>
          <cell r="CG24">
            <v>7359104.775781313</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cell r="CD25">
            <v>31596471.937510025</v>
          </cell>
          <cell r="CE25">
            <v>30091878.035723846</v>
          </cell>
          <cell r="CF25">
            <v>28587284.133937642</v>
          </cell>
          <cell r="CG25">
            <v>26927807.463056732</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cell r="CD26">
            <v>44796192.45687978</v>
          </cell>
          <cell r="CE26">
            <v>42663040.435123593</v>
          </cell>
          <cell r="CF26">
            <v>40529888.413367398</v>
          </cell>
          <cell r="CG26">
            <v>38177149.90276704</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cell r="CD27">
            <v>63212546.758227825</v>
          </cell>
          <cell r="CE27">
            <v>60202425.484026492</v>
          </cell>
          <cell r="CF27">
            <v>57192304.20982518</v>
          </cell>
          <cell r="CG27">
            <v>53872321.306046754</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cell r="CD28">
            <v>29955033.468572944</v>
          </cell>
          <cell r="CE28">
            <v>28528603.303402815</v>
          </cell>
          <cell r="CF28">
            <v>27102173.138232671</v>
          </cell>
          <cell r="CG28">
            <v>25528906.372409347</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cell r="CD29">
            <v>18779569.987619221</v>
          </cell>
          <cell r="CE29">
            <v>17885304.750113551</v>
          </cell>
          <cell r="CF29">
            <v>16991039.512607865</v>
          </cell>
          <cell r="CG29">
            <v>16004718.687128849</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cell r="CD30">
            <v>35846347.29901801</v>
          </cell>
          <cell r="CE30">
            <v>34139378.380017161</v>
          </cell>
          <cell r="CF30">
            <v>32432409.461016297</v>
          </cell>
          <cell r="CG30">
            <v>30549725.305751603</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cell r="CD31">
            <v>5799626.8016592655</v>
          </cell>
          <cell r="CE31">
            <v>5523454.0968183493</v>
          </cell>
          <cell r="CF31">
            <v>5247281.3919774303</v>
          </cell>
          <cell r="CG31">
            <v>4942679.4922398953</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cell r="CD32">
            <v>11783398.855078075</v>
          </cell>
          <cell r="CE32">
            <v>11222284.623883881</v>
          </cell>
          <cell r="CF32">
            <v>10661170.392689686</v>
          </cell>
          <cell r="CG32">
            <v>10042295.109956836</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cell r="CD33">
            <v>10450310.185172172</v>
          </cell>
          <cell r="CE33">
            <v>9952676.3668306358</v>
          </cell>
          <cell r="CF33">
            <v>9455042.5484891087</v>
          </cell>
          <cell r="CG33">
            <v>8906182.3469431642</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cell r="CD34">
            <v>7488988.3559093885</v>
          </cell>
          <cell r="CE34">
            <v>7132369.862770847</v>
          </cell>
          <cell r="CF34">
            <v>6775751.3696323019</v>
          </cell>
          <cell r="CG34">
            <v>6382422.5989483632</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cell r="CD35">
            <v>57040338.155401595</v>
          </cell>
          <cell r="CE35">
            <v>54324131.576572932</v>
          </cell>
          <cell r="CF35">
            <v>51607924.997744307</v>
          </cell>
          <cell r="CG35">
            <v>48612112.343241125</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cell r="CD36">
            <v>14382307.861719299</v>
          </cell>
          <cell r="CE36">
            <v>13697436.05878029</v>
          </cell>
          <cell r="CF36">
            <v>13012564.255841281</v>
          </cell>
          <cell r="CG36">
            <v>12257191.807387106</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cell r="CD37">
            <v>119794320.52405956</v>
          </cell>
          <cell r="CE37">
            <v>114089829.07053296</v>
          </cell>
          <cell r="CF37">
            <v>108385337.61700636</v>
          </cell>
          <cell r="CG37">
            <v>102093626.29534747</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cell r="CD38">
            <v>49375438.265391342</v>
          </cell>
          <cell r="CE38">
            <v>47024226.919420302</v>
          </cell>
          <cell r="CF38">
            <v>44673015.573449284</v>
          </cell>
          <cell r="CG38">
            <v>42079770.730227888</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cell r="CD39">
            <v>4134143.6791270957</v>
          </cell>
          <cell r="CE39">
            <v>3937279.6944067567</v>
          </cell>
          <cell r="CF39">
            <v>3740415.7096864181</v>
          </cell>
          <cell r="CG39">
            <v>3523286.5630161949</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cell r="CD40">
            <v>69071067.117904931</v>
          </cell>
          <cell r="CE40">
            <v>65781968.683718964</v>
          </cell>
          <cell r="CF40">
            <v>62492870.24953305</v>
          </cell>
          <cell r="CG40">
            <v>58865192.300497867</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cell r="CD41">
            <v>23341305.836372938</v>
          </cell>
          <cell r="CE41">
            <v>22229815.082259942</v>
          </cell>
          <cell r="CF41">
            <v>21118324.328146946</v>
          </cell>
          <cell r="CG41">
            <v>19892416.809739046</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cell r="CD42">
            <v>20351870.084471364</v>
          </cell>
          <cell r="CE42">
            <v>19382733.413782243</v>
          </cell>
          <cell r="CF42">
            <v>18413596.743093137</v>
          </cell>
          <cell r="CG42">
            <v>17344697.22542626</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cell r="CD43">
            <v>67405130.351732776</v>
          </cell>
          <cell r="CE43">
            <v>64195362.239745505</v>
          </cell>
          <cell r="CF43">
            <v>60985594.127758235</v>
          </cell>
          <cell r="CG43">
            <v>57445412.757584572</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cell r="CD44">
            <v>6900890.5613816502</v>
          </cell>
          <cell r="CE44">
            <v>6572276.7251253799</v>
          </cell>
          <cell r="CF44">
            <v>6243662.8888691124</v>
          </cell>
          <cell r="CG44">
            <v>5881221.5720801968</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cell r="CD45">
            <v>27640546.869969089</v>
          </cell>
          <cell r="CE45">
            <v>26324330.352351502</v>
          </cell>
          <cell r="CF45">
            <v>25008113.834733926</v>
          </cell>
          <cell r="CG45">
            <v>23556406.100027923</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cell r="CD46">
            <v>4924840.6063159285</v>
          </cell>
          <cell r="CE46">
            <v>4690324.3869675528</v>
          </cell>
          <cell r="CF46">
            <v>4455808.1676191734</v>
          </cell>
          <cell r="CG46">
            <v>4197150.8684703382</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cell r="CD47">
            <v>36802036.129927881</v>
          </cell>
          <cell r="CE47">
            <v>35049558.218978941</v>
          </cell>
          <cell r="CF47">
            <v>33297080.308029983</v>
          </cell>
          <cell r="CG47">
            <v>31364202.469032094</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cell r="CD48">
            <v>152059470.03434134</v>
          </cell>
          <cell r="CE48">
            <v>144818542.88984892</v>
          </cell>
          <cell r="CF48">
            <v>137577615.74535644</v>
          </cell>
          <cell r="CG48">
            <v>129591308.17254989</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cell r="CD49">
            <v>16832175.930952355</v>
          </cell>
          <cell r="CE49">
            <v>16030643.743764147</v>
          </cell>
          <cell r="CF49">
            <v>15229111.556575939</v>
          </cell>
          <cell r="CG49">
            <v>14345069.713777076</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cell r="CD50">
            <v>3986103.8390798769</v>
          </cell>
          <cell r="CE50">
            <v>3796289.3705522642</v>
          </cell>
          <cell r="CF50">
            <v>3606474.9020246505</v>
          </cell>
          <cell r="CG50">
            <v>3397120.9481482659</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cell r="CD51">
            <v>44447039.723447777</v>
          </cell>
          <cell r="CE51">
            <v>42330514.022331215</v>
          </cell>
          <cell r="CF51">
            <v>40213988.321214676</v>
          </cell>
          <cell r="CG51">
            <v>37879587.643295415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cell r="CD52">
            <v>34928345.298668027</v>
          </cell>
          <cell r="CE52">
            <v>33265090.760636218</v>
          </cell>
          <cell r="CF52">
            <v>31601836.222604424</v>
          </cell>
          <cell r="CG52">
            <v>29767366.402991362</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cell r="CD53">
            <v>11984585.529749196</v>
          </cell>
          <cell r="CE53">
            <v>11413890.980713524</v>
          </cell>
          <cell r="CF53">
            <v>10843196.43167785</v>
          </cell>
          <cell r="CG53">
            <v>10213754.633994561</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cell r="CD54">
            <v>32852225.836281214</v>
          </cell>
          <cell r="CE54">
            <v>31287834.129791632</v>
          </cell>
          <cell r="CF54">
            <v>29723442.423302051</v>
          </cell>
          <cell r="CG54">
            <v>27998012.366755158</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cell r="CD55">
            <v>4181817.8595901299</v>
          </cell>
          <cell r="CE55">
            <v>3982683.6758001265</v>
          </cell>
          <cell r="CF55">
            <v>3783549.4920101212</v>
          </cell>
          <cell r="CG55">
            <v>3563916.4521698533</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cell r="CD59">
            <v>16986339.960139204</v>
          </cell>
          <cell r="CE59">
            <v>16177466.628704019</v>
          </cell>
          <cell r="CF59">
            <v>15368593.297268808</v>
          </cell>
          <cell r="CG59">
            <v>14476454.613454584</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cell r="CD60">
            <v>1477039.3833010311</v>
          </cell>
          <cell r="CE60">
            <v>1406704.1745724105</v>
          </cell>
          <cell r="CF60">
            <v>1336368.9658437904</v>
          </cell>
          <cell r="CG60">
            <v>1258793.456672763</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row>
      </sheetData>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3DFC-3C8B-4379-A749-E73586E262FF}">
  <dimension ref="A1:AC279"/>
  <sheetViews>
    <sheetView tabSelected="1" workbookViewId="0">
      <selection activeCell="H77" sqref="H77"/>
    </sheetView>
  </sheetViews>
  <sheetFormatPr defaultColWidth="9.28515625" defaultRowHeight="12.75" x14ac:dyDescent="0.2"/>
  <cols>
    <col min="1" max="1" width="4.28515625" style="6" customWidth="1"/>
    <col min="2" max="2" width="29" style="6" bestFit="1" customWidth="1"/>
    <col min="3" max="3" width="6" style="6" customWidth="1"/>
    <col min="4" max="4" width="29.28515625" style="6" customWidth="1"/>
    <col min="5" max="5" width="29" style="6" customWidth="1"/>
    <col min="6" max="6" width="17.28515625" style="6" customWidth="1"/>
    <col min="7" max="7" width="2.28515625" style="40" customWidth="1"/>
    <col min="8" max="8" width="21.5703125" style="6" customWidth="1"/>
    <col min="9" max="9" width="14.42578125" style="6" customWidth="1"/>
    <col min="10" max="10" width="16.28515625" style="6" customWidth="1"/>
    <col min="11" max="11" width="9.28515625" style="6"/>
    <col min="12" max="12" width="9.5703125" style="6" bestFit="1" customWidth="1"/>
    <col min="13" max="14" width="9.28515625" style="6"/>
    <col min="15" max="15" width="11.28515625" style="6" customWidth="1"/>
    <col min="16" max="16" width="12.7109375" style="6" customWidth="1"/>
    <col min="17" max="17" width="6.42578125" style="5" customWidth="1"/>
    <col min="18" max="18" width="5.42578125" style="5" customWidth="1"/>
    <col min="19" max="19" width="5.28515625" style="5" customWidth="1"/>
    <col min="20" max="20" width="12.7109375" style="5" customWidth="1"/>
    <col min="21" max="21" width="12.42578125" style="5" customWidth="1"/>
    <col min="22" max="22" width="14.28515625" style="5" customWidth="1"/>
    <col min="23" max="23" width="13.7109375" style="5" customWidth="1"/>
    <col min="24" max="24" width="15.5703125" style="5" customWidth="1"/>
    <col min="25" max="25" width="13.5703125" style="5" customWidth="1"/>
    <col min="26" max="26" width="16.7109375" style="5" customWidth="1"/>
    <col min="27" max="29" width="9.28515625" style="5"/>
    <col min="30" max="16384" width="9.28515625" style="6"/>
  </cols>
  <sheetData>
    <row r="1" spans="1:21" ht="20.25" x14ac:dyDescent="0.3">
      <c r="A1" s="56" t="s">
        <v>0</v>
      </c>
      <c r="B1" s="56"/>
      <c r="C1" s="56"/>
      <c r="D1" s="56"/>
      <c r="E1" s="56"/>
      <c r="F1" s="1" t="s">
        <v>1</v>
      </c>
      <c r="G1" s="2" t="s">
        <v>2</v>
      </c>
      <c r="H1" s="3">
        <v>2026</v>
      </c>
      <c r="I1" s="4"/>
      <c r="J1" s="4"/>
      <c r="K1" s="4"/>
      <c r="L1" s="4"/>
      <c r="M1" s="4"/>
      <c r="N1" s="4"/>
      <c r="O1" s="4"/>
      <c r="P1" s="4"/>
      <c r="U1" s="5" t="s">
        <v>3</v>
      </c>
    </row>
    <row r="2" spans="1:21" s="5" customFormat="1" x14ac:dyDescent="0.2">
      <c r="A2" s="7"/>
      <c r="B2" s="8">
        <f>VLOOKUP($A1,fund_table,MATCH($H$1,year_row,0),0)</f>
        <v>276964768</v>
      </c>
      <c r="C2" s="8"/>
      <c r="D2" s="8">
        <f>VLOOKUP(A1,admin,MATCH(H1,admin_year,0),0)</f>
        <v>5785449</v>
      </c>
      <c r="E2" s="8">
        <f>VLOOKUP($A$1,other,MATCH($H$1&amp;" RPHA",other_label,0),0)</f>
        <v>33265090.760636218</v>
      </c>
      <c r="F2" s="8">
        <f>VLOOKUP($A$1,other,MATCH($H$1&amp;" HA",other_label,0),0)</f>
        <v>29767366.402991362</v>
      </c>
      <c r="G2" s="8">
        <f>VLOOKUP($A$1,other,MATCH($H$1&amp;" RPLA",other_label,0),0)</f>
        <v>34928345.298668027</v>
      </c>
      <c r="H2" s="8">
        <f>VLOOKUP($A$1,other,MATCH($H$1&amp;" LA",other_label,0),0)</f>
        <v>31601836.222604424</v>
      </c>
      <c r="I2" s="8">
        <f>VLOOKUP(A1,admin,MATCH(2004,admin_year,0),0)</f>
        <v>3295641</v>
      </c>
      <c r="J2" s="7"/>
      <c r="K2" s="7"/>
      <c r="L2" s="7"/>
      <c r="M2" s="7"/>
      <c r="N2" s="7"/>
      <c r="O2" s="7"/>
      <c r="P2" s="7"/>
      <c r="U2" s="5" t="s">
        <v>4</v>
      </c>
    </row>
    <row r="3" spans="1:21" x14ac:dyDescent="0.2">
      <c r="A3" s="57" t="s">
        <v>5</v>
      </c>
      <c r="B3" s="57"/>
      <c r="C3" s="57"/>
      <c r="D3" s="57"/>
      <c r="E3" s="57"/>
      <c r="F3" s="57"/>
      <c r="G3" s="9"/>
      <c r="H3" s="10"/>
      <c r="I3" s="11">
        <f>B2</f>
        <v>276964768</v>
      </c>
      <c r="J3" s="4"/>
      <c r="K3" s="4"/>
      <c r="L3" s="4"/>
      <c r="M3" s="4"/>
      <c r="N3" s="4"/>
      <c r="O3" s="4"/>
      <c r="P3" s="4"/>
      <c r="U3" s="5" t="s">
        <v>6</v>
      </c>
    </row>
    <row r="4" spans="1:21" x14ac:dyDescent="0.2">
      <c r="A4" s="12"/>
      <c r="B4" s="12"/>
      <c r="C4" s="12"/>
      <c r="D4" s="12"/>
      <c r="E4" s="12"/>
      <c r="F4" s="12"/>
      <c r="G4" s="2"/>
      <c r="H4" s="4"/>
      <c r="I4" s="13"/>
      <c r="J4" s="4"/>
      <c r="K4" s="4"/>
      <c r="L4" s="4"/>
      <c r="M4" s="4"/>
      <c r="N4" s="4"/>
      <c r="O4" s="4"/>
      <c r="P4" s="4"/>
      <c r="U4" s="5" t="s">
        <v>7</v>
      </c>
    </row>
    <row r="5" spans="1:21" x14ac:dyDescent="0.2">
      <c r="A5" s="58" t="s">
        <v>8</v>
      </c>
      <c r="B5" s="58"/>
      <c r="C5" s="58"/>
      <c r="D5" s="58"/>
      <c r="E5" s="58"/>
      <c r="F5" s="58"/>
      <c r="G5" s="2"/>
      <c r="H5" s="4"/>
      <c r="I5" s="13">
        <f>SUM(I3:I3)</f>
        <v>276964768</v>
      </c>
      <c r="J5" s="4"/>
      <c r="K5" s="4"/>
      <c r="L5" s="4"/>
      <c r="M5" s="4"/>
      <c r="N5" s="4"/>
      <c r="O5" s="4"/>
      <c r="P5" s="4"/>
      <c r="U5" s="5" t="s">
        <v>9</v>
      </c>
    </row>
    <row r="6" spans="1:21" x14ac:dyDescent="0.2">
      <c r="A6" s="4"/>
      <c r="B6" s="4"/>
      <c r="C6" s="4"/>
      <c r="D6" s="4"/>
      <c r="E6" s="4"/>
      <c r="F6" s="4"/>
      <c r="G6" s="2"/>
      <c r="H6" s="4"/>
      <c r="I6" s="13"/>
      <c r="J6" s="4"/>
      <c r="K6" s="4"/>
      <c r="L6" s="4"/>
      <c r="M6" s="4"/>
      <c r="N6" s="4"/>
      <c r="O6" s="4"/>
      <c r="P6" s="4"/>
      <c r="U6" s="5" t="s">
        <v>10</v>
      </c>
    </row>
    <row r="7" spans="1:21" x14ac:dyDescent="0.2">
      <c r="A7" s="12" t="s">
        <v>11</v>
      </c>
      <c r="B7" s="4"/>
      <c r="C7" s="4"/>
      <c r="D7" s="4"/>
      <c r="E7" s="4"/>
      <c r="F7" s="4"/>
      <c r="G7" s="2"/>
      <c r="H7" s="4"/>
      <c r="I7" s="13"/>
      <c r="J7" s="4"/>
      <c r="K7" s="4"/>
      <c r="L7" s="4"/>
      <c r="M7" s="4"/>
      <c r="N7" s="4"/>
      <c r="O7" s="4"/>
      <c r="P7" s="4"/>
      <c r="U7" s="5" t="s">
        <v>12</v>
      </c>
    </row>
    <row r="8" spans="1:21" x14ac:dyDescent="0.2">
      <c r="A8" s="4"/>
      <c r="B8" s="4"/>
      <c r="C8" s="4"/>
      <c r="D8" s="4"/>
      <c r="E8" s="4"/>
      <c r="F8" s="4"/>
      <c r="G8" s="14" t="s">
        <v>13</v>
      </c>
      <c r="H8" s="4"/>
      <c r="I8" s="15"/>
      <c r="J8" s="4"/>
      <c r="K8" s="4"/>
      <c r="L8" s="4"/>
      <c r="M8" s="4"/>
      <c r="N8" s="4"/>
      <c r="O8" s="4"/>
      <c r="P8" s="4"/>
      <c r="U8" s="5" t="s">
        <v>14</v>
      </c>
    </row>
    <row r="9" spans="1:21" x14ac:dyDescent="0.2">
      <c r="A9" s="59" t="s">
        <v>15</v>
      </c>
      <c r="B9" s="59"/>
      <c r="C9" s="59"/>
      <c r="D9" s="59"/>
      <c r="E9" s="59"/>
      <c r="F9" s="59"/>
      <c r="G9" s="14" t="s">
        <v>16</v>
      </c>
      <c r="H9" s="4"/>
      <c r="I9" s="16">
        <f>D2</f>
        <v>5785449</v>
      </c>
      <c r="J9" s="4"/>
      <c r="K9" s="4"/>
      <c r="L9" s="4"/>
      <c r="M9" s="4"/>
      <c r="N9" s="4"/>
      <c r="O9" s="4"/>
      <c r="P9" s="4"/>
      <c r="U9" s="5" t="s">
        <v>17</v>
      </c>
    </row>
    <row r="10" spans="1:21" x14ac:dyDescent="0.2">
      <c r="A10" s="4"/>
      <c r="B10" s="4"/>
      <c r="C10" s="4"/>
      <c r="D10" s="4"/>
      <c r="E10" s="4"/>
      <c r="F10" s="4"/>
      <c r="G10" s="2"/>
      <c r="H10" s="4"/>
      <c r="I10" s="4"/>
      <c r="J10" s="4"/>
      <c r="K10" s="4"/>
      <c r="L10" s="4"/>
      <c r="M10" s="4"/>
      <c r="N10" s="4"/>
      <c r="O10" s="4"/>
      <c r="P10" s="4"/>
      <c r="U10" s="5" t="s">
        <v>18</v>
      </c>
    </row>
    <row r="11" spans="1:21" x14ac:dyDescent="0.2">
      <c r="A11" s="59" t="s">
        <v>19</v>
      </c>
      <c r="B11" s="59"/>
      <c r="C11" s="59"/>
      <c r="D11" s="59"/>
      <c r="E11" s="59"/>
      <c r="F11" s="59"/>
      <c r="G11" s="2"/>
      <c r="H11" s="4"/>
      <c r="I11" s="17">
        <v>5685449</v>
      </c>
      <c r="J11" s="55" t="str">
        <f>IF(SUM(I11:I11)&gt;I9,"PROBLEM The amount you want to set aside is more than the maximum amount available to be set aside.","OK")</f>
        <v>OK</v>
      </c>
      <c r="K11" s="55"/>
      <c r="L11" s="55"/>
      <c r="M11" s="55"/>
      <c r="N11" s="55"/>
      <c r="O11" s="55"/>
      <c r="P11" s="55"/>
      <c r="U11" s="5" t="s">
        <v>20</v>
      </c>
    </row>
    <row r="12" spans="1:21" x14ac:dyDescent="0.2">
      <c r="A12" s="4"/>
      <c r="B12" s="4"/>
      <c r="C12" s="4"/>
      <c r="D12" s="4"/>
      <c r="E12" s="4"/>
      <c r="F12" s="4"/>
      <c r="G12" s="2"/>
      <c r="H12" s="4"/>
      <c r="I12" s="4" t="str">
        <f>IF(SUM(I11:I11)&lt;&gt;ROUND(SUM(I11:I11),0),"WHOLE DOLLARS","")</f>
        <v/>
      </c>
      <c r="J12" s="55"/>
      <c r="K12" s="55"/>
      <c r="L12" s="55"/>
      <c r="M12" s="55"/>
      <c r="N12" s="55"/>
      <c r="O12" s="55"/>
      <c r="P12" s="55"/>
      <c r="U12" s="5" t="s">
        <v>21</v>
      </c>
    </row>
    <row r="13" spans="1:21" x14ac:dyDescent="0.2">
      <c r="A13" s="4"/>
      <c r="B13" s="4"/>
      <c r="C13" s="4"/>
      <c r="D13" s="4"/>
      <c r="E13" s="4"/>
      <c r="F13" s="4"/>
      <c r="G13" s="2"/>
      <c r="H13" s="55" t="str">
        <f>IF(SUM(I11:I11)&gt;I9,"You must reduce the amount you intend to set aside for Administration before you proceed!"," ")</f>
        <v xml:space="preserve"> </v>
      </c>
      <c r="I13" s="55"/>
      <c r="J13" s="55"/>
      <c r="K13" s="55"/>
      <c r="L13" s="55"/>
      <c r="M13" s="55"/>
      <c r="N13" s="55"/>
      <c r="O13" s="55"/>
      <c r="P13" s="55"/>
      <c r="U13" s="5" t="s">
        <v>22</v>
      </c>
    </row>
    <row r="14" spans="1:21" x14ac:dyDescent="0.2">
      <c r="A14" s="58" t="s">
        <v>23</v>
      </c>
      <c r="B14" s="58"/>
      <c r="C14" s="58"/>
      <c r="D14" s="58"/>
      <c r="E14" s="58"/>
      <c r="F14" s="58"/>
      <c r="G14" s="2"/>
      <c r="H14" s="4"/>
      <c r="I14" s="18"/>
      <c r="J14" s="4"/>
      <c r="K14" s="4"/>
      <c r="L14" s="4"/>
      <c r="M14" s="4"/>
      <c r="N14" s="4"/>
      <c r="O14" s="4"/>
      <c r="P14" s="4"/>
      <c r="U14" s="5" t="s">
        <v>24</v>
      </c>
    </row>
    <row r="15" spans="1:21" x14ac:dyDescent="0.2">
      <c r="A15" s="58" t="s">
        <v>25</v>
      </c>
      <c r="B15" s="58"/>
      <c r="C15" s="58"/>
      <c r="D15" s="58"/>
      <c r="E15" s="58"/>
      <c r="F15" s="58"/>
      <c r="G15" s="2"/>
      <c r="H15" s="4"/>
      <c r="I15" s="4"/>
      <c r="J15" s="4" t="s">
        <v>2</v>
      </c>
      <c r="K15" s="4"/>
      <c r="L15" s="4"/>
      <c r="M15" s="4"/>
      <c r="N15" s="4"/>
      <c r="O15" s="4"/>
      <c r="P15" s="4"/>
      <c r="U15" s="5" t="s">
        <v>26</v>
      </c>
    </row>
    <row r="16" spans="1:21" x14ac:dyDescent="0.2">
      <c r="A16" s="12"/>
      <c r="B16" s="4"/>
      <c r="C16" s="4"/>
      <c r="D16" s="4"/>
      <c r="E16" s="4"/>
      <c r="F16" s="4"/>
      <c r="G16" s="2"/>
      <c r="H16" s="4"/>
      <c r="I16" s="4"/>
      <c r="J16" s="4"/>
      <c r="K16" s="4"/>
      <c r="L16" s="4"/>
      <c r="M16" s="4"/>
      <c r="N16" s="4"/>
      <c r="O16" s="4"/>
      <c r="P16" s="4"/>
      <c r="U16" s="5" t="s">
        <v>27</v>
      </c>
    </row>
    <row r="17" spans="1:21" ht="12.75" customHeight="1" x14ac:dyDescent="0.2">
      <c r="A17" s="4"/>
      <c r="B17" s="60" t="s">
        <v>28</v>
      </c>
      <c r="C17" s="60"/>
      <c r="D17" s="60"/>
      <c r="E17" s="60"/>
      <c r="F17" s="60"/>
      <c r="G17" s="20"/>
      <c r="H17" s="4"/>
      <c r="I17" s="4"/>
      <c r="J17" s="4"/>
      <c r="K17" s="4"/>
      <c r="L17" s="4"/>
      <c r="M17" s="4"/>
      <c r="N17" s="4"/>
      <c r="O17" s="4"/>
      <c r="P17" s="4"/>
      <c r="U17" s="5" t="s">
        <v>29</v>
      </c>
    </row>
    <row r="18" spans="1:21" x14ac:dyDescent="0.2">
      <c r="A18" s="4"/>
      <c r="B18" s="60"/>
      <c r="C18" s="60"/>
      <c r="D18" s="60"/>
      <c r="E18" s="60"/>
      <c r="F18" s="60"/>
      <c r="G18" s="20"/>
      <c r="H18" s="4"/>
      <c r="I18" s="4"/>
      <c r="J18" s="4"/>
      <c r="K18" s="4"/>
      <c r="L18" s="4"/>
      <c r="M18" s="4"/>
      <c r="N18" s="4"/>
      <c r="O18" s="4"/>
      <c r="P18" s="4"/>
      <c r="U18" s="5" t="s">
        <v>30</v>
      </c>
    </row>
    <row r="19" spans="1:21" x14ac:dyDescent="0.2">
      <c r="A19" s="4"/>
      <c r="B19" s="60"/>
      <c r="C19" s="60"/>
      <c r="D19" s="60"/>
      <c r="E19" s="60"/>
      <c r="F19" s="60"/>
      <c r="G19" s="20"/>
      <c r="H19" s="4"/>
      <c r="I19" s="4"/>
      <c r="J19" s="4"/>
      <c r="K19" s="4"/>
      <c r="L19" s="4"/>
      <c r="M19" s="4"/>
      <c r="N19" s="4"/>
      <c r="O19" s="4"/>
      <c r="P19" s="4"/>
      <c r="U19" s="5" t="s">
        <v>31</v>
      </c>
    </row>
    <row r="20" spans="1:21" x14ac:dyDescent="0.2">
      <c r="A20" s="4"/>
      <c r="B20" s="60"/>
      <c r="C20" s="60"/>
      <c r="D20" s="60"/>
      <c r="E20" s="60"/>
      <c r="F20" s="60"/>
      <c r="G20" s="20"/>
      <c r="H20" s="4"/>
      <c r="I20" s="4"/>
      <c r="J20" s="4"/>
      <c r="K20" s="4"/>
      <c r="L20" s="4"/>
      <c r="M20" s="4"/>
      <c r="N20" s="4"/>
      <c r="O20" s="4"/>
      <c r="P20" s="4"/>
      <c r="U20" s="5" t="s">
        <v>32</v>
      </c>
    </row>
    <row r="21" spans="1:21" x14ac:dyDescent="0.2">
      <c r="A21" s="4"/>
      <c r="B21" s="60"/>
      <c r="C21" s="60"/>
      <c r="D21" s="60"/>
      <c r="E21" s="60"/>
      <c r="F21" s="60"/>
      <c r="G21" s="21" t="s">
        <v>33</v>
      </c>
      <c r="H21" s="22">
        <v>5685449</v>
      </c>
      <c r="I21" s="4" t="str">
        <f>IF(SUM(H21:H21)&lt;&gt;ROUND(SUM(H21:H21),0),"WHOLE DOLLARS","")</f>
        <v/>
      </c>
      <c r="J21" s="4"/>
      <c r="K21" s="4"/>
      <c r="L21" s="4"/>
      <c r="M21" s="4"/>
      <c r="N21" s="4"/>
      <c r="O21" s="4"/>
      <c r="P21" s="4"/>
      <c r="U21" s="5" t="s">
        <v>34</v>
      </c>
    </row>
    <row r="22" spans="1:21" x14ac:dyDescent="0.2">
      <c r="A22" s="4"/>
      <c r="B22" s="4"/>
      <c r="C22" s="4"/>
      <c r="D22" s="4"/>
      <c r="E22" s="4"/>
      <c r="F22" s="4"/>
      <c r="G22" s="2"/>
      <c r="H22" s="4"/>
      <c r="I22" s="4"/>
      <c r="J22" s="4"/>
      <c r="K22" s="4"/>
      <c r="L22" s="4"/>
      <c r="M22" s="4"/>
      <c r="N22" s="4"/>
      <c r="O22" s="4"/>
      <c r="P22" s="4"/>
      <c r="U22" s="5" t="s">
        <v>35</v>
      </c>
    </row>
    <row r="23" spans="1:21" ht="12.75" customHeight="1" x14ac:dyDescent="0.2">
      <c r="A23" s="4"/>
      <c r="B23" s="60" t="s">
        <v>36</v>
      </c>
      <c r="C23" s="60"/>
      <c r="D23" s="60"/>
      <c r="E23" s="60"/>
      <c r="F23" s="60"/>
      <c r="G23" s="2"/>
      <c r="H23" s="4"/>
      <c r="I23" s="4"/>
      <c r="J23" s="4"/>
      <c r="K23" s="4"/>
      <c r="L23" s="4"/>
      <c r="M23" s="4"/>
      <c r="N23" s="4"/>
      <c r="O23" s="4"/>
      <c r="P23" s="4"/>
      <c r="U23" s="5" t="s">
        <v>37</v>
      </c>
    </row>
    <row r="24" spans="1:21" x14ac:dyDescent="0.2">
      <c r="A24" s="4"/>
      <c r="B24" s="60"/>
      <c r="C24" s="60"/>
      <c r="D24" s="60"/>
      <c r="E24" s="60"/>
      <c r="F24" s="60"/>
      <c r="G24" s="21" t="s">
        <v>38</v>
      </c>
      <c r="H24" s="22"/>
      <c r="I24" s="4" t="str">
        <f>IF(SUM(H24:H24)&lt;&gt;ROUND(SUM(H24:H24),0),"WHOLE DOLLARS","")</f>
        <v/>
      </c>
      <c r="J24" s="4"/>
      <c r="K24" s="4"/>
      <c r="L24" s="4"/>
      <c r="M24" s="4"/>
      <c r="N24" s="4"/>
      <c r="O24" s="4"/>
      <c r="P24" s="4"/>
      <c r="U24" s="5" t="s">
        <v>39</v>
      </c>
    </row>
    <row r="25" spans="1:21" x14ac:dyDescent="0.2">
      <c r="A25" s="4"/>
      <c r="B25" s="19"/>
      <c r="C25" s="19"/>
      <c r="D25" s="19"/>
      <c r="E25" s="19"/>
      <c r="F25" s="19"/>
      <c r="G25" s="21"/>
      <c r="H25" s="23"/>
      <c r="I25" s="4"/>
      <c r="J25" s="4"/>
      <c r="K25" s="4"/>
      <c r="L25" s="4"/>
      <c r="M25" s="4"/>
      <c r="N25" s="4"/>
      <c r="O25" s="4"/>
      <c r="P25" s="4"/>
      <c r="U25" s="5" t="s">
        <v>40</v>
      </c>
    </row>
    <row r="26" spans="1:21" x14ac:dyDescent="0.2">
      <c r="A26" s="12"/>
      <c r="B26" s="4"/>
      <c r="C26" s="4"/>
      <c r="D26" s="4"/>
      <c r="E26" s="4"/>
      <c r="F26" s="4"/>
      <c r="G26" s="2"/>
      <c r="H26" s="4"/>
      <c r="I26" s="4"/>
      <c r="J26" s="4"/>
      <c r="K26" s="4"/>
      <c r="L26" s="4"/>
      <c r="M26" s="4"/>
      <c r="N26" s="4"/>
      <c r="O26" s="4"/>
      <c r="P26" s="4"/>
      <c r="U26" s="5" t="s">
        <v>41</v>
      </c>
    </row>
    <row r="27" spans="1:21" ht="12.75" customHeight="1" x14ac:dyDescent="0.2">
      <c r="A27" s="4"/>
      <c r="B27" s="60" t="s">
        <v>42</v>
      </c>
      <c r="C27" s="60"/>
      <c r="D27" s="60"/>
      <c r="E27" s="60"/>
      <c r="F27" s="60"/>
      <c r="G27" s="2"/>
      <c r="H27" s="4" t="s">
        <v>2</v>
      </c>
      <c r="I27" s="4"/>
      <c r="J27" s="4"/>
      <c r="K27" s="4"/>
      <c r="L27" s="4"/>
      <c r="M27" s="4"/>
      <c r="N27" s="4"/>
      <c r="O27" s="4"/>
      <c r="P27" s="4"/>
      <c r="U27" s="5" t="s">
        <v>43</v>
      </c>
    </row>
    <row r="28" spans="1:21" x14ac:dyDescent="0.2">
      <c r="A28" s="4"/>
      <c r="B28" s="60"/>
      <c r="C28" s="60"/>
      <c r="D28" s="60"/>
      <c r="E28" s="60"/>
      <c r="F28" s="60"/>
      <c r="G28" s="2"/>
      <c r="H28" s="4"/>
      <c r="I28" s="4"/>
      <c r="J28" s="4"/>
      <c r="K28" s="4"/>
      <c r="L28" s="4"/>
      <c r="M28" s="4"/>
      <c r="N28" s="4"/>
      <c r="O28" s="4"/>
      <c r="P28" s="4"/>
      <c r="U28" s="5" t="s">
        <v>44</v>
      </c>
    </row>
    <row r="29" spans="1:21" x14ac:dyDescent="0.2">
      <c r="A29" s="4"/>
      <c r="B29" s="60"/>
      <c r="C29" s="60"/>
      <c r="D29" s="60"/>
      <c r="E29" s="60"/>
      <c r="F29" s="60"/>
      <c r="G29" s="2"/>
      <c r="H29" s="4"/>
      <c r="I29" s="4"/>
      <c r="J29" s="4"/>
      <c r="K29" s="4"/>
      <c r="L29" s="4"/>
      <c r="M29" s="4"/>
      <c r="N29" s="4"/>
      <c r="O29" s="4"/>
      <c r="P29" s="4"/>
      <c r="U29" s="5" t="s">
        <v>45</v>
      </c>
    </row>
    <row r="30" spans="1:21" x14ac:dyDescent="0.2">
      <c r="A30" s="4"/>
      <c r="B30" s="60"/>
      <c r="C30" s="60"/>
      <c r="D30" s="60"/>
      <c r="E30" s="60"/>
      <c r="F30" s="60"/>
      <c r="G30" s="2"/>
      <c r="H30" s="4"/>
      <c r="I30" s="4"/>
      <c r="J30" s="4"/>
      <c r="K30" s="4"/>
      <c r="L30" s="4"/>
      <c r="M30" s="4"/>
      <c r="N30" s="4"/>
      <c r="O30" s="4"/>
      <c r="P30" s="4"/>
      <c r="U30" s="5" t="s">
        <v>46</v>
      </c>
    </row>
    <row r="31" spans="1:21" x14ac:dyDescent="0.2">
      <c r="A31" s="4"/>
      <c r="B31" s="60"/>
      <c r="C31" s="60"/>
      <c r="D31" s="60"/>
      <c r="E31" s="60"/>
      <c r="F31" s="60"/>
      <c r="G31" s="2"/>
      <c r="H31" s="4"/>
      <c r="I31" s="4"/>
      <c r="J31" s="4"/>
      <c r="K31" s="4"/>
      <c r="L31" s="4"/>
      <c r="M31" s="4"/>
      <c r="N31" s="4"/>
      <c r="O31" s="4"/>
      <c r="P31" s="4"/>
      <c r="U31" s="5" t="s">
        <v>47</v>
      </c>
    </row>
    <row r="32" spans="1:21" x14ac:dyDescent="0.2">
      <c r="A32" s="4"/>
      <c r="B32" s="61">
        <f>IF(AND((SUM(I11:I11)&gt;SUM(I2:I2)),((SUM(I11:I11)-SUM(I2:I2))&gt;0)),(SUM(I11:I11)-SUM(I2:I2)),0)</f>
        <v>2389808</v>
      </c>
      <c r="C32" s="61"/>
      <c r="D32" s="61"/>
      <c r="E32" s="61"/>
      <c r="F32" s="61"/>
      <c r="G32" s="2"/>
      <c r="H32" s="24" t="s">
        <v>2</v>
      </c>
      <c r="I32" s="4"/>
      <c r="J32" s="4"/>
      <c r="K32" s="4"/>
      <c r="L32" s="4"/>
      <c r="M32" s="4"/>
      <c r="N32" s="4"/>
      <c r="O32" s="4"/>
      <c r="P32" s="4"/>
      <c r="U32" s="5" t="s">
        <v>48</v>
      </c>
    </row>
    <row r="33" spans="1:21" x14ac:dyDescent="0.2">
      <c r="A33" s="4"/>
      <c r="B33" s="4"/>
      <c r="C33" s="4"/>
      <c r="D33" s="4"/>
      <c r="E33" s="4"/>
      <c r="F33" s="4"/>
      <c r="G33" s="2"/>
      <c r="H33" s="4"/>
      <c r="I33" s="4"/>
      <c r="J33" s="4"/>
      <c r="K33" s="4"/>
      <c r="L33" s="4"/>
      <c r="M33" s="4"/>
      <c r="N33" s="4"/>
      <c r="O33" s="4"/>
      <c r="P33" s="4"/>
      <c r="U33" s="5" t="s">
        <v>49</v>
      </c>
    </row>
    <row r="34" spans="1:21" ht="12.75" customHeight="1" x14ac:dyDescent="0.2">
      <c r="A34" s="4"/>
      <c r="B34" s="4"/>
      <c r="C34" s="60" t="s">
        <v>50</v>
      </c>
      <c r="D34" s="60"/>
      <c r="E34" s="60"/>
      <c r="F34" s="60"/>
      <c r="G34" s="2"/>
      <c r="H34" s="4"/>
      <c r="I34" s="4"/>
      <c r="J34" s="4"/>
      <c r="K34" s="4"/>
      <c r="L34" s="4"/>
      <c r="M34" s="4"/>
      <c r="N34" s="4"/>
      <c r="O34" s="4"/>
      <c r="P34" s="4"/>
      <c r="U34" s="5" t="s">
        <v>51</v>
      </c>
    </row>
    <row r="35" spans="1:21" x14ac:dyDescent="0.2">
      <c r="A35" s="4"/>
      <c r="B35" s="4"/>
      <c r="C35" s="60"/>
      <c r="D35" s="60"/>
      <c r="E35" s="60"/>
      <c r="F35" s="60"/>
      <c r="G35" s="21" t="s">
        <v>52</v>
      </c>
      <c r="H35" s="22"/>
      <c r="I35" s="4" t="str">
        <f>IF(SUM(H35:H35)&lt;&gt;ROUND(SUM(H35:H35),0),"WHOLE DOLLARS","")</f>
        <v/>
      </c>
      <c r="J35" s="4"/>
      <c r="K35" s="4"/>
      <c r="L35" s="4"/>
      <c r="M35" s="4"/>
      <c r="N35" s="4"/>
      <c r="O35" s="4"/>
      <c r="P35" s="4"/>
      <c r="U35" s="5" t="s">
        <v>53</v>
      </c>
    </row>
    <row r="36" spans="1:21" x14ac:dyDescent="0.2">
      <c r="A36" s="4"/>
      <c r="B36" s="4"/>
      <c r="C36" s="4"/>
      <c r="D36" s="4"/>
      <c r="E36" s="4"/>
      <c r="F36" s="4"/>
      <c r="G36" s="2"/>
      <c r="H36" s="4"/>
      <c r="I36" s="4"/>
      <c r="J36" s="4"/>
      <c r="K36" s="4"/>
      <c r="L36" s="4"/>
      <c r="M36" s="4"/>
      <c r="N36" s="4"/>
      <c r="O36" s="4"/>
      <c r="P36" s="4"/>
      <c r="U36" s="5" t="s">
        <v>54</v>
      </c>
    </row>
    <row r="37" spans="1:21" ht="12.75" customHeight="1" x14ac:dyDescent="0.2">
      <c r="A37" s="4"/>
      <c r="B37" s="4"/>
      <c r="C37" s="60" t="s">
        <v>55</v>
      </c>
      <c r="D37" s="60"/>
      <c r="E37" s="60"/>
      <c r="F37" s="60"/>
      <c r="G37" s="2"/>
      <c r="H37" s="4"/>
      <c r="I37" s="4"/>
      <c r="J37" s="4"/>
      <c r="K37" s="4"/>
      <c r="L37" s="4"/>
      <c r="M37" s="4"/>
      <c r="N37" s="4"/>
      <c r="O37" s="4"/>
      <c r="P37" s="4"/>
      <c r="U37" s="5" t="s">
        <v>56</v>
      </c>
    </row>
    <row r="38" spans="1:21" x14ac:dyDescent="0.2">
      <c r="A38" s="4"/>
      <c r="B38" s="4"/>
      <c r="C38" s="60"/>
      <c r="D38" s="60"/>
      <c r="E38" s="60"/>
      <c r="F38" s="60"/>
      <c r="G38" s="2"/>
      <c r="H38" s="4"/>
      <c r="I38" s="4"/>
      <c r="J38" s="4"/>
      <c r="K38" s="4"/>
      <c r="L38" s="4"/>
      <c r="M38" s="4"/>
      <c r="N38" s="4"/>
      <c r="O38" s="4"/>
      <c r="P38" s="4"/>
      <c r="U38" s="5" t="s">
        <v>57</v>
      </c>
    </row>
    <row r="39" spans="1:21" x14ac:dyDescent="0.2">
      <c r="A39" s="4"/>
      <c r="B39" s="4"/>
      <c r="C39" s="60"/>
      <c r="D39" s="60"/>
      <c r="E39" s="60"/>
      <c r="F39" s="60"/>
      <c r="G39" s="21" t="s">
        <v>58</v>
      </c>
      <c r="H39" s="22"/>
      <c r="I39" s="4" t="str">
        <f>IF(SUM(H39:H39)&lt;&gt;ROUND(SUM(H39:H39),0),"WHOLE DOLLARS","")</f>
        <v/>
      </c>
      <c r="J39" s="4"/>
      <c r="K39" s="4"/>
      <c r="L39" s="4"/>
      <c r="M39" s="4"/>
      <c r="N39" s="4"/>
      <c r="O39" s="4"/>
      <c r="P39" s="4"/>
      <c r="U39" s="5" t="s">
        <v>59</v>
      </c>
    </row>
    <row r="40" spans="1:21" x14ac:dyDescent="0.2">
      <c r="A40" s="4"/>
      <c r="B40" s="4"/>
      <c r="C40" s="4"/>
      <c r="D40" s="4"/>
      <c r="E40" s="4"/>
      <c r="F40" s="4"/>
      <c r="G40" s="2"/>
      <c r="H40" s="4"/>
      <c r="I40" s="4"/>
      <c r="J40" s="4"/>
      <c r="K40" s="4"/>
      <c r="L40" s="4"/>
      <c r="M40" s="4"/>
      <c r="N40" s="4"/>
      <c r="O40" s="4"/>
      <c r="P40" s="4"/>
      <c r="U40" s="5" t="s">
        <v>60</v>
      </c>
    </row>
    <row r="41" spans="1:21" x14ac:dyDescent="0.2">
      <c r="A41" s="4"/>
      <c r="B41" s="4"/>
      <c r="C41" s="59" t="s">
        <v>61</v>
      </c>
      <c r="D41" s="59"/>
      <c r="E41" s="59"/>
      <c r="F41" s="59"/>
      <c r="G41" s="21" t="s">
        <v>62</v>
      </c>
      <c r="H41" s="22" t="s">
        <v>2</v>
      </c>
      <c r="I41" s="4" t="str">
        <f>IF(SUM(H41:H41)&lt;&gt;ROUND(SUM(H41:H41),0),"WHOLE DOLLARS","")</f>
        <v/>
      </c>
      <c r="J41" s="4"/>
      <c r="K41" s="4"/>
      <c r="L41" s="4"/>
      <c r="M41" s="4"/>
      <c r="N41" s="4"/>
      <c r="O41" s="4"/>
      <c r="P41" s="4"/>
      <c r="U41" s="5" t="s">
        <v>63</v>
      </c>
    </row>
    <row r="42" spans="1:21" x14ac:dyDescent="0.2">
      <c r="A42" s="4"/>
      <c r="B42" s="4"/>
      <c r="C42" s="4"/>
      <c r="D42" s="4"/>
      <c r="E42" s="4"/>
      <c r="F42" s="4"/>
      <c r="G42" s="2"/>
      <c r="H42" s="4"/>
      <c r="I42" s="4"/>
      <c r="J42" s="4"/>
      <c r="K42" s="4"/>
      <c r="L42" s="4"/>
      <c r="M42" s="4"/>
      <c r="N42" s="4"/>
      <c r="O42" s="4"/>
      <c r="P42" s="4"/>
      <c r="U42" s="5" t="s">
        <v>64</v>
      </c>
    </row>
    <row r="43" spans="1:21" ht="12.75" customHeight="1" x14ac:dyDescent="0.2">
      <c r="A43" s="4"/>
      <c r="B43" s="4"/>
      <c r="C43" s="60" t="s">
        <v>65</v>
      </c>
      <c r="D43" s="60"/>
      <c r="E43" s="60"/>
      <c r="F43" s="60"/>
      <c r="G43" s="2"/>
      <c r="H43" s="4"/>
      <c r="I43" s="4"/>
      <c r="J43" s="4"/>
      <c r="K43" s="4"/>
      <c r="L43" s="4"/>
      <c r="M43" s="4"/>
      <c r="N43" s="4"/>
      <c r="O43" s="4"/>
      <c r="P43" s="4"/>
      <c r="U43" s="5" t="s">
        <v>66</v>
      </c>
    </row>
    <row r="44" spans="1:21" ht="12.75" customHeight="1" x14ac:dyDescent="0.2">
      <c r="A44" s="4"/>
      <c r="B44" s="4"/>
      <c r="C44" s="60"/>
      <c r="D44" s="60"/>
      <c r="E44" s="60"/>
      <c r="F44" s="60"/>
      <c r="G44" s="2"/>
      <c r="H44" s="4"/>
      <c r="I44" s="4"/>
      <c r="J44" s="4"/>
      <c r="K44" s="4"/>
      <c r="L44" s="4"/>
      <c r="M44" s="4"/>
      <c r="N44" s="4"/>
      <c r="O44" s="4"/>
      <c r="P44" s="4"/>
      <c r="U44" s="5" t="s">
        <v>67</v>
      </c>
    </row>
    <row r="45" spans="1:21" x14ac:dyDescent="0.2">
      <c r="A45" s="4"/>
      <c r="B45" s="4"/>
      <c r="C45" s="60"/>
      <c r="D45" s="60"/>
      <c r="E45" s="60"/>
      <c r="F45" s="60"/>
      <c r="G45" s="21" t="s">
        <v>68</v>
      </c>
      <c r="H45" s="22" t="s">
        <v>2</v>
      </c>
      <c r="I45" s="4" t="str">
        <f>IF(SUM(H45:H45)&lt;&gt;ROUND(SUM(H45:H45),0),"WHOLE DOLLARS","")</f>
        <v/>
      </c>
      <c r="J45" s="4"/>
      <c r="K45" s="4"/>
      <c r="L45" s="4"/>
      <c r="M45" s="4"/>
      <c r="N45" s="4"/>
      <c r="O45" s="4"/>
      <c r="P45" s="4"/>
      <c r="U45" s="5" t="s">
        <v>69</v>
      </c>
    </row>
    <row r="46" spans="1:21" x14ac:dyDescent="0.2">
      <c r="A46" s="4"/>
      <c r="B46" s="4"/>
      <c r="C46" s="4"/>
      <c r="D46" s="4"/>
      <c r="E46" s="4"/>
      <c r="F46" s="4"/>
      <c r="G46" s="21"/>
      <c r="H46" s="23"/>
      <c r="I46" s="23"/>
      <c r="J46" s="4"/>
      <c r="K46" s="4"/>
      <c r="L46" s="4"/>
      <c r="M46" s="4"/>
      <c r="N46" s="4"/>
      <c r="O46" s="4"/>
      <c r="P46" s="4"/>
      <c r="U46" s="5" t="s">
        <v>70</v>
      </c>
    </row>
    <row r="47" spans="1:21" x14ac:dyDescent="0.2">
      <c r="A47" s="4"/>
      <c r="B47" s="4"/>
      <c r="C47" s="4"/>
      <c r="D47" s="59" t="s">
        <v>71</v>
      </c>
      <c r="E47" s="59"/>
      <c r="F47" s="59"/>
      <c r="G47" s="21"/>
      <c r="H47" s="23">
        <f>SUM(H35:H45)</f>
        <v>0</v>
      </c>
      <c r="I47" s="23" t="s">
        <v>2</v>
      </c>
      <c r="J47" s="25" t="str">
        <f>IF(B32&lt;H47,"PROBLEM - The sum of these 4 activities may not exceed","OK")</f>
        <v>OK</v>
      </c>
      <c r="K47" s="4"/>
      <c r="L47" s="4"/>
      <c r="M47" s="4"/>
      <c r="N47" s="4"/>
      <c r="O47" s="4"/>
      <c r="P47" s="25" t="s">
        <v>2</v>
      </c>
      <c r="U47" s="5" t="s">
        <v>72</v>
      </c>
    </row>
    <row r="48" spans="1:21" x14ac:dyDescent="0.2">
      <c r="A48" s="4"/>
      <c r="B48" s="4"/>
      <c r="C48" s="4"/>
      <c r="D48" s="4"/>
      <c r="E48" s="4"/>
      <c r="F48" s="4"/>
      <c r="G48" s="21"/>
      <c r="H48" s="23"/>
      <c r="I48" s="23"/>
      <c r="J48" s="25" t="str">
        <f>IF(J47&lt;&gt;"OK",(B32),"")</f>
        <v/>
      </c>
      <c r="K48" s="4"/>
      <c r="L48" s="4"/>
      <c r="M48" s="4"/>
      <c r="N48" s="4"/>
      <c r="O48" s="4"/>
      <c r="P48" s="25"/>
      <c r="U48" s="5" t="s">
        <v>73</v>
      </c>
    </row>
    <row r="49" spans="1:21" x14ac:dyDescent="0.2">
      <c r="A49" s="4"/>
      <c r="B49" s="4"/>
      <c r="C49" s="4"/>
      <c r="D49" s="4"/>
      <c r="E49" s="4"/>
      <c r="F49" s="4"/>
      <c r="G49" s="21"/>
      <c r="H49" s="23"/>
      <c r="I49" s="23"/>
      <c r="J49" s="25"/>
      <c r="K49" s="4"/>
      <c r="L49" s="4"/>
      <c r="M49" s="4"/>
      <c r="N49" s="4"/>
      <c r="O49" s="4"/>
      <c r="P49" s="25"/>
      <c r="U49" s="5" t="s">
        <v>0</v>
      </c>
    </row>
    <row r="50" spans="1:21" ht="12.75" customHeight="1" x14ac:dyDescent="0.2">
      <c r="A50" s="4"/>
      <c r="B50" s="60" t="s">
        <v>74</v>
      </c>
      <c r="C50" s="60"/>
      <c r="D50" s="60"/>
      <c r="E50" s="60"/>
      <c r="F50" s="60"/>
      <c r="G50" s="2"/>
      <c r="H50" s="4"/>
      <c r="I50" s="4"/>
      <c r="J50" s="4"/>
      <c r="K50" s="4"/>
      <c r="L50" s="4"/>
      <c r="M50" s="4"/>
      <c r="N50" s="4"/>
      <c r="O50" s="4"/>
      <c r="P50" s="4"/>
      <c r="U50" s="5" t="s">
        <v>75</v>
      </c>
    </row>
    <row r="51" spans="1:21" x14ac:dyDescent="0.2">
      <c r="A51" s="4"/>
      <c r="B51" s="60"/>
      <c r="C51" s="60"/>
      <c r="D51" s="60"/>
      <c r="E51" s="60"/>
      <c r="F51" s="60"/>
      <c r="G51" s="2"/>
      <c r="H51" s="4"/>
      <c r="I51" s="4"/>
      <c r="J51" s="4"/>
      <c r="K51" s="4"/>
      <c r="L51" s="4"/>
      <c r="M51" s="4"/>
      <c r="N51" s="4"/>
      <c r="O51" s="4"/>
      <c r="P51" s="4"/>
      <c r="U51" s="5" t="s">
        <v>76</v>
      </c>
    </row>
    <row r="52" spans="1:21" x14ac:dyDescent="0.2">
      <c r="A52" s="4"/>
      <c r="B52" s="60"/>
      <c r="C52" s="60"/>
      <c r="D52" s="60"/>
      <c r="E52" s="60"/>
      <c r="F52" s="60"/>
      <c r="G52" s="2"/>
      <c r="H52" s="4"/>
      <c r="I52" s="4"/>
      <c r="J52" s="4"/>
      <c r="K52" s="4"/>
      <c r="L52" s="4"/>
      <c r="M52" s="4"/>
      <c r="N52" s="4"/>
      <c r="O52" s="4"/>
      <c r="P52" s="4"/>
      <c r="U52" s="5" t="s">
        <v>77</v>
      </c>
    </row>
    <row r="53" spans="1:21" x14ac:dyDescent="0.2">
      <c r="A53" s="4"/>
      <c r="B53" s="60"/>
      <c r="C53" s="60"/>
      <c r="D53" s="60"/>
      <c r="E53" s="60"/>
      <c r="F53" s="60"/>
      <c r="G53" s="2"/>
      <c r="H53" s="4"/>
      <c r="I53" s="4"/>
      <c r="J53" s="4"/>
      <c r="K53" s="4"/>
      <c r="L53" s="4"/>
      <c r="M53" s="4"/>
      <c r="N53" s="4"/>
      <c r="O53" s="4"/>
      <c r="P53" s="4"/>
      <c r="U53" s="5" t="s">
        <v>78</v>
      </c>
    </row>
    <row r="54" spans="1:21" x14ac:dyDescent="0.2">
      <c r="A54" s="4"/>
      <c r="B54" s="60"/>
      <c r="C54" s="60"/>
      <c r="D54" s="60"/>
      <c r="E54" s="60"/>
      <c r="F54" s="60"/>
      <c r="G54" s="2"/>
      <c r="H54" s="4"/>
      <c r="I54" s="4"/>
      <c r="J54" s="4"/>
      <c r="K54" s="4"/>
      <c r="L54" s="4"/>
      <c r="M54" s="4"/>
      <c r="N54" s="4"/>
      <c r="O54" s="4"/>
      <c r="P54" s="4"/>
      <c r="U54" s="5" t="s">
        <v>79</v>
      </c>
    </row>
    <row r="55" spans="1:21" x14ac:dyDescent="0.2">
      <c r="A55" s="4"/>
      <c r="B55" s="60"/>
      <c r="C55" s="60"/>
      <c r="D55" s="60"/>
      <c r="E55" s="60"/>
      <c r="F55" s="60"/>
      <c r="G55" s="2"/>
      <c r="H55" s="4"/>
      <c r="I55" s="4"/>
      <c r="J55" s="4"/>
      <c r="K55" s="4"/>
      <c r="L55" s="4"/>
      <c r="M55" s="4"/>
      <c r="N55" s="4"/>
      <c r="O55" s="4"/>
      <c r="P55" s="4"/>
      <c r="U55" s="5" t="s">
        <v>80</v>
      </c>
    </row>
    <row r="56" spans="1:21" x14ac:dyDescent="0.2">
      <c r="A56" s="4"/>
      <c r="B56" s="60"/>
      <c r="C56" s="60"/>
      <c r="D56" s="60"/>
      <c r="E56" s="60"/>
      <c r="F56" s="60"/>
      <c r="G56" s="2"/>
      <c r="H56" s="4"/>
      <c r="I56" s="4"/>
      <c r="J56" s="4"/>
      <c r="K56" s="4"/>
      <c r="L56" s="4"/>
      <c r="M56" s="4"/>
      <c r="N56" s="4"/>
      <c r="O56" s="4"/>
      <c r="P56" s="4"/>
      <c r="U56" s="5" t="s">
        <v>81</v>
      </c>
    </row>
    <row r="57" spans="1:21" x14ac:dyDescent="0.2">
      <c r="A57" s="4"/>
      <c r="B57" s="60"/>
      <c r="C57" s="60"/>
      <c r="D57" s="60"/>
      <c r="E57" s="60"/>
      <c r="F57" s="60"/>
      <c r="G57" s="2"/>
      <c r="H57" s="4"/>
      <c r="I57" s="4"/>
      <c r="J57" s="4"/>
      <c r="K57" s="4"/>
      <c r="L57" s="4"/>
      <c r="M57" s="4"/>
      <c r="N57" s="4"/>
      <c r="O57" s="4"/>
      <c r="P57" s="4"/>
      <c r="U57" s="5" t="s">
        <v>82</v>
      </c>
    </row>
    <row r="58" spans="1:21" x14ac:dyDescent="0.2">
      <c r="A58" s="4"/>
      <c r="B58" s="60"/>
      <c r="C58" s="60"/>
      <c r="D58" s="60"/>
      <c r="E58" s="60"/>
      <c r="F58" s="60"/>
      <c r="G58" s="21" t="s">
        <v>83</v>
      </c>
      <c r="H58" s="22" t="s">
        <v>2</v>
      </c>
      <c r="I58" s="4" t="str">
        <f>IF(SUM(H58:H58)&lt;&gt;ROUND(SUM(H58:H58),0),"WHOLE DOLLARS","")</f>
        <v/>
      </c>
      <c r="J58" s="4"/>
      <c r="K58" s="4"/>
      <c r="L58" s="4"/>
      <c r="M58" s="4"/>
      <c r="N58" s="4"/>
      <c r="O58" s="4"/>
      <c r="P58" s="4"/>
      <c r="U58" s="5" t="s">
        <v>84</v>
      </c>
    </row>
    <row r="59" spans="1:21" x14ac:dyDescent="0.2">
      <c r="A59" s="4"/>
      <c r="B59" s="4"/>
      <c r="C59" s="4"/>
      <c r="D59" s="4"/>
      <c r="E59" s="4"/>
      <c r="F59" s="4"/>
      <c r="G59" s="21"/>
      <c r="H59" s="23"/>
      <c r="I59" s="23"/>
      <c r="J59" s="25"/>
      <c r="K59" s="4"/>
      <c r="L59" s="4"/>
      <c r="M59" s="4"/>
      <c r="N59" s="4"/>
      <c r="O59" s="4"/>
      <c r="P59" s="25"/>
      <c r="U59" s="5" t="s">
        <v>85</v>
      </c>
    </row>
    <row r="60" spans="1:21" x14ac:dyDescent="0.2">
      <c r="A60" s="4"/>
      <c r="B60" s="4"/>
      <c r="C60" s="4"/>
      <c r="D60" s="4"/>
      <c r="E60" s="4"/>
      <c r="F60" s="4"/>
      <c r="G60" s="21"/>
      <c r="H60" s="23"/>
      <c r="I60" s="23"/>
      <c r="J60" s="25"/>
      <c r="K60" s="4"/>
      <c r="L60" s="4"/>
      <c r="M60" s="4"/>
      <c r="N60" s="4"/>
      <c r="O60" s="4"/>
      <c r="P60" s="25"/>
    </row>
    <row r="61" spans="1:21" x14ac:dyDescent="0.2">
      <c r="A61" s="4"/>
      <c r="B61" s="4"/>
      <c r="C61" s="4"/>
      <c r="D61" s="4"/>
      <c r="E61" s="4"/>
      <c r="F61" s="4"/>
      <c r="G61" s="21"/>
      <c r="H61" s="23"/>
      <c r="I61" s="23"/>
      <c r="J61" s="25"/>
      <c r="K61" s="4"/>
      <c r="L61" s="4"/>
      <c r="M61" s="4"/>
      <c r="N61" s="4"/>
      <c r="O61" s="4"/>
      <c r="P61" s="25"/>
    </row>
    <row r="62" spans="1:21" x14ac:dyDescent="0.2">
      <c r="A62" s="4"/>
      <c r="B62" s="4"/>
      <c r="C62" s="4"/>
      <c r="D62" s="4" t="s">
        <v>86</v>
      </c>
      <c r="E62" s="4"/>
      <c r="F62" s="4"/>
      <c r="G62" s="21"/>
      <c r="H62" s="23"/>
      <c r="I62" s="23">
        <f>SUM(H21:H58)-H47</f>
        <v>5685449</v>
      </c>
      <c r="J62" s="62" t="str">
        <f>IF(I62&gt;SUM(I11:I11),"PROBLEM - You have distributed more funds for Administration than you said you want to set aside for Administration",(IF(I62&lt;SUM(I11:I11),"PROBLEM - You have not distributed as much as you said you wanted to set aside for Administration.","OK")))</f>
        <v>OK</v>
      </c>
      <c r="K62" s="62"/>
      <c r="L62" s="62"/>
      <c r="M62" s="62"/>
      <c r="N62" s="62"/>
      <c r="O62" s="62"/>
      <c r="P62" s="62"/>
    </row>
    <row r="63" spans="1:21" x14ac:dyDescent="0.2">
      <c r="A63" s="4"/>
      <c r="B63" s="4"/>
      <c r="C63" s="4"/>
      <c r="D63" s="4"/>
      <c r="E63" s="4"/>
      <c r="F63" s="4"/>
      <c r="G63" s="21"/>
      <c r="H63" s="23"/>
      <c r="I63" s="23"/>
      <c r="J63" s="62"/>
      <c r="K63" s="62"/>
      <c r="L63" s="62"/>
      <c r="M63" s="62"/>
      <c r="N63" s="62"/>
      <c r="O63" s="62"/>
      <c r="P63" s="62"/>
      <c r="U63" s="26"/>
    </row>
    <row r="64" spans="1:21" x14ac:dyDescent="0.2">
      <c r="A64" s="4"/>
      <c r="B64" s="4"/>
      <c r="C64" s="4"/>
      <c r="D64" s="4"/>
      <c r="E64" s="4"/>
      <c r="F64" s="4"/>
      <c r="G64" s="21"/>
      <c r="H64" s="23"/>
      <c r="I64" s="23"/>
      <c r="J64" s="62" t="str">
        <f>IF(I62&lt;&gt;SUM(I11:I11),"The difference between what you said you wanted to set aside and the details of what you have set aside is","")</f>
        <v/>
      </c>
      <c r="K64" s="62"/>
      <c r="L64" s="62"/>
      <c r="M64" s="62"/>
      <c r="N64" s="62"/>
      <c r="O64" s="62"/>
      <c r="P64" s="62"/>
    </row>
    <row r="65" spans="1:16" x14ac:dyDescent="0.2">
      <c r="A65" s="4"/>
      <c r="B65" s="4"/>
      <c r="C65" s="4"/>
      <c r="D65" s="4"/>
      <c r="E65" s="4"/>
      <c r="F65" s="4"/>
      <c r="G65" s="21"/>
      <c r="H65" s="23"/>
      <c r="I65" s="23"/>
      <c r="J65" s="62"/>
      <c r="K65" s="62"/>
      <c r="L65" s="62"/>
      <c r="M65" s="62"/>
      <c r="N65" s="62"/>
      <c r="O65" s="62"/>
      <c r="P65" s="62"/>
    </row>
    <row r="66" spans="1:16" x14ac:dyDescent="0.2">
      <c r="A66" s="4"/>
      <c r="B66" s="4"/>
      <c r="C66" s="4"/>
      <c r="D66" s="4"/>
      <c r="E66" s="4"/>
      <c r="F66" s="4"/>
      <c r="G66" s="21"/>
      <c r="H66" s="23"/>
      <c r="I66" s="23"/>
      <c r="J66" s="25" t="str">
        <f>IF(I62&gt;SUM(I11:I11),I62-SUM(I11:I11),(IF(I62&lt;SUM(I11:I11),SUM(I11:I11)-I62,"")))</f>
        <v/>
      </c>
      <c r="K66" s="4"/>
      <c r="L66" s="4"/>
      <c r="M66" s="4"/>
      <c r="N66" s="4"/>
      <c r="O66" s="4"/>
      <c r="P66" s="4"/>
    </row>
    <row r="67" spans="1:16" x14ac:dyDescent="0.2">
      <c r="A67" s="4"/>
      <c r="B67" s="4"/>
      <c r="C67" s="4"/>
      <c r="D67" s="4"/>
      <c r="E67" s="4"/>
      <c r="F67" s="4"/>
      <c r="G67" s="2"/>
      <c r="H67" s="4"/>
      <c r="I67" s="4"/>
      <c r="J67" s="4"/>
      <c r="K67" s="4"/>
      <c r="L67" s="4"/>
      <c r="M67" s="4"/>
      <c r="N67" s="4"/>
      <c r="O67" s="4"/>
      <c r="P67" s="4"/>
    </row>
    <row r="68" spans="1:16" x14ac:dyDescent="0.2">
      <c r="A68" s="12" t="s">
        <v>87</v>
      </c>
      <c r="B68" s="4"/>
      <c r="C68" s="4"/>
      <c r="D68" s="4"/>
      <c r="E68" s="4"/>
      <c r="F68" s="4"/>
      <c r="G68" s="2"/>
      <c r="H68" s="4"/>
      <c r="I68" s="4"/>
      <c r="J68" s="4"/>
      <c r="K68" s="4"/>
      <c r="L68" s="4"/>
      <c r="M68" s="4"/>
      <c r="N68" s="4"/>
      <c r="O68" s="4"/>
      <c r="P68" s="4"/>
    </row>
    <row r="69" spans="1:16" x14ac:dyDescent="0.2">
      <c r="A69" s="12"/>
      <c r="B69" s="4"/>
      <c r="C69" s="4"/>
      <c r="D69" s="4"/>
      <c r="E69" s="4"/>
      <c r="F69" s="4"/>
      <c r="G69" s="2"/>
      <c r="H69" s="4"/>
      <c r="I69" s="4"/>
      <c r="J69" s="4"/>
      <c r="K69" s="4"/>
      <c r="L69" s="4"/>
      <c r="M69" s="4"/>
      <c r="N69" s="4"/>
      <c r="O69" s="4"/>
      <c r="P69" s="4"/>
    </row>
    <row r="70" spans="1:16" ht="12.75" customHeight="1" x14ac:dyDescent="0.2">
      <c r="A70" s="60" t="s">
        <v>88</v>
      </c>
      <c r="B70" s="60"/>
      <c r="C70" s="60"/>
      <c r="D70" s="60"/>
      <c r="E70" s="60"/>
      <c r="F70" s="60"/>
      <c r="G70" s="2"/>
      <c r="H70" s="4"/>
      <c r="I70" s="4"/>
      <c r="J70" s="4"/>
      <c r="K70" s="4"/>
      <c r="L70" s="4"/>
      <c r="M70" s="4"/>
      <c r="N70" s="4"/>
      <c r="O70" s="4"/>
      <c r="P70" s="4"/>
    </row>
    <row r="71" spans="1:16" x14ac:dyDescent="0.2">
      <c r="A71" s="60"/>
      <c r="B71" s="60"/>
      <c r="C71" s="60"/>
      <c r="D71" s="60"/>
      <c r="E71" s="60"/>
      <c r="F71" s="60"/>
      <c r="G71" s="2"/>
      <c r="H71" s="4"/>
      <c r="I71" s="4"/>
      <c r="J71" s="4"/>
      <c r="K71" s="4"/>
      <c r="L71" s="4"/>
      <c r="M71" s="4"/>
      <c r="N71" s="4"/>
      <c r="O71" s="4"/>
      <c r="P71" s="4"/>
    </row>
    <row r="72" spans="1:16" x14ac:dyDescent="0.2">
      <c r="A72" s="60"/>
      <c r="B72" s="60"/>
      <c r="C72" s="60"/>
      <c r="D72" s="60"/>
      <c r="E72" s="60"/>
      <c r="F72" s="60"/>
      <c r="G72" s="21"/>
      <c r="H72" s="23">
        <f xml:space="preserve"> (E2)</f>
        <v>33265090.760636218</v>
      </c>
      <c r="I72" s="23" t="s">
        <v>2</v>
      </c>
      <c r="J72" s="4"/>
      <c r="K72" s="4"/>
      <c r="L72" s="4"/>
      <c r="M72" s="4"/>
      <c r="N72" s="4"/>
      <c r="O72" s="4"/>
      <c r="P72" s="4"/>
    </row>
    <row r="73" spans="1:16" ht="12.75" customHeight="1" x14ac:dyDescent="0.2">
      <c r="A73" s="60" t="s">
        <v>89</v>
      </c>
      <c r="B73" s="60"/>
      <c r="C73" s="60"/>
      <c r="D73" s="60"/>
      <c r="E73" s="60"/>
      <c r="F73" s="60"/>
      <c r="G73" s="2"/>
      <c r="H73" s="4"/>
      <c r="I73" s="4"/>
      <c r="J73" s="4"/>
      <c r="K73" s="4"/>
      <c r="L73" s="4"/>
      <c r="M73" s="4"/>
      <c r="N73" s="4"/>
      <c r="O73" s="4"/>
      <c r="P73" s="4"/>
    </row>
    <row r="74" spans="1:16" x14ac:dyDescent="0.2">
      <c r="A74" s="60"/>
      <c r="B74" s="60"/>
      <c r="C74" s="60"/>
      <c r="D74" s="60"/>
      <c r="E74" s="60"/>
      <c r="F74" s="60"/>
      <c r="G74" s="2"/>
      <c r="H74" s="23" t="s">
        <v>2</v>
      </c>
      <c r="I74" s="23" t="s">
        <v>2</v>
      </c>
      <c r="J74" s="4"/>
      <c r="K74" s="4"/>
      <c r="L74" s="4"/>
      <c r="M74" s="4"/>
      <c r="N74" s="4"/>
      <c r="O74" s="4"/>
      <c r="P74" s="4"/>
    </row>
    <row r="75" spans="1:16" x14ac:dyDescent="0.2">
      <c r="A75" s="12"/>
      <c r="B75" s="4"/>
      <c r="C75" s="4"/>
      <c r="D75" s="4"/>
      <c r="E75" s="4"/>
      <c r="F75" s="4"/>
      <c r="G75" s="2"/>
      <c r="H75" s="4"/>
      <c r="I75" s="4"/>
      <c r="J75" s="4"/>
      <c r="K75" s="4"/>
      <c r="L75" s="4"/>
      <c r="M75" s="4"/>
      <c r="N75" s="4"/>
      <c r="O75" s="4"/>
      <c r="P75" s="4"/>
    </row>
    <row r="76" spans="1:16" ht="12.75" customHeight="1" x14ac:dyDescent="0.2">
      <c r="A76" s="60" t="s">
        <v>90</v>
      </c>
      <c r="B76" s="60"/>
      <c r="C76" s="60"/>
      <c r="D76" s="60"/>
      <c r="E76" s="60"/>
      <c r="F76" s="60"/>
      <c r="G76" s="2"/>
      <c r="H76" s="4"/>
      <c r="I76" s="4"/>
      <c r="J76" s="4"/>
      <c r="K76" s="4"/>
      <c r="L76" s="4"/>
      <c r="M76" s="4"/>
      <c r="N76" s="4"/>
      <c r="O76" s="4"/>
      <c r="P76" s="4"/>
    </row>
    <row r="77" spans="1:16" x14ac:dyDescent="0.2">
      <c r="A77" s="60"/>
      <c r="B77" s="60"/>
      <c r="C77" s="60"/>
      <c r="D77" s="60"/>
      <c r="E77" s="60"/>
      <c r="F77" s="60"/>
      <c r="G77" s="2"/>
      <c r="H77" s="4"/>
      <c r="I77" s="4"/>
      <c r="J77" s="4"/>
      <c r="K77" s="4"/>
      <c r="L77" s="4"/>
      <c r="M77" s="4"/>
      <c r="N77" s="4"/>
      <c r="O77" s="4"/>
      <c r="P77" s="4"/>
    </row>
    <row r="78" spans="1:16" x14ac:dyDescent="0.2">
      <c r="A78" s="60"/>
      <c r="B78" s="60"/>
      <c r="C78" s="60"/>
      <c r="D78" s="60"/>
      <c r="E78" s="60"/>
      <c r="F78" s="60"/>
      <c r="G78" s="21"/>
      <c r="H78" s="23">
        <f>(F2)</f>
        <v>29767366.402991362</v>
      </c>
      <c r="I78" s="23" t="s">
        <v>2</v>
      </c>
      <c r="J78" s="4"/>
      <c r="K78" s="4"/>
      <c r="L78" s="4"/>
      <c r="M78" s="4"/>
      <c r="N78" s="4"/>
      <c r="O78" s="4"/>
      <c r="P78" s="4"/>
    </row>
    <row r="79" spans="1:16" x14ac:dyDescent="0.2">
      <c r="A79" s="12"/>
      <c r="B79" s="4"/>
      <c r="C79" s="4"/>
      <c r="D79" s="4"/>
      <c r="E79" s="4"/>
      <c r="F79" s="4"/>
      <c r="G79" s="2"/>
      <c r="H79" s="4"/>
      <c r="I79" s="4"/>
      <c r="J79" s="4"/>
      <c r="K79" s="4"/>
      <c r="L79" s="4"/>
      <c r="M79" s="4"/>
      <c r="N79" s="4"/>
      <c r="O79" s="4"/>
      <c r="P79" s="4"/>
    </row>
    <row r="80" spans="1:16" ht="12.75" customHeight="1" x14ac:dyDescent="0.2">
      <c r="A80" s="60" t="s">
        <v>91</v>
      </c>
      <c r="B80" s="60"/>
      <c r="C80" s="60"/>
      <c r="D80" s="60"/>
      <c r="E80" s="60"/>
      <c r="F80" s="60"/>
      <c r="G80" s="2"/>
      <c r="H80" s="4"/>
      <c r="I80" s="4"/>
      <c r="J80" s="4"/>
      <c r="K80" s="4"/>
      <c r="L80" s="4"/>
      <c r="M80" s="4"/>
      <c r="N80" s="4"/>
      <c r="O80" s="4"/>
      <c r="P80" s="4"/>
    </row>
    <row r="81" spans="1:16" x14ac:dyDescent="0.2">
      <c r="A81" s="60"/>
      <c r="B81" s="60"/>
      <c r="C81" s="60"/>
      <c r="D81" s="60"/>
      <c r="E81" s="60"/>
      <c r="F81" s="60"/>
      <c r="G81" s="2"/>
      <c r="H81" s="4"/>
      <c r="I81" s="4"/>
      <c r="J81" s="4"/>
      <c r="K81" s="4"/>
      <c r="L81" s="4"/>
      <c r="M81" s="4"/>
      <c r="N81" s="4"/>
      <c r="O81" s="4"/>
      <c r="P81" s="4"/>
    </row>
    <row r="82" spans="1:16" x14ac:dyDescent="0.2">
      <c r="A82" s="60"/>
      <c r="B82" s="60"/>
      <c r="C82" s="60"/>
      <c r="D82" s="60"/>
      <c r="E82" s="60"/>
      <c r="F82" s="60"/>
      <c r="G82" s="21"/>
      <c r="H82" s="23">
        <f>(G2)</f>
        <v>34928345.298668027</v>
      </c>
      <c r="I82" s="23" t="s">
        <v>2</v>
      </c>
      <c r="J82" s="4"/>
      <c r="K82" s="4"/>
      <c r="L82" s="4"/>
      <c r="M82" s="4"/>
      <c r="N82" s="4"/>
      <c r="O82" s="4"/>
      <c r="P82" s="4"/>
    </row>
    <row r="83" spans="1:16" ht="12.75" customHeight="1" x14ac:dyDescent="0.2">
      <c r="A83" s="60" t="s">
        <v>89</v>
      </c>
      <c r="B83" s="60"/>
      <c r="C83" s="60"/>
      <c r="D83" s="60"/>
      <c r="E83" s="60"/>
      <c r="F83" s="60"/>
      <c r="G83" s="2"/>
      <c r="H83" s="4"/>
      <c r="I83" s="4"/>
      <c r="J83" s="4"/>
      <c r="K83" s="4"/>
      <c r="L83" s="4"/>
      <c r="M83" s="4"/>
      <c r="N83" s="4"/>
      <c r="O83" s="4"/>
      <c r="P83" s="4"/>
    </row>
    <row r="84" spans="1:16" x14ac:dyDescent="0.2">
      <c r="A84" s="60"/>
      <c r="B84" s="60"/>
      <c r="C84" s="60"/>
      <c r="D84" s="60"/>
      <c r="E84" s="60"/>
      <c r="F84" s="60"/>
      <c r="G84" s="2"/>
      <c r="H84" s="4"/>
      <c r="I84" s="4"/>
      <c r="J84" s="4"/>
      <c r="K84" s="4"/>
      <c r="L84" s="4"/>
      <c r="M84" s="4"/>
      <c r="N84" s="4"/>
      <c r="O84" s="4"/>
      <c r="P84" s="4"/>
    </row>
    <row r="85" spans="1:16" x14ac:dyDescent="0.2">
      <c r="A85" s="4"/>
      <c r="B85" s="4"/>
      <c r="C85" s="4"/>
      <c r="D85" s="4"/>
      <c r="E85" s="4"/>
      <c r="F85" s="4"/>
      <c r="G85" s="2"/>
      <c r="H85" s="4"/>
      <c r="I85" s="4"/>
      <c r="J85" s="4"/>
      <c r="K85" s="4"/>
      <c r="L85" s="4"/>
      <c r="M85" s="4"/>
      <c r="N85" s="4"/>
      <c r="O85" s="4"/>
      <c r="P85" s="4"/>
    </row>
    <row r="86" spans="1:16" ht="12.75" customHeight="1" x14ac:dyDescent="0.2">
      <c r="A86" s="60" t="s">
        <v>92</v>
      </c>
      <c r="B86" s="60"/>
      <c r="C86" s="60"/>
      <c r="D86" s="60"/>
      <c r="E86" s="60"/>
      <c r="F86" s="60"/>
      <c r="G86" s="2"/>
      <c r="H86" s="4"/>
      <c r="I86" s="4"/>
      <c r="J86" s="4"/>
      <c r="K86" s="4"/>
      <c r="L86" s="4"/>
      <c r="M86" s="4"/>
      <c r="N86" s="4"/>
      <c r="O86" s="4"/>
      <c r="P86" s="4"/>
    </row>
    <row r="87" spans="1:16" x14ac:dyDescent="0.2">
      <c r="A87" s="60"/>
      <c r="B87" s="60"/>
      <c r="C87" s="60"/>
      <c r="D87" s="60"/>
      <c r="E87" s="60"/>
      <c r="F87" s="60"/>
      <c r="G87" s="2"/>
      <c r="H87" s="4"/>
      <c r="I87" s="4"/>
      <c r="J87" s="4"/>
      <c r="K87" s="4"/>
      <c r="L87" s="4"/>
      <c r="M87" s="4"/>
      <c r="N87" s="4"/>
      <c r="O87" s="4"/>
      <c r="P87" s="4"/>
    </row>
    <row r="88" spans="1:16" x14ac:dyDescent="0.2">
      <c r="A88" s="60"/>
      <c r="B88" s="60"/>
      <c r="C88" s="60"/>
      <c r="D88" s="60"/>
      <c r="E88" s="60"/>
      <c r="F88" s="60"/>
      <c r="G88" s="21"/>
      <c r="H88" s="23">
        <f>(H2)</f>
        <v>31601836.222604424</v>
      </c>
      <c r="I88" s="23" t="s">
        <v>2</v>
      </c>
      <c r="J88" s="4"/>
      <c r="K88" s="4"/>
      <c r="L88" s="4"/>
      <c r="M88" s="4"/>
      <c r="N88" s="4"/>
      <c r="O88" s="4"/>
      <c r="P88" s="4"/>
    </row>
    <row r="89" spans="1:16" x14ac:dyDescent="0.2">
      <c r="A89" s="4"/>
      <c r="B89" s="4"/>
      <c r="C89" s="4"/>
      <c r="D89" s="4"/>
      <c r="E89" s="4"/>
      <c r="F89" s="4"/>
      <c r="G89" s="2"/>
      <c r="H89" s="4"/>
      <c r="I89" s="4"/>
      <c r="J89" s="4"/>
      <c r="K89" s="4"/>
      <c r="L89" s="4"/>
      <c r="M89" s="4"/>
      <c r="N89" s="4"/>
      <c r="O89" s="4"/>
      <c r="P89" s="4"/>
    </row>
    <row r="90" spans="1:16" x14ac:dyDescent="0.2">
      <c r="A90" s="4"/>
      <c r="B90" s="4"/>
      <c r="C90" s="4"/>
      <c r="D90" s="4"/>
      <c r="E90" s="4"/>
      <c r="F90" s="4"/>
      <c r="G90" s="2"/>
      <c r="H90" s="4"/>
      <c r="I90" s="4"/>
      <c r="J90" s="4"/>
      <c r="K90" s="4"/>
      <c r="L90" s="4"/>
      <c r="M90" s="4"/>
      <c r="N90" s="4"/>
      <c r="O90" s="4"/>
      <c r="P90" s="4"/>
    </row>
    <row r="91" spans="1:16" x14ac:dyDescent="0.2">
      <c r="A91" s="58" t="s">
        <v>93</v>
      </c>
      <c r="B91" s="58"/>
      <c r="C91" s="58"/>
      <c r="D91" s="58"/>
      <c r="E91" s="58"/>
      <c r="F91" s="58"/>
      <c r="G91" s="2"/>
      <c r="H91" s="27" t="s">
        <v>94</v>
      </c>
      <c r="I91" s="28"/>
      <c r="J91" s="12" t="str">
        <f>IF(AND((H91&lt;&gt;"Yes"),(H91&lt;&gt;"YES"),(H91&lt;&gt;"Y"),(H91&lt;&gt;"yes"),(H91&lt;&gt;"y"),(H91&lt;&gt;"No"),(H91&lt;&gt;"no"),(H91&lt;&gt;"N"),(H91&lt;&gt;"no"),(H91&lt;&gt;"n")),"PROBLEM - You must indicate 'Yes' or 'No'.","  ")</f>
        <v xml:space="preserve">  </v>
      </c>
      <c r="K91" s="4"/>
      <c r="L91" s="4"/>
      <c r="M91" s="4"/>
      <c r="N91" s="4"/>
      <c r="O91" s="4"/>
      <c r="P91" s="4"/>
    </row>
    <row r="92" spans="1:16" x14ac:dyDescent="0.2">
      <c r="A92" s="12"/>
      <c r="B92" s="4"/>
      <c r="C92" s="4"/>
      <c r="D92" s="4"/>
      <c r="E92" s="4"/>
      <c r="F92" s="4"/>
      <c r="G92" s="2"/>
      <c r="H92" s="4"/>
      <c r="I92" s="28"/>
      <c r="J92" s="12" t="s">
        <v>94</v>
      </c>
      <c r="K92" s="4"/>
      <c r="L92" s="4"/>
      <c r="M92" s="4"/>
      <c r="N92" s="4"/>
      <c r="O92" s="4"/>
      <c r="P92" s="4"/>
    </row>
    <row r="93" spans="1:16" x14ac:dyDescent="0.2">
      <c r="A93" s="12"/>
      <c r="B93" s="59" t="s">
        <v>95</v>
      </c>
      <c r="C93" s="59"/>
      <c r="D93" s="59"/>
      <c r="E93" s="59"/>
      <c r="F93" s="59"/>
      <c r="G93" s="2"/>
      <c r="H93" s="18"/>
      <c r="I93" s="28"/>
      <c r="J93" s="12" t="s">
        <v>96</v>
      </c>
      <c r="K93" s="4"/>
      <c r="L93" s="4"/>
      <c r="M93" s="4"/>
      <c r="N93" s="4"/>
      <c r="O93" s="4"/>
      <c r="P93" s="4"/>
    </row>
    <row r="94" spans="1:16" x14ac:dyDescent="0.2">
      <c r="A94" s="12"/>
      <c r="B94" s="59" t="s">
        <v>97</v>
      </c>
      <c r="C94" s="59"/>
      <c r="D94" s="59"/>
      <c r="E94" s="59"/>
      <c r="F94" s="59"/>
      <c r="G94" s="2"/>
      <c r="H94" s="4" t="s">
        <v>2</v>
      </c>
      <c r="I94" s="28"/>
      <c r="J94" s="4"/>
      <c r="K94" s="4"/>
      <c r="L94" s="4"/>
      <c r="M94" s="4"/>
      <c r="N94" s="4"/>
      <c r="O94" s="4"/>
      <c r="P94" s="4"/>
    </row>
    <row r="95" spans="1:16" x14ac:dyDescent="0.2">
      <c r="A95" s="12"/>
      <c r="B95" s="63" t="str">
        <f>IF(OR((H91="Yes"),(H91="YES"),(H91="Y"),(H91="yes"),(H91="y")),"TO",IF(OR((H91="No"),(H91="NO"),(H91="N"),(H91="no"),(H91="n")),"NOT TO","WHAT?"))</f>
        <v>TO</v>
      </c>
      <c r="C95" s="63"/>
      <c r="D95" s="4" t="s">
        <v>98</v>
      </c>
      <c r="E95" s="4"/>
      <c r="F95" s="4"/>
      <c r="G95" s="2"/>
      <c r="H95" s="4"/>
      <c r="I95" s="28"/>
      <c r="J95" s="4"/>
      <c r="K95" s="4"/>
      <c r="L95" s="4"/>
      <c r="M95" s="4"/>
      <c r="N95" s="4"/>
      <c r="O95" s="4"/>
      <c r="P95" s="4"/>
    </row>
    <row r="96" spans="1:16" x14ac:dyDescent="0.2">
      <c r="A96" s="12"/>
      <c r="B96" s="59" t="s">
        <v>99</v>
      </c>
      <c r="C96" s="59"/>
      <c r="D96" s="59"/>
      <c r="E96" s="59"/>
      <c r="F96" s="59"/>
      <c r="G96" s="21"/>
      <c r="H96" s="23">
        <f>ROUND(IF(AND((B95="TO"),(I11&gt;850000)),H72,IF(AND((B95="NOT TO"),(I11&gt;850000)),H78,IF(AND((B95="TO"),(I11&lt;=850000)),H82,IF(AND((B95="NOT TO"),(I11&lt;=850000)),H88,"")))),0)</f>
        <v>33265091</v>
      </c>
      <c r="I96" s="29" t="str">
        <f>IF(AND((I11&gt;850000),(J92=".")),I72,(IF(AND((I11&gt;850000),(J92&lt;&gt;".")),I78,(IF(AND((I11&lt;=850000),(J92=".")),I82,(IF(AND((I11&lt;=850000),(J92&lt;&gt;".")),I88," ")))))))</f>
        <v xml:space="preserve"> </v>
      </c>
      <c r="J96" s="4"/>
      <c r="K96" s="4"/>
      <c r="L96" s="4"/>
      <c r="M96" s="4"/>
      <c r="N96" s="4"/>
      <c r="O96" s="4"/>
      <c r="P96" s="4"/>
    </row>
    <row r="97" spans="1:16" x14ac:dyDescent="0.2">
      <c r="A97" s="4"/>
      <c r="B97" s="4"/>
      <c r="C97" s="4"/>
      <c r="D97" s="4"/>
      <c r="E97" s="4"/>
      <c r="F97" s="4"/>
      <c r="G97" s="2"/>
      <c r="H97" s="12"/>
      <c r="I97" s="4" t="str">
        <f>IF(SUM(I98:I98)&lt;&gt;ROUND(SUM(I98:I98),0),"WHOLE DOLLARS","")</f>
        <v/>
      </c>
      <c r="J97" s="4"/>
      <c r="K97" s="4"/>
      <c r="L97" s="4"/>
      <c r="M97" s="4"/>
      <c r="N97" s="4"/>
      <c r="O97" s="4"/>
      <c r="P97" s="4"/>
    </row>
    <row r="98" spans="1:16" x14ac:dyDescent="0.2">
      <c r="A98" s="58" t="s">
        <v>100</v>
      </c>
      <c r="B98" s="58"/>
      <c r="C98" s="58"/>
      <c r="D98" s="58"/>
      <c r="E98" s="58"/>
      <c r="F98" s="58"/>
      <c r="G98" s="21"/>
      <c r="H98" s="12"/>
      <c r="I98" s="22">
        <v>33265091</v>
      </c>
      <c r="J98" s="12" t="str">
        <f>IF(SUM(I98:I98)&lt;=H96,"OK","PROBLEM - You want to set aside more than is allowed.")</f>
        <v>OK</v>
      </c>
      <c r="K98" s="4"/>
      <c r="L98" s="4"/>
      <c r="M98" s="4"/>
      <c r="N98" s="4"/>
      <c r="O98" s="4"/>
      <c r="P98" s="4"/>
    </row>
    <row r="99" spans="1:16" hidden="1" x14ac:dyDescent="0.2">
      <c r="A99" s="12"/>
      <c r="B99" s="12"/>
      <c r="C99" s="12"/>
      <c r="D99" s="12"/>
      <c r="E99" s="12"/>
      <c r="F99" s="12"/>
      <c r="G99" s="21"/>
      <c r="H99" s="12"/>
      <c r="I99" s="23">
        <f>IF(B95="TO",H82-H96,IF(B95="NOT TO",H88-H96," "))</f>
        <v>1663254.2986680269</v>
      </c>
      <c r="J99" s="12" t="str">
        <f>IF(AND(((SUM(I11:I11)-850000)&lt;I99),((SUM(I11:I11)-850000)&gt;0)),"NOTE","")</f>
        <v/>
      </c>
      <c r="K99" s="4"/>
      <c r="L99" s="4"/>
      <c r="M99" s="4"/>
      <c r="N99" s="4"/>
      <c r="O99" s="4"/>
      <c r="P99" s="4"/>
    </row>
    <row r="100" spans="1:16" x14ac:dyDescent="0.2">
      <c r="A100" s="12"/>
      <c r="B100" s="12"/>
      <c r="C100" s="12"/>
      <c r="D100" s="12"/>
      <c r="E100" s="12"/>
      <c r="F100" s="12"/>
      <c r="G100" s="21"/>
      <c r="H100" s="12"/>
      <c r="I100" s="30"/>
      <c r="J100" s="4" t="str">
        <f>IF(J99="NOTE","The amount that you have proposed to set aside for Administration is only","")</f>
        <v/>
      </c>
      <c r="K100" s="4"/>
      <c r="L100" s="4"/>
      <c r="M100" s="4"/>
      <c r="N100" s="4"/>
      <c r="O100" s="4"/>
      <c r="P100" s="4"/>
    </row>
    <row r="101" spans="1:16" x14ac:dyDescent="0.2">
      <c r="A101" s="12"/>
      <c r="B101" s="12"/>
      <c r="C101" s="12"/>
      <c r="D101" s="12"/>
      <c r="E101" s="12"/>
      <c r="F101" s="12"/>
      <c r="G101" s="21"/>
      <c r="H101" s="12"/>
      <c r="I101" s="23"/>
      <c r="J101" s="31" t="str">
        <f>IF(J99="NOTE",(I11-850000),"")</f>
        <v/>
      </c>
      <c r="K101" s="32" t="str">
        <f>IF(J99="NOTE","more than $850,000.  If you were to reduce the amount"," ")</f>
        <v xml:space="preserve"> </v>
      </c>
      <c r="L101" s="4"/>
      <c r="M101" s="4"/>
      <c r="N101" s="4"/>
      <c r="O101" s="4"/>
      <c r="P101" s="4"/>
    </row>
    <row r="102" spans="1:16" x14ac:dyDescent="0.2">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x14ac:dyDescent="0.2">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x14ac:dyDescent="0.2">
      <c r="A104" s="4"/>
      <c r="B104" s="4"/>
      <c r="C104" s="4"/>
      <c r="D104" s="4"/>
      <c r="E104" s="4"/>
      <c r="F104" s="4"/>
      <c r="G104" s="2"/>
      <c r="H104" s="4"/>
      <c r="I104" s="4"/>
      <c r="J104" s="23" t="str">
        <f>IF(J99="NOTE",I99," ")</f>
        <v xml:space="preserve"> </v>
      </c>
      <c r="K104" s="4"/>
      <c r="L104" s="4"/>
      <c r="M104" s="4"/>
      <c r="N104" s="4"/>
      <c r="O104" s="4"/>
      <c r="P104" s="4"/>
    </row>
    <row r="105" spans="1:16" x14ac:dyDescent="0.2">
      <c r="A105" s="58" t="s">
        <v>101</v>
      </c>
      <c r="B105" s="58"/>
      <c r="C105" s="58"/>
      <c r="D105" s="58"/>
      <c r="E105" s="58"/>
      <c r="F105" s="58"/>
      <c r="G105" s="2"/>
      <c r="H105" s="4"/>
      <c r="I105" s="4"/>
      <c r="J105" s="23" t="s">
        <v>2</v>
      </c>
      <c r="K105" s="4" t="s">
        <v>2</v>
      </c>
      <c r="L105" s="4"/>
      <c r="M105" s="4"/>
      <c r="N105" s="4"/>
      <c r="O105" s="4"/>
      <c r="P105" s="4"/>
    </row>
    <row r="106" spans="1:16" x14ac:dyDescent="0.2">
      <c r="A106" s="58" t="s">
        <v>102</v>
      </c>
      <c r="B106" s="58"/>
      <c r="C106" s="58"/>
      <c r="D106" s="58"/>
      <c r="E106" s="58"/>
      <c r="F106" s="58"/>
      <c r="G106" s="2"/>
      <c r="H106" s="4"/>
      <c r="I106" s="4"/>
      <c r="J106" s="23"/>
      <c r="K106" s="4"/>
      <c r="L106" s="4"/>
      <c r="M106" s="4"/>
      <c r="N106" s="4"/>
      <c r="O106" s="4"/>
      <c r="P106" s="4"/>
    </row>
    <row r="107" spans="1:16" x14ac:dyDescent="0.2">
      <c r="A107" s="12" t="s">
        <v>103</v>
      </c>
      <c r="B107" s="12"/>
      <c r="C107" s="12"/>
      <c r="D107" s="12"/>
      <c r="E107" s="12"/>
      <c r="F107" s="12"/>
      <c r="G107" s="2"/>
      <c r="H107" s="4"/>
      <c r="I107" s="4"/>
      <c r="J107" s="23"/>
      <c r="K107" s="4"/>
      <c r="L107" s="4"/>
      <c r="M107" s="4"/>
      <c r="N107" s="4"/>
      <c r="O107" s="4"/>
      <c r="P107" s="4"/>
    </row>
    <row r="108" spans="1:16" x14ac:dyDescent="0.2">
      <c r="A108" s="12" t="s">
        <v>104</v>
      </c>
      <c r="B108" s="12"/>
      <c r="C108" s="12"/>
      <c r="D108" s="12"/>
      <c r="E108" s="12"/>
      <c r="F108" s="12"/>
      <c r="G108" s="2"/>
      <c r="H108" s="4"/>
      <c r="I108" s="4"/>
      <c r="J108" s="23"/>
      <c r="K108" s="4"/>
      <c r="L108" s="4"/>
      <c r="M108" s="4"/>
      <c r="N108" s="4"/>
      <c r="O108" s="4"/>
      <c r="P108" s="4"/>
    </row>
    <row r="109" spans="1:16" x14ac:dyDescent="0.2">
      <c r="A109" s="4"/>
      <c r="B109" s="4"/>
      <c r="C109" s="4"/>
      <c r="D109" s="4"/>
      <c r="E109" s="4"/>
      <c r="F109" s="4"/>
      <c r="G109" s="2"/>
      <c r="H109" s="4"/>
      <c r="I109" s="4"/>
      <c r="J109" s="23"/>
      <c r="K109" s="4"/>
      <c r="L109" s="4"/>
      <c r="M109" s="4"/>
      <c r="N109" s="4"/>
      <c r="O109" s="4"/>
      <c r="P109" s="4"/>
    </row>
    <row r="110" spans="1:16" x14ac:dyDescent="0.2">
      <c r="A110" s="12" t="str">
        <f>IF(B95="TO","How much do you want to use for the High Cost Fund?","")</f>
        <v>How much do you want to use for the High Cost Fund?</v>
      </c>
      <c r="B110" s="4"/>
      <c r="C110" s="4"/>
      <c r="D110" s="4"/>
      <c r="E110" s="4"/>
      <c r="F110" s="4"/>
      <c r="G110" s="2"/>
      <c r="H110" s="33">
        <v>14787000</v>
      </c>
      <c r="I110" s="4" t="str">
        <f>IF(SUM(H110:H110)&lt;&gt;ROUND(SUM(H110:H110),0),"WHOLE DOLLARS","")</f>
        <v/>
      </c>
      <c r="J110" s="25" t="str">
        <f>IF(B95="NOT TO","Leave Blank",(IF(AND(B95="TO",SUM(H110:H110)&lt;E111),"PROBLEM - You have not set aside enough money for the High Cost Fund","OK")))</f>
        <v>OK</v>
      </c>
      <c r="K110" s="4"/>
      <c r="L110" s="4"/>
      <c r="M110" s="4"/>
      <c r="N110" s="4"/>
      <c r="O110" s="4"/>
      <c r="P110" s="4"/>
    </row>
    <row r="111" spans="1:16" x14ac:dyDescent="0.2">
      <c r="A111" s="4"/>
      <c r="B111" s="34"/>
      <c r="C111" s="34"/>
      <c r="D111" s="34" t="str">
        <f>IF(B95="TO","You must use at least","")</f>
        <v>You must use at least</v>
      </c>
      <c r="E111" s="64">
        <f>IF(B95="TO",ROUND((SUM(I98:I98)*0.1),0),"")</f>
        <v>3326509</v>
      </c>
      <c r="F111" s="64"/>
      <c r="G111" s="64"/>
      <c r="H111" s="4" t="s">
        <v>2</v>
      </c>
      <c r="I111" s="4" t="s">
        <v>2</v>
      </c>
      <c r="J111" s="23"/>
      <c r="K111" s="4"/>
      <c r="L111" s="4"/>
      <c r="M111" s="4"/>
      <c r="N111" s="4"/>
      <c r="O111" s="4"/>
      <c r="P111" s="4"/>
    </row>
    <row r="112" spans="1:16" x14ac:dyDescent="0.2">
      <c r="A112" s="4"/>
      <c r="B112" s="4"/>
      <c r="C112" s="4"/>
      <c r="D112" s="4"/>
      <c r="E112" s="4"/>
      <c r="F112" s="4"/>
      <c r="G112" s="2"/>
      <c r="H112" s="4"/>
      <c r="I112" s="4"/>
      <c r="J112" s="4"/>
      <c r="K112" s="4"/>
      <c r="L112" s="4"/>
      <c r="M112" s="4"/>
      <c r="N112" s="4"/>
      <c r="O112" s="4"/>
      <c r="P112" s="4"/>
    </row>
    <row r="113" spans="1:16" hidden="1" x14ac:dyDescent="0.2">
      <c r="A113" s="4"/>
      <c r="B113" s="58" t="s">
        <v>105</v>
      </c>
      <c r="C113" s="58"/>
      <c r="D113" s="58"/>
      <c r="E113" s="58"/>
      <c r="F113" s="58"/>
      <c r="G113" s="2"/>
      <c r="H113" s="23">
        <f>SUM($I$98:$I$98)-SUM($H110:H$110)</f>
        <v>18478091</v>
      </c>
      <c r="I113" s="4" t="s">
        <v>2</v>
      </c>
      <c r="J113" s="23">
        <f>SUM(H$175:H$175)</f>
        <v>0</v>
      </c>
      <c r="K113" s="4" t="str">
        <f>IF((H$175:H$175)&lt;=SUM(I$98:I$98),"More needs to be distributed.","Too much has been distributed.")</f>
        <v>More needs to be distributed.</v>
      </c>
      <c r="L113" s="4"/>
      <c r="M113" s="4"/>
      <c r="N113" s="4"/>
      <c r="O113" s="4"/>
      <c r="P113" s="4"/>
    </row>
    <row r="114" spans="1:16" x14ac:dyDescent="0.2">
      <c r="A114" s="4"/>
      <c r="B114" s="12" t="s">
        <v>105</v>
      </c>
      <c r="C114" s="4"/>
      <c r="D114" s="4"/>
      <c r="E114" s="4"/>
      <c r="F114" s="4"/>
      <c r="G114" s="2"/>
      <c r="H114" s="4"/>
      <c r="I114" s="4"/>
      <c r="J114" s="4"/>
      <c r="K114" s="4"/>
      <c r="L114" s="4"/>
      <c r="M114" s="4"/>
      <c r="N114" s="4"/>
      <c r="O114" s="4"/>
      <c r="P114" s="4"/>
    </row>
    <row r="115" spans="1:16" ht="12.75" customHeight="1" x14ac:dyDescent="0.2">
      <c r="A115" s="4"/>
      <c r="B115" s="4"/>
      <c r="C115" s="65" t="s">
        <v>106</v>
      </c>
      <c r="D115" s="65"/>
      <c r="E115" s="65"/>
      <c r="F115" s="65"/>
      <c r="G115" s="2"/>
      <c r="H115" s="4"/>
      <c r="I115" s="4"/>
      <c r="J115" s="4"/>
      <c r="K115" s="4"/>
      <c r="L115" s="4"/>
      <c r="M115" s="4"/>
      <c r="N115" s="4"/>
      <c r="O115" s="4"/>
      <c r="P115" s="4"/>
    </row>
    <row r="116" spans="1:16" x14ac:dyDescent="0.2">
      <c r="A116" s="4"/>
      <c r="B116" s="4"/>
      <c r="C116" s="65"/>
      <c r="D116" s="65"/>
      <c r="E116" s="65"/>
      <c r="F116" s="65"/>
      <c r="G116" s="21" t="s">
        <v>107</v>
      </c>
      <c r="H116" s="22">
        <v>471000</v>
      </c>
      <c r="I116" s="4" t="str">
        <f>IF(SUM(H116:H116)&lt;&gt;ROUND(SUM(H116:H116),0),"WHOLE DOLLARS","")</f>
        <v/>
      </c>
      <c r="J116" s="12" t="str">
        <f>IF((SUM(H116:H116)&gt;0)," ", "PROBLEM - You must use at least $1 for this purpose.")</f>
        <v xml:space="preserve"> </v>
      </c>
      <c r="K116" s="4"/>
      <c r="L116" s="4"/>
      <c r="M116" s="4"/>
      <c r="N116" s="4"/>
      <c r="O116" s="4"/>
      <c r="P116" s="4"/>
    </row>
    <row r="117" spans="1:16" x14ac:dyDescent="0.2">
      <c r="A117" s="4"/>
      <c r="B117" s="4"/>
      <c r="C117" s="4"/>
      <c r="D117" s="4"/>
      <c r="E117" s="4"/>
      <c r="F117" s="4"/>
      <c r="G117" s="2"/>
      <c r="H117" s="4"/>
      <c r="I117" s="4"/>
      <c r="J117" s="4"/>
      <c r="K117" s="4"/>
      <c r="L117" s="4"/>
      <c r="M117" s="4"/>
      <c r="N117" s="4"/>
      <c r="O117" s="4"/>
      <c r="P117" s="4"/>
    </row>
    <row r="118" spans="1:16" ht="12.75" hidden="1" customHeight="1" x14ac:dyDescent="0.2">
      <c r="A118" s="4"/>
      <c r="B118" s="4"/>
      <c r="C118" s="65" t="s">
        <v>108</v>
      </c>
      <c r="D118" s="65"/>
      <c r="E118" s="65"/>
      <c r="F118" s="65"/>
      <c r="G118" s="2"/>
      <c r="H118" s="23">
        <f>SUM(H113:H113)-SUM(H116:H116)</f>
        <v>18007091</v>
      </c>
      <c r="I118" s="4" t="s">
        <v>2</v>
      </c>
      <c r="J118" s="23">
        <f>SUM(H$175:H$175)</f>
        <v>0</v>
      </c>
      <c r="K118" s="4" t="str">
        <f>IF((H$175:H$175)&lt;=SUM(I$98:I$98),"More needs to be distributed.","Too much has been distributed.")</f>
        <v>More needs to be distributed.</v>
      </c>
      <c r="L118" s="4"/>
      <c r="M118" s="4"/>
      <c r="N118" s="4"/>
      <c r="O118" s="4"/>
      <c r="P118" s="4"/>
    </row>
    <row r="119" spans="1:16" x14ac:dyDescent="0.2">
      <c r="A119" s="4"/>
      <c r="B119" s="4"/>
      <c r="C119" s="65"/>
      <c r="D119" s="65"/>
      <c r="E119" s="65"/>
      <c r="F119" s="65"/>
      <c r="G119" s="2"/>
      <c r="H119" s="4"/>
      <c r="I119" s="4"/>
      <c r="J119" s="4"/>
      <c r="K119" s="4"/>
      <c r="L119" s="4"/>
      <c r="M119" s="4"/>
      <c r="N119" s="4"/>
      <c r="O119" s="4"/>
      <c r="P119" s="4"/>
    </row>
    <row r="120" spans="1:16" ht="30.75" customHeight="1" x14ac:dyDescent="0.2">
      <c r="A120" s="4"/>
      <c r="B120" s="4"/>
      <c r="C120" s="65"/>
      <c r="D120" s="65"/>
      <c r="E120" s="65"/>
      <c r="F120" s="65"/>
      <c r="G120" s="21" t="s">
        <v>109</v>
      </c>
      <c r="H120" s="22">
        <v>450000</v>
      </c>
      <c r="I120" s="4" t="str">
        <f>IF(SUM(H120:H120)&lt;&gt;ROUND(SUM(H120:H120),0),"WHOLE DOLLARS","")</f>
        <v/>
      </c>
      <c r="J120" s="12" t="str">
        <f>IF((SUM(H120:H120)&gt;0)," ", "PROBLEM - You must use at least $1 for this purpose.")</f>
        <v xml:space="preserve"> </v>
      </c>
      <c r="K120" s="4"/>
      <c r="L120" s="4"/>
      <c r="M120" s="4"/>
      <c r="N120" s="4"/>
      <c r="O120" s="4"/>
      <c r="P120" s="4"/>
    </row>
    <row r="121" spans="1:16" x14ac:dyDescent="0.2">
      <c r="A121" s="4"/>
      <c r="B121" s="4"/>
      <c r="C121" s="59"/>
      <c r="D121" s="59"/>
      <c r="E121" s="59"/>
      <c r="F121" s="59"/>
      <c r="G121" s="2"/>
      <c r="H121" s="4"/>
      <c r="I121" s="4"/>
      <c r="J121" s="4"/>
      <c r="K121" s="4"/>
      <c r="L121" s="4"/>
      <c r="M121" s="4"/>
      <c r="N121" s="4"/>
      <c r="O121" s="4"/>
      <c r="P121" s="4"/>
    </row>
    <row r="122" spans="1:16" hidden="1" x14ac:dyDescent="0.2">
      <c r="A122" s="4"/>
      <c r="B122" s="12" t="s">
        <v>110</v>
      </c>
      <c r="C122" s="4"/>
      <c r="D122" s="4"/>
      <c r="E122" s="4"/>
      <c r="F122" s="4"/>
      <c r="G122" s="2"/>
      <c r="H122" s="23">
        <f>SUM(H118:H118)-SUM(H120:H120)</f>
        <v>17557091</v>
      </c>
      <c r="I122" s="4" t="s">
        <v>2</v>
      </c>
      <c r="J122" s="23">
        <f>SUM(H$175:H$175)</f>
        <v>0</v>
      </c>
      <c r="K122" s="4" t="str">
        <f>IF((H$175:H$175)&lt;=SUM(I$98:I$98),"More needs to be distributed.","Too much has been distributed.")</f>
        <v>More needs to be distributed.</v>
      </c>
      <c r="L122" s="4"/>
      <c r="M122" s="4"/>
      <c r="N122" s="4"/>
      <c r="O122" s="4"/>
      <c r="P122" s="4"/>
    </row>
    <row r="123" spans="1:16" x14ac:dyDescent="0.2">
      <c r="A123" s="4"/>
      <c r="B123" s="12" t="s">
        <v>110</v>
      </c>
      <c r="C123" s="4"/>
      <c r="D123" s="4"/>
      <c r="E123" s="4"/>
      <c r="F123" s="4"/>
      <c r="G123" s="2"/>
      <c r="H123" s="4"/>
      <c r="I123" s="4"/>
      <c r="J123" s="4"/>
      <c r="K123" s="4"/>
      <c r="L123" s="4"/>
      <c r="M123" s="4"/>
      <c r="N123" s="4"/>
      <c r="O123" s="4"/>
      <c r="P123" s="4"/>
    </row>
    <row r="124" spans="1:16" ht="12.75" customHeight="1" x14ac:dyDescent="0.2">
      <c r="A124" s="4"/>
      <c r="B124" s="4"/>
      <c r="C124" s="60" t="s">
        <v>111</v>
      </c>
      <c r="D124" s="60"/>
      <c r="E124" s="60"/>
      <c r="F124" s="60"/>
      <c r="G124" s="2"/>
      <c r="H124" s="4"/>
      <c r="I124" s="4"/>
      <c r="J124" s="4"/>
      <c r="K124" s="4"/>
      <c r="L124" s="4"/>
      <c r="M124" s="4"/>
      <c r="N124" s="4"/>
      <c r="O124" s="4"/>
      <c r="P124" s="4"/>
    </row>
    <row r="125" spans="1:16" x14ac:dyDescent="0.2">
      <c r="A125" s="4"/>
      <c r="B125" s="4"/>
      <c r="C125" s="60"/>
      <c r="D125" s="60"/>
      <c r="E125" s="60"/>
      <c r="F125" s="60"/>
      <c r="G125" s="21" t="s">
        <v>112</v>
      </c>
      <c r="H125" s="22">
        <v>4923138</v>
      </c>
      <c r="I125" s="4" t="str">
        <f>IF(SUM(H125:H125)&lt;&gt;ROUND(SUM(H125:H125),0),"WHOLE DOLLARS","")</f>
        <v/>
      </c>
      <c r="J125" s="4" t="s">
        <v>2</v>
      </c>
      <c r="K125" s="4" t="s">
        <v>2</v>
      </c>
      <c r="L125" s="4"/>
      <c r="M125" s="4"/>
      <c r="N125" s="4"/>
      <c r="O125" s="4"/>
      <c r="P125" s="4"/>
    </row>
    <row r="126" spans="1:16" x14ac:dyDescent="0.2">
      <c r="A126" s="4"/>
      <c r="B126" s="4"/>
      <c r="C126" s="35"/>
      <c r="D126" s="35"/>
      <c r="E126" s="35"/>
      <c r="F126" s="35"/>
      <c r="G126" s="2"/>
      <c r="H126" s="4"/>
      <c r="I126" s="4"/>
      <c r="J126" s="4"/>
      <c r="K126" s="4"/>
      <c r="L126" s="4"/>
      <c r="M126" s="4"/>
      <c r="N126" s="4"/>
      <c r="O126" s="4"/>
      <c r="P126" s="4"/>
    </row>
    <row r="127" spans="1:16" ht="12.75" hidden="1" customHeight="1" x14ac:dyDescent="0.2">
      <c r="A127" s="4"/>
      <c r="B127" s="4"/>
      <c r="C127" s="60" t="s">
        <v>55</v>
      </c>
      <c r="D127" s="60"/>
      <c r="E127" s="60"/>
      <c r="F127" s="60"/>
      <c r="G127" s="2"/>
      <c r="H127" s="23">
        <f>SUM(H122:H122)-SUM(H125:H125)</f>
        <v>12633953</v>
      </c>
      <c r="I127" s="4" t="s">
        <v>2</v>
      </c>
      <c r="J127" s="23">
        <f>SUM(H$175:H$175)</f>
        <v>0</v>
      </c>
      <c r="K127" s="4" t="str">
        <f>IF((H$175:H$175)&lt;=SUM(I$98:I$98),"More needs to be distributed.","Too much has been distributed.")</f>
        <v>More needs to be distributed.</v>
      </c>
      <c r="L127" s="4"/>
      <c r="M127" s="4"/>
      <c r="N127" s="4"/>
      <c r="O127" s="4"/>
      <c r="P127" s="4"/>
    </row>
    <row r="128" spans="1:16" x14ac:dyDescent="0.2">
      <c r="A128" s="4"/>
      <c r="B128" s="4"/>
      <c r="C128" s="60"/>
      <c r="D128" s="60"/>
      <c r="E128" s="60"/>
      <c r="F128" s="60"/>
      <c r="G128" s="2"/>
      <c r="H128" s="4"/>
      <c r="I128" s="4"/>
      <c r="J128" s="4"/>
      <c r="K128" s="4"/>
      <c r="L128" s="4"/>
      <c r="M128" s="4"/>
      <c r="N128" s="4"/>
      <c r="O128" s="4"/>
      <c r="P128" s="4"/>
    </row>
    <row r="129" spans="1:16" x14ac:dyDescent="0.2">
      <c r="A129" s="4"/>
      <c r="B129" s="4"/>
      <c r="C129" s="60"/>
      <c r="D129" s="60"/>
      <c r="E129" s="60"/>
      <c r="F129" s="60"/>
      <c r="G129" s="2" t="s">
        <v>113</v>
      </c>
      <c r="H129" s="22">
        <v>2710000</v>
      </c>
      <c r="I129" s="4" t="str">
        <f>IF(SUM(H129:H129)&lt;&gt;ROUND(SUM(H129:H129),0),"WHOLE DOLLARS","")</f>
        <v/>
      </c>
      <c r="J129" s="4"/>
      <c r="K129" s="4"/>
      <c r="L129" s="4"/>
      <c r="M129" s="4"/>
      <c r="N129" s="4"/>
      <c r="O129" s="4"/>
      <c r="P129" s="4"/>
    </row>
    <row r="130" spans="1:16" hidden="1" x14ac:dyDescent="0.2">
      <c r="A130" s="4"/>
      <c r="B130" s="4"/>
      <c r="C130" s="66" t="s">
        <v>2</v>
      </c>
      <c r="D130" s="66"/>
      <c r="E130" s="66"/>
      <c r="F130" s="66"/>
      <c r="G130" s="2"/>
      <c r="H130" s="23">
        <f>SUM(H127:H127)-SUM(H129:H129)</f>
        <v>9923953</v>
      </c>
      <c r="I130" s="4" t="s">
        <v>2</v>
      </c>
      <c r="J130" s="23">
        <f>SUM(H$175:H$175)</f>
        <v>0</v>
      </c>
      <c r="K130" s="4" t="str">
        <f>IF((H$175:H$175)&lt;=SUM(I$98:I$98),"More needs to be distributed.","Too much has been distributed.")</f>
        <v>More needs to be distributed.</v>
      </c>
      <c r="L130" s="4"/>
      <c r="M130" s="4"/>
      <c r="N130" s="4"/>
      <c r="O130" s="4"/>
      <c r="P130" s="4"/>
    </row>
    <row r="131" spans="1:16" x14ac:dyDescent="0.2">
      <c r="A131" s="4"/>
      <c r="B131" s="4"/>
      <c r="C131" s="35"/>
      <c r="D131" s="35"/>
      <c r="E131" s="35"/>
      <c r="F131" s="35"/>
      <c r="G131" s="2"/>
      <c r="H131" s="23"/>
      <c r="I131" s="4"/>
      <c r="J131" s="23"/>
      <c r="K131" s="4"/>
      <c r="L131" s="4"/>
      <c r="M131" s="4"/>
      <c r="N131" s="4"/>
      <c r="O131" s="4"/>
      <c r="P131" s="4"/>
    </row>
    <row r="132" spans="1:16" ht="24" customHeight="1" x14ac:dyDescent="0.2">
      <c r="A132" s="4"/>
      <c r="B132" s="4"/>
      <c r="C132" s="60" t="s">
        <v>61</v>
      </c>
      <c r="D132" s="60"/>
      <c r="E132" s="60"/>
      <c r="F132" s="60"/>
      <c r="G132" s="36" t="s">
        <v>114</v>
      </c>
      <c r="H132" s="22">
        <v>3250050</v>
      </c>
      <c r="I132" s="4" t="str">
        <f>IF(SUM(H132:H132)&lt;&gt;ROUND(SUM(H132:H132),0),"WHOLE DOLLARS","")</f>
        <v/>
      </c>
      <c r="J132" s="4"/>
      <c r="K132" s="4"/>
      <c r="L132" s="4"/>
      <c r="M132" s="4"/>
      <c r="N132" s="4"/>
      <c r="O132" s="4"/>
      <c r="P132" s="4"/>
    </row>
    <row r="133" spans="1:16" x14ac:dyDescent="0.2">
      <c r="A133" s="4"/>
      <c r="B133" s="4"/>
      <c r="C133" s="66"/>
      <c r="D133" s="66"/>
      <c r="E133" s="66"/>
      <c r="F133" s="66"/>
      <c r="G133" s="2"/>
      <c r="H133" s="4"/>
      <c r="I133" s="4"/>
      <c r="J133" s="4"/>
      <c r="K133" s="4"/>
      <c r="L133" s="4"/>
      <c r="M133" s="4"/>
      <c r="N133" s="4"/>
      <c r="O133" s="4"/>
      <c r="P133" s="4"/>
    </row>
    <row r="134" spans="1:16" ht="12.75" hidden="1" customHeight="1" x14ac:dyDescent="0.2">
      <c r="A134" s="4"/>
      <c r="B134" s="4"/>
      <c r="C134" s="60" t="s">
        <v>65</v>
      </c>
      <c r="D134" s="60"/>
      <c r="E134" s="60"/>
      <c r="F134" s="60"/>
      <c r="G134" s="2"/>
      <c r="H134" s="23">
        <f>SUM(H130:H130)-SUM(H132:H132)</f>
        <v>6673903</v>
      </c>
      <c r="I134" s="4" t="s">
        <v>2</v>
      </c>
      <c r="J134" s="23">
        <f>SUM(H$175:H$175)</f>
        <v>0</v>
      </c>
      <c r="K134" s="4" t="str">
        <f>IF((H$175:H$175)&lt;=SUM(I$98:I$98),"More needs to be distributed.","Too much has been distributed.")</f>
        <v>More needs to be distributed.</v>
      </c>
      <c r="L134" s="4"/>
      <c r="M134" s="4"/>
      <c r="N134" s="4"/>
      <c r="O134" s="4"/>
      <c r="P134" s="4"/>
    </row>
    <row r="135" spans="1:16" ht="27.75" customHeight="1" x14ac:dyDescent="0.2">
      <c r="A135" s="4"/>
      <c r="B135" s="4"/>
      <c r="C135" s="60"/>
      <c r="D135" s="60"/>
      <c r="E135" s="60"/>
      <c r="F135" s="60"/>
      <c r="G135" s="2" t="s">
        <v>115</v>
      </c>
      <c r="H135" s="22">
        <v>3058903</v>
      </c>
      <c r="I135" s="4" t="str">
        <f>IF(SUM(H135:H135)&lt;&gt;ROUND(SUM(H135:H135),0),"WHOLE DOLLARS","")</f>
        <v/>
      </c>
      <c r="J135" s="4"/>
      <c r="K135" s="4"/>
      <c r="L135" s="4"/>
      <c r="M135" s="4"/>
      <c r="N135" s="4"/>
      <c r="O135" s="4"/>
      <c r="P135" s="4"/>
    </row>
    <row r="136" spans="1:16" x14ac:dyDescent="0.2">
      <c r="A136" s="4"/>
      <c r="B136" s="4"/>
      <c r="C136" s="35" t="s">
        <v>2</v>
      </c>
      <c r="D136" s="35"/>
      <c r="E136" s="35"/>
      <c r="F136" s="35"/>
      <c r="G136" s="2"/>
      <c r="H136" s="4"/>
      <c r="I136" s="4"/>
      <c r="J136" s="4"/>
      <c r="K136" s="4"/>
      <c r="L136" s="4"/>
      <c r="M136" s="4"/>
      <c r="N136" s="4"/>
      <c r="O136" s="4"/>
      <c r="P136" s="4"/>
    </row>
    <row r="137" spans="1:16" ht="12.75" hidden="1" customHeight="1" x14ac:dyDescent="0.2">
      <c r="A137" s="4"/>
      <c r="B137" s="4"/>
      <c r="C137" s="60" t="s">
        <v>116</v>
      </c>
      <c r="D137" s="60"/>
      <c r="E137" s="60"/>
      <c r="F137" s="60"/>
      <c r="G137" s="2"/>
      <c r="H137" s="23">
        <f>SUM(H134:H134)-SUM(H135:H135)</f>
        <v>3615000</v>
      </c>
      <c r="I137" s="4" t="s">
        <v>2</v>
      </c>
      <c r="J137" s="23">
        <f>SUM(H$175:H$175)</f>
        <v>0</v>
      </c>
      <c r="K137" s="4" t="str">
        <f>IF((H$175:H$175)&lt;=SUM(I$98:I$98),"More needs to be distributed.","Too much has been distributed.")</f>
        <v>More needs to be distributed.</v>
      </c>
      <c r="L137" s="4"/>
      <c r="M137" s="4"/>
      <c r="N137" s="4"/>
      <c r="O137" s="4"/>
      <c r="P137" s="4"/>
    </row>
    <row r="138" spans="1:16" ht="33" customHeight="1" x14ac:dyDescent="0.2">
      <c r="A138" s="4"/>
      <c r="B138" s="4"/>
      <c r="C138" s="60"/>
      <c r="D138" s="60"/>
      <c r="E138" s="60"/>
      <c r="F138" s="60"/>
      <c r="G138" s="2" t="s">
        <v>117</v>
      </c>
      <c r="H138" s="22">
        <v>70000</v>
      </c>
      <c r="I138" s="4" t="str">
        <f>IF(SUM(H138:H138)&lt;&gt;ROUND(SUM(H138:H138),0),"WHOLE DOLLARS","")</f>
        <v/>
      </c>
      <c r="J138" s="4"/>
      <c r="K138" s="4"/>
      <c r="L138" s="4"/>
      <c r="M138" s="4"/>
      <c r="N138" s="4"/>
      <c r="O138" s="4"/>
      <c r="P138" s="4"/>
    </row>
    <row r="139" spans="1:16" x14ac:dyDescent="0.2">
      <c r="A139" s="4"/>
      <c r="B139" s="4"/>
      <c r="C139" s="35"/>
      <c r="D139" s="35"/>
      <c r="E139" s="35"/>
      <c r="F139" s="35"/>
      <c r="G139" s="2"/>
      <c r="H139" s="4"/>
      <c r="I139" s="4"/>
      <c r="J139" s="4"/>
      <c r="K139" s="4"/>
      <c r="L139" s="4"/>
      <c r="M139" s="4"/>
      <c r="N139" s="4"/>
      <c r="O139" s="4"/>
      <c r="P139" s="4"/>
    </row>
    <row r="140" spans="1:16" ht="12.75" hidden="1" customHeight="1" x14ac:dyDescent="0.2">
      <c r="A140" s="4"/>
      <c r="B140" s="4"/>
      <c r="C140" s="60" t="s">
        <v>118</v>
      </c>
      <c r="D140" s="60"/>
      <c r="E140" s="60"/>
      <c r="F140" s="60"/>
      <c r="G140" s="2"/>
      <c r="H140" s="23">
        <f>SUM(H137:H137)-SUM(H138:H138)</f>
        <v>3545000</v>
      </c>
      <c r="I140" s="4" t="s">
        <v>2</v>
      </c>
      <c r="J140" s="23">
        <f>SUM(H$175:H$175)</f>
        <v>0</v>
      </c>
      <c r="K140" s="4" t="str">
        <f>IF((H$175:H$175)&lt;=SUM(I$98:I$98),"More needs to be distributed.","Too much has been distributed.")</f>
        <v>More needs to be distributed.</v>
      </c>
      <c r="L140" s="4"/>
      <c r="M140" s="4"/>
      <c r="N140" s="4"/>
      <c r="O140" s="4"/>
      <c r="P140" s="4"/>
    </row>
    <row r="141" spans="1:16" ht="33.75" customHeight="1" x14ac:dyDescent="0.2">
      <c r="A141" s="4"/>
      <c r="B141" s="4"/>
      <c r="C141" s="60"/>
      <c r="D141" s="60"/>
      <c r="E141" s="60"/>
      <c r="F141" s="60"/>
      <c r="G141" s="2" t="s">
        <v>119</v>
      </c>
      <c r="H141" s="22">
        <v>550000</v>
      </c>
      <c r="I141" s="4" t="str">
        <f>IF(SUM(H141:H141)&lt;&gt;ROUND(SUM(H141:H141),0),"WHOLE DOLLARS","")</f>
        <v/>
      </c>
      <c r="J141" s="4"/>
      <c r="K141" s="4"/>
      <c r="L141" s="4"/>
      <c r="M141" s="4"/>
      <c r="N141" s="4"/>
      <c r="O141" s="4"/>
      <c r="P141" s="4"/>
    </row>
    <row r="142" spans="1:16" x14ac:dyDescent="0.2">
      <c r="A142" s="4"/>
      <c r="B142" s="4"/>
      <c r="C142" s="35"/>
      <c r="D142" s="35"/>
      <c r="E142" s="35"/>
      <c r="F142" s="35"/>
      <c r="G142" s="2"/>
      <c r="H142" s="4"/>
      <c r="I142" s="4"/>
      <c r="J142" s="4"/>
      <c r="K142" s="4"/>
      <c r="L142" s="4"/>
      <c r="M142" s="4"/>
      <c r="N142" s="4"/>
      <c r="O142" s="4"/>
      <c r="P142" s="4"/>
    </row>
    <row r="143" spans="1:16" ht="12.75" hidden="1" customHeight="1" x14ac:dyDescent="0.2">
      <c r="A143" s="4"/>
      <c r="B143" s="4"/>
      <c r="C143" s="60" t="s">
        <v>120</v>
      </c>
      <c r="D143" s="60"/>
      <c r="E143" s="60"/>
      <c r="F143" s="60"/>
      <c r="G143" s="2"/>
      <c r="H143" s="23">
        <f>SUM(H140:H140)-SUM(H141:H141)</f>
        <v>2995000</v>
      </c>
      <c r="I143" s="4" t="s">
        <v>2</v>
      </c>
      <c r="J143" s="23">
        <f>SUM(H$175:H$175)</f>
        <v>0</v>
      </c>
      <c r="K143" s="4" t="str">
        <f>IF((H$175:H$175)&lt;=SUM(I$98:I$98),"More needs to be distributed.","Too much has been distributed.")</f>
        <v>More needs to be distributed.</v>
      </c>
      <c r="L143" s="4"/>
      <c r="M143" s="4"/>
      <c r="N143" s="4"/>
      <c r="O143" s="4"/>
      <c r="P143" s="4"/>
    </row>
    <row r="144" spans="1:16" x14ac:dyDescent="0.2">
      <c r="A144" s="4"/>
      <c r="B144" s="4"/>
      <c r="C144" s="60"/>
      <c r="D144" s="60"/>
      <c r="E144" s="60"/>
      <c r="F144" s="60"/>
      <c r="G144" s="2"/>
      <c r="H144" s="4"/>
      <c r="I144" s="4"/>
      <c r="J144" s="4"/>
      <c r="K144" s="4"/>
      <c r="L144" s="4"/>
      <c r="M144" s="4"/>
      <c r="N144" s="4"/>
      <c r="O144" s="4"/>
      <c r="P144" s="4"/>
    </row>
    <row r="145" spans="1:16" ht="29.25" customHeight="1" x14ac:dyDescent="0.2">
      <c r="A145" s="4"/>
      <c r="B145" s="4"/>
      <c r="C145" s="60"/>
      <c r="D145" s="60"/>
      <c r="E145" s="60"/>
      <c r="F145" s="60"/>
      <c r="G145" s="2" t="s">
        <v>121</v>
      </c>
      <c r="H145" s="22">
        <v>440000</v>
      </c>
      <c r="I145" s="4" t="str">
        <f>IF(SUM(H145:H145)&lt;&gt;ROUND(SUM(H145:H145),0),"WHOLE DOLLARS","")</f>
        <v/>
      </c>
      <c r="J145" s="4"/>
      <c r="K145" s="4"/>
      <c r="L145" s="4"/>
      <c r="M145" s="4"/>
      <c r="N145" s="4"/>
      <c r="O145" s="4"/>
      <c r="P145" s="4"/>
    </row>
    <row r="146" spans="1:16" x14ac:dyDescent="0.2">
      <c r="A146" s="4"/>
      <c r="B146" s="4"/>
      <c r="C146" s="35"/>
      <c r="D146" s="35"/>
      <c r="E146" s="35"/>
      <c r="F146" s="35"/>
      <c r="G146" s="2"/>
      <c r="H146" s="4"/>
      <c r="I146" s="4"/>
      <c r="J146" s="4"/>
      <c r="K146" s="4"/>
      <c r="L146" s="4"/>
      <c r="M146" s="4"/>
      <c r="N146" s="4"/>
      <c r="O146" s="4"/>
      <c r="P146" s="4"/>
    </row>
    <row r="147" spans="1:16" ht="12.75" hidden="1" customHeight="1" x14ac:dyDescent="0.2">
      <c r="A147" s="4"/>
      <c r="B147" s="4"/>
      <c r="C147" s="60" t="s">
        <v>122</v>
      </c>
      <c r="D147" s="60"/>
      <c r="E147" s="60"/>
      <c r="F147" s="60"/>
      <c r="G147" s="2"/>
      <c r="H147" s="23">
        <f>SUM(H143:H143)-SUM(H145:H145)</f>
        <v>2555000</v>
      </c>
      <c r="I147" s="4" t="s">
        <v>2</v>
      </c>
      <c r="J147" s="23">
        <f>SUM(H$175:H$175)</f>
        <v>0</v>
      </c>
      <c r="K147" s="4" t="str">
        <f>IF((H$175:H$175)&lt;=SUM(I$98:I$98),"More needs to be distributed.","Too much has been distributed.")</f>
        <v>More needs to be distributed.</v>
      </c>
      <c r="L147" s="4"/>
      <c r="M147" s="4"/>
      <c r="N147" s="4"/>
      <c r="O147" s="4"/>
      <c r="P147" s="4"/>
    </row>
    <row r="148" spans="1:16" x14ac:dyDescent="0.2">
      <c r="A148" s="4"/>
      <c r="B148" s="4"/>
      <c r="C148" s="60"/>
      <c r="D148" s="60"/>
      <c r="E148" s="60"/>
      <c r="F148" s="60"/>
      <c r="G148" s="2"/>
      <c r="H148" s="4"/>
      <c r="I148" s="4"/>
      <c r="J148" s="4"/>
      <c r="K148" s="4"/>
      <c r="L148" s="4"/>
      <c r="M148" s="4"/>
      <c r="N148" s="4"/>
      <c r="O148" s="4"/>
      <c r="P148" s="4"/>
    </row>
    <row r="149" spans="1:16" ht="30.75" customHeight="1" x14ac:dyDescent="0.2">
      <c r="A149" s="4"/>
      <c r="B149" s="4"/>
      <c r="C149" s="60"/>
      <c r="D149" s="60"/>
      <c r="E149" s="60"/>
      <c r="F149" s="60"/>
      <c r="G149" s="2" t="s">
        <v>123</v>
      </c>
      <c r="H149" s="22">
        <v>525000</v>
      </c>
      <c r="I149" s="4" t="str">
        <f>IF(SUM(H149:H149)&lt;&gt;ROUND(SUM(H149:H149),0),"WHOLE DOLLARS","")</f>
        <v/>
      </c>
      <c r="J149" s="4"/>
      <c r="K149" s="4"/>
      <c r="L149" s="4"/>
      <c r="M149" s="4"/>
      <c r="N149" s="4"/>
      <c r="O149" s="4"/>
      <c r="P149" s="4"/>
    </row>
    <row r="150" spans="1:16" x14ac:dyDescent="0.2">
      <c r="A150" s="4"/>
      <c r="B150" s="4"/>
      <c r="C150" s="35"/>
      <c r="D150" s="35"/>
      <c r="E150" s="35"/>
      <c r="F150" s="35"/>
      <c r="G150" s="2"/>
      <c r="H150" s="4"/>
      <c r="I150" s="4"/>
      <c r="J150" s="4"/>
      <c r="K150" s="4"/>
      <c r="L150" s="4"/>
      <c r="M150" s="4"/>
      <c r="N150" s="4"/>
      <c r="O150" s="4"/>
      <c r="P150" s="4"/>
    </row>
    <row r="151" spans="1:16" ht="12.75" customHeight="1" x14ac:dyDescent="0.2">
      <c r="A151" s="4"/>
      <c r="B151" s="4"/>
      <c r="C151" s="60" t="s">
        <v>124</v>
      </c>
      <c r="D151" s="60"/>
      <c r="E151" s="60"/>
      <c r="F151" s="60"/>
      <c r="G151" s="2"/>
      <c r="H151" s="4"/>
      <c r="I151" s="4"/>
      <c r="J151" s="4"/>
      <c r="K151" s="4"/>
      <c r="L151" s="4"/>
      <c r="M151" s="4"/>
      <c r="N151" s="4"/>
      <c r="O151" s="4"/>
      <c r="P151" s="4"/>
    </row>
    <row r="152" spans="1:16" hidden="1" x14ac:dyDescent="0.2">
      <c r="A152" s="4"/>
      <c r="B152" s="4"/>
      <c r="C152" s="60"/>
      <c r="D152" s="60"/>
      <c r="E152" s="60"/>
      <c r="F152" s="60"/>
      <c r="G152" s="2"/>
      <c r="H152" s="23">
        <f>SUM(H147:H147)-SUM(H149:H149)</f>
        <v>2030000</v>
      </c>
      <c r="I152" s="4" t="s">
        <v>2</v>
      </c>
      <c r="J152" s="23">
        <f>SUM(H$175:H$175)</f>
        <v>0</v>
      </c>
      <c r="K152" s="4" t="str">
        <f>IF((H$175:H$175)&lt;=SUM(I$98:I$98),"More needs to be distributed.","Too much has been distributed.")</f>
        <v>More needs to be distributed.</v>
      </c>
      <c r="L152" s="4"/>
      <c r="M152" s="4"/>
      <c r="N152" s="4"/>
      <c r="O152" s="4"/>
      <c r="P152" s="4"/>
    </row>
    <row r="153" spans="1:16" x14ac:dyDescent="0.2">
      <c r="A153" s="4"/>
      <c r="B153" s="4"/>
      <c r="C153" s="60"/>
      <c r="D153" s="60"/>
      <c r="E153" s="60"/>
      <c r="F153" s="60"/>
      <c r="G153" s="2"/>
      <c r="H153" s="4"/>
      <c r="I153" s="4"/>
      <c r="J153" s="4"/>
      <c r="K153" s="4"/>
      <c r="L153" s="4"/>
      <c r="M153" s="4"/>
      <c r="N153" s="4"/>
      <c r="O153" s="4"/>
      <c r="P153" s="4"/>
    </row>
    <row r="154" spans="1:16" x14ac:dyDescent="0.2">
      <c r="A154" s="4"/>
      <c r="B154" s="4"/>
      <c r="C154" s="60"/>
      <c r="D154" s="60"/>
      <c r="E154" s="60"/>
      <c r="F154" s="60"/>
      <c r="G154" s="2" t="s">
        <v>125</v>
      </c>
      <c r="H154" s="22">
        <v>550000</v>
      </c>
      <c r="I154" s="4" t="str">
        <f>IF(SUM(H154:H154)&lt;&gt;ROUND(SUM(H154:H154),0),"WHOLE DOLLARS","")</f>
        <v/>
      </c>
      <c r="J154" s="4"/>
      <c r="K154" s="4"/>
      <c r="L154" s="4"/>
      <c r="M154" s="4"/>
      <c r="N154" s="4"/>
      <c r="O154" s="4"/>
      <c r="P154" s="4"/>
    </row>
    <row r="155" spans="1:16" x14ac:dyDescent="0.2">
      <c r="A155" s="4"/>
      <c r="B155" s="4"/>
      <c r="C155" s="35"/>
      <c r="D155" s="35"/>
      <c r="E155" s="35"/>
      <c r="F155" s="35"/>
      <c r="G155" s="2"/>
      <c r="H155" s="4"/>
      <c r="I155" s="4"/>
      <c r="J155" s="4"/>
      <c r="K155" s="4"/>
      <c r="L155" s="4"/>
      <c r="M155" s="4"/>
      <c r="N155" s="4"/>
      <c r="O155" s="4"/>
      <c r="P155" s="4"/>
    </row>
    <row r="156" spans="1:16" ht="12.75" customHeight="1" x14ac:dyDescent="0.2">
      <c r="A156" s="4"/>
      <c r="B156" s="4"/>
      <c r="C156" s="60" t="s">
        <v>126</v>
      </c>
      <c r="D156" s="60"/>
      <c r="E156" s="60"/>
      <c r="F156" s="60"/>
      <c r="G156" s="2"/>
      <c r="H156" s="4"/>
      <c r="I156" s="4"/>
      <c r="J156" s="4"/>
      <c r="K156" s="4"/>
      <c r="L156" s="4"/>
      <c r="M156" s="4"/>
      <c r="N156" s="4"/>
      <c r="O156" s="4"/>
      <c r="P156" s="4"/>
    </row>
    <row r="157" spans="1:16" hidden="1" x14ac:dyDescent="0.2">
      <c r="A157" s="4"/>
      <c r="B157" s="4"/>
      <c r="C157" s="60"/>
      <c r="D157" s="60"/>
      <c r="E157" s="60"/>
      <c r="F157" s="60"/>
      <c r="G157" s="2"/>
      <c r="H157" s="23">
        <f>SUM(H152:H152)-SUM(H154:H154)</f>
        <v>1480000</v>
      </c>
      <c r="I157" s="4" t="s">
        <v>2</v>
      </c>
      <c r="J157" s="23">
        <f>SUM(H$175:H$175)</f>
        <v>0</v>
      </c>
      <c r="K157" s="4" t="str">
        <f>IF((H$175:H$175)&lt;=SUM(I$98:I$98),"More needs to be distributed.","Too much has been distributed.")</f>
        <v>More needs to be distributed.</v>
      </c>
      <c r="L157" s="4"/>
      <c r="M157" s="4"/>
      <c r="N157" s="4"/>
      <c r="O157" s="4"/>
      <c r="P157" s="4"/>
    </row>
    <row r="158" spans="1:16" x14ac:dyDescent="0.2">
      <c r="A158" s="4"/>
      <c r="B158" s="4"/>
      <c r="C158" s="60"/>
      <c r="D158" s="60"/>
      <c r="E158" s="60"/>
      <c r="F158" s="60"/>
      <c r="G158" s="2"/>
      <c r="H158" s="4"/>
      <c r="I158" s="4"/>
      <c r="J158" s="4"/>
      <c r="K158" s="4"/>
      <c r="L158" s="4"/>
      <c r="M158" s="4"/>
      <c r="N158" s="4"/>
      <c r="O158" s="4"/>
      <c r="P158" s="4"/>
    </row>
    <row r="159" spans="1:16" x14ac:dyDescent="0.2">
      <c r="A159" s="4"/>
      <c r="B159" s="4"/>
      <c r="C159" s="60"/>
      <c r="D159" s="60"/>
      <c r="E159" s="60"/>
      <c r="F159" s="60"/>
      <c r="G159" s="2"/>
      <c r="H159" s="4"/>
      <c r="I159" s="4"/>
      <c r="J159" s="4"/>
      <c r="K159" s="4"/>
      <c r="L159" s="4"/>
      <c r="M159" s="4"/>
      <c r="N159" s="4"/>
      <c r="O159" s="4"/>
      <c r="P159" s="4"/>
    </row>
    <row r="160" spans="1:16" ht="22.5" customHeight="1" x14ac:dyDescent="0.2">
      <c r="A160" s="4"/>
      <c r="B160" s="4"/>
      <c r="C160" s="60"/>
      <c r="D160" s="60"/>
      <c r="E160" s="60"/>
      <c r="F160" s="60"/>
      <c r="G160" s="2" t="s">
        <v>127</v>
      </c>
      <c r="H160" s="22">
        <v>430000</v>
      </c>
      <c r="I160" s="4" t="str">
        <f>IF(SUM(H160:H160)&lt;&gt;ROUND(SUM(H160:H160),0),"WHOLE DOLLARS","")</f>
        <v/>
      </c>
      <c r="J160" s="4"/>
      <c r="K160" s="4"/>
      <c r="L160" s="4"/>
      <c r="M160" s="4"/>
      <c r="N160" s="4"/>
      <c r="O160" s="4"/>
      <c r="P160" s="4"/>
    </row>
    <row r="161" spans="1:21" x14ac:dyDescent="0.2">
      <c r="A161" s="4"/>
      <c r="B161" s="4"/>
      <c r="C161" s="35"/>
      <c r="D161" s="35"/>
      <c r="E161" s="35"/>
      <c r="F161" s="35"/>
      <c r="G161" s="2"/>
      <c r="H161" s="4"/>
      <c r="I161" s="4"/>
      <c r="J161" s="4"/>
      <c r="K161" s="4"/>
      <c r="L161" s="4"/>
      <c r="M161" s="4"/>
      <c r="N161" s="4"/>
      <c r="O161" s="4"/>
      <c r="P161" s="4"/>
    </row>
    <row r="162" spans="1:21" ht="12.75" customHeight="1" x14ac:dyDescent="0.2">
      <c r="A162" s="4"/>
      <c r="B162" s="4"/>
      <c r="C162" s="67" t="s">
        <v>128</v>
      </c>
      <c r="D162" s="67"/>
      <c r="E162" s="67"/>
      <c r="F162" s="67"/>
      <c r="G162" s="2"/>
      <c r="H162" s="4"/>
      <c r="I162" s="4"/>
      <c r="J162" s="4"/>
      <c r="K162" s="4"/>
      <c r="L162" s="4"/>
      <c r="M162" s="4"/>
      <c r="N162" s="4"/>
      <c r="O162" s="4"/>
      <c r="P162" s="4"/>
    </row>
    <row r="163" spans="1:21" x14ac:dyDescent="0.2">
      <c r="A163" s="4"/>
      <c r="B163" s="4"/>
      <c r="C163" s="67"/>
      <c r="D163" s="67"/>
      <c r="E163" s="67"/>
      <c r="F163" s="67"/>
      <c r="G163" s="2"/>
      <c r="H163" s="4"/>
      <c r="I163" s="4"/>
      <c r="J163" s="4"/>
      <c r="K163" s="4"/>
      <c r="L163" s="4"/>
      <c r="M163" s="4"/>
      <c r="N163" s="4"/>
      <c r="O163" s="4"/>
      <c r="P163" s="4"/>
    </row>
    <row r="164" spans="1:21" x14ac:dyDescent="0.2">
      <c r="A164" s="4"/>
      <c r="B164" s="4"/>
      <c r="C164" s="67"/>
      <c r="D164" s="67"/>
      <c r="E164" s="67"/>
      <c r="F164" s="67"/>
      <c r="G164" s="2"/>
      <c r="H164" s="4"/>
      <c r="I164" s="4"/>
      <c r="J164" s="4"/>
      <c r="K164" s="4"/>
      <c r="L164" s="4"/>
      <c r="M164" s="4"/>
      <c r="N164" s="4"/>
      <c r="O164" s="4"/>
      <c r="P164" s="4"/>
    </row>
    <row r="165" spans="1:21" x14ac:dyDescent="0.2">
      <c r="A165" s="4"/>
      <c r="B165" s="4"/>
      <c r="C165" s="67"/>
      <c r="D165" s="67"/>
      <c r="E165" s="67"/>
      <c r="F165" s="67"/>
      <c r="G165" s="2"/>
      <c r="H165" s="4"/>
      <c r="I165" s="4"/>
      <c r="J165" s="4"/>
      <c r="K165" s="4"/>
      <c r="L165" s="4"/>
      <c r="M165" s="4"/>
      <c r="N165" s="4"/>
      <c r="O165" s="4"/>
      <c r="P165" s="4"/>
    </row>
    <row r="166" spans="1:21" hidden="1" x14ac:dyDescent="0.2">
      <c r="A166" s="4"/>
      <c r="B166" s="4"/>
      <c r="C166" s="67"/>
      <c r="D166" s="67"/>
      <c r="E166" s="67"/>
      <c r="F166" s="67"/>
      <c r="G166" s="2"/>
      <c r="H166" s="23">
        <f>SUM(H157:H157)-SUM(H160:H160)</f>
        <v>1050000</v>
      </c>
      <c r="I166" s="4" t="s">
        <v>2</v>
      </c>
      <c r="J166" s="23">
        <f>SUM(H$175:H$175)</f>
        <v>0</v>
      </c>
      <c r="K166" s="4" t="str">
        <f>IF((H$175:H$175)&lt;=SUM(I$98:I$98),"More needs to be distributed.","Too much has been distributed.")</f>
        <v>More needs to be distributed.</v>
      </c>
      <c r="L166" s="4"/>
      <c r="M166" s="4"/>
      <c r="N166" s="4"/>
      <c r="O166" s="4"/>
      <c r="P166" s="4"/>
    </row>
    <row r="167" spans="1:21" x14ac:dyDescent="0.2">
      <c r="A167" s="4"/>
      <c r="B167" s="4"/>
      <c r="C167" s="67"/>
      <c r="D167" s="67"/>
      <c r="E167" s="67"/>
      <c r="F167" s="67"/>
      <c r="G167" s="2"/>
      <c r="H167" s="4"/>
      <c r="I167" s="4"/>
      <c r="J167" s="4"/>
      <c r="K167" s="4"/>
      <c r="L167" s="4"/>
      <c r="M167" s="4"/>
      <c r="N167" s="4"/>
      <c r="O167" s="4"/>
      <c r="P167" s="4"/>
    </row>
    <row r="168" spans="1:21" x14ac:dyDescent="0.2">
      <c r="A168" s="4"/>
      <c r="B168" s="4"/>
      <c r="C168" s="67"/>
      <c r="D168" s="67"/>
      <c r="E168" s="67"/>
      <c r="F168" s="67"/>
      <c r="G168" s="2"/>
      <c r="H168" s="4"/>
      <c r="I168" s="4"/>
      <c r="J168" s="4"/>
      <c r="K168" s="4"/>
      <c r="L168" s="4"/>
      <c r="M168" s="4"/>
      <c r="N168" s="4"/>
      <c r="O168" s="4"/>
      <c r="P168" s="4"/>
    </row>
    <row r="169" spans="1:21" x14ac:dyDescent="0.2">
      <c r="A169" s="4"/>
      <c r="B169" s="4"/>
      <c r="C169" s="67"/>
      <c r="D169" s="67"/>
      <c r="E169" s="67"/>
      <c r="F169" s="67"/>
      <c r="G169" s="2"/>
      <c r="H169" s="4"/>
      <c r="I169" s="4"/>
      <c r="J169" s="4"/>
      <c r="K169" s="4"/>
      <c r="L169" s="4"/>
      <c r="M169" s="4"/>
      <c r="N169" s="4"/>
      <c r="O169" s="4"/>
      <c r="P169" s="4"/>
    </row>
    <row r="170" spans="1:21" x14ac:dyDescent="0.2">
      <c r="A170" s="4"/>
      <c r="B170" s="4"/>
      <c r="C170" s="67"/>
      <c r="D170" s="67"/>
      <c r="E170" s="67"/>
      <c r="F170" s="67"/>
      <c r="G170" s="2"/>
      <c r="H170" s="4"/>
      <c r="I170" s="4"/>
      <c r="J170" s="4"/>
      <c r="K170" s="4"/>
      <c r="L170" s="4"/>
      <c r="M170" s="4"/>
      <c r="N170" s="4"/>
      <c r="O170" s="4"/>
      <c r="P170" s="4"/>
    </row>
    <row r="171" spans="1:21" x14ac:dyDescent="0.2">
      <c r="A171" s="4"/>
      <c r="B171" s="4"/>
      <c r="C171" s="67"/>
      <c r="D171" s="67"/>
      <c r="E171" s="67"/>
      <c r="F171" s="67"/>
      <c r="G171" s="2"/>
      <c r="H171" s="4"/>
      <c r="I171" s="4"/>
      <c r="J171" s="4"/>
      <c r="K171" s="4"/>
      <c r="L171" s="4"/>
      <c r="M171" s="4"/>
      <c r="N171" s="4"/>
      <c r="O171" s="4"/>
      <c r="P171" s="4"/>
    </row>
    <row r="172" spans="1:21" x14ac:dyDescent="0.2">
      <c r="A172" s="4"/>
      <c r="B172" s="4"/>
      <c r="C172" s="67"/>
      <c r="D172" s="67"/>
      <c r="E172" s="67"/>
      <c r="F172" s="67"/>
      <c r="G172" s="2"/>
      <c r="H172" s="4"/>
      <c r="I172" s="4"/>
      <c r="J172" s="4"/>
      <c r="K172" s="4"/>
      <c r="L172" s="4"/>
      <c r="M172" s="4"/>
      <c r="N172" s="4"/>
      <c r="O172" s="4"/>
      <c r="P172" s="4"/>
    </row>
    <row r="173" spans="1:21" x14ac:dyDescent="0.2">
      <c r="A173" s="4"/>
      <c r="B173" s="4"/>
      <c r="C173" s="67"/>
      <c r="D173" s="67"/>
      <c r="E173" s="67"/>
      <c r="F173" s="67"/>
      <c r="G173" s="2" t="s">
        <v>129</v>
      </c>
      <c r="H173" s="22">
        <v>1050000</v>
      </c>
      <c r="I173" s="4" t="str">
        <f>IF(SUM(H173:H173)&lt;&gt;ROUND(SUM(H173:H173),0),"WHOLE DOLLARS","")</f>
        <v/>
      </c>
      <c r="J173" s="4"/>
      <c r="K173" s="4"/>
      <c r="L173" s="4"/>
      <c r="M173" s="4"/>
      <c r="N173" s="4"/>
      <c r="O173" s="4"/>
      <c r="P173" s="4"/>
    </row>
    <row r="174" spans="1:21" x14ac:dyDescent="0.2">
      <c r="A174" s="4"/>
      <c r="B174" s="4"/>
      <c r="C174" s="35"/>
      <c r="D174" s="35"/>
      <c r="E174" s="35"/>
      <c r="F174" s="35"/>
      <c r="G174" s="2"/>
      <c r="H174" s="4"/>
      <c r="I174" s="4"/>
      <c r="J174" s="4"/>
      <c r="K174" s="4"/>
      <c r="L174" s="4"/>
      <c r="M174" s="4"/>
      <c r="N174" s="4"/>
      <c r="O174" s="4"/>
      <c r="P174" s="4"/>
    </row>
    <row r="175" spans="1:21" x14ac:dyDescent="0.2">
      <c r="A175" s="4"/>
      <c r="B175" s="4"/>
      <c r="C175" s="35"/>
      <c r="D175" s="35"/>
      <c r="E175" s="35"/>
      <c r="F175" s="35"/>
      <c r="G175" s="2"/>
      <c r="H175" s="23">
        <f>SUM(H166:H166)-SUM(H173:H173)</f>
        <v>0</v>
      </c>
      <c r="I175" s="4" t="s">
        <v>2</v>
      </c>
      <c r="J175" s="4"/>
      <c r="K175" s="4"/>
      <c r="L175" s="4"/>
      <c r="M175" s="4"/>
      <c r="N175" s="4"/>
      <c r="O175" s="4"/>
      <c r="P175" s="4"/>
    </row>
    <row r="176" spans="1:21" x14ac:dyDescent="0.2">
      <c r="A176" s="4"/>
      <c r="B176" s="4"/>
      <c r="C176" s="4"/>
      <c r="D176" s="4"/>
      <c r="E176" s="4"/>
      <c r="F176" s="4"/>
      <c r="G176" s="2"/>
      <c r="H176" s="4"/>
      <c r="I176" s="4"/>
      <c r="J176" s="4"/>
      <c r="K176" s="4"/>
      <c r="L176" s="4"/>
      <c r="M176" s="4"/>
      <c r="N176" s="4"/>
      <c r="O176" s="4"/>
      <c r="P176" s="4"/>
      <c r="U176" s="37" t="s">
        <v>2</v>
      </c>
    </row>
    <row r="177" spans="1:21" x14ac:dyDescent="0.2">
      <c r="A177" s="4"/>
      <c r="B177" s="4"/>
      <c r="C177" s="4"/>
      <c r="D177" s="4" t="s">
        <v>130</v>
      </c>
      <c r="E177" s="4"/>
      <c r="F177" s="4"/>
      <c r="G177" s="2"/>
      <c r="H177" s="23"/>
      <c r="I177" s="23">
        <f>SUM(I98:I98)-SUM(H175:H175)</f>
        <v>33265091</v>
      </c>
      <c r="J177" s="62" t="str">
        <f>IF(I177&gt;SUM(I98:I98),"PROBLEM - You have distributed more than you said you want to set aside for Other State-Level Activities.",(IF(I177&lt;SUM(I98:I98),"PROBLEM - You have not distributed as much as you said you wanted to set aside for Other State-Level Activities.","OK")))</f>
        <v>OK</v>
      </c>
      <c r="K177" s="62"/>
      <c r="L177" s="62"/>
      <c r="M177" s="62"/>
      <c r="N177" s="62"/>
      <c r="O177" s="62"/>
      <c r="P177" s="62"/>
      <c r="U177" s="37"/>
    </row>
    <row r="178" spans="1:21" x14ac:dyDescent="0.2">
      <c r="A178" s="4"/>
      <c r="B178" s="4"/>
      <c r="C178" s="4"/>
      <c r="D178" s="4"/>
      <c r="E178" s="4"/>
      <c r="F178" s="4"/>
      <c r="G178" s="2"/>
      <c r="H178" s="23"/>
      <c r="I178" s="23"/>
      <c r="J178" s="62"/>
      <c r="K178" s="62"/>
      <c r="L178" s="62"/>
      <c r="M178" s="62"/>
      <c r="N178" s="62"/>
      <c r="O178" s="62"/>
      <c r="P178" s="62"/>
    </row>
    <row r="179" spans="1:21" x14ac:dyDescent="0.2">
      <c r="A179" s="4"/>
      <c r="B179" s="4"/>
      <c r="C179" s="4"/>
      <c r="D179" s="4"/>
      <c r="E179" s="4"/>
      <c r="F179" s="4"/>
      <c r="G179" s="2"/>
      <c r="H179" s="23"/>
      <c r="I179" s="23"/>
      <c r="J179" s="62" t="str">
        <f>IF(J177&lt;&gt;"OK","The difference between what you said you wanted to set aside and the details of what you have set aside is","")</f>
        <v/>
      </c>
      <c r="K179" s="62"/>
      <c r="L179" s="62"/>
      <c r="M179" s="62"/>
      <c r="N179" s="62"/>
      <c r="O179" s="62"/>
      <c r="P179" s="62"/>
    </row>
    <row r="180" spans="1:21" x14ac:dyDescent="0.2">
      <c r="A180" s="4"/>
      <c r="B180" s="4"/>
      <c r="C180" s="4"/>
      <c r="D180" s="4"/>
      <c r="E180" s="4"/>
      <c r="F180" s="4"/>
      <c r="G180" s="2"/>
      <c r="H180" s="23"/>
      <c r="I180" s="23"/>
      <c r="J180" s="62"/>
      <c r="K180" s="62"/>
      <c r="L180" s="62"/>
      <c r="M180" s="62"/>
      <c r="N180" s="62"/>
      <c r="O180" s="62"/>
      <c r="P180" s="62"/>
    </row>
    <row r="181" spans="1:21" x14ac:dyDescent="0.2">
      <c r="A181" s="4" t="s">
        <v>131</v>
      </c>
      <c r="B181" s="4"/>
      <c r="C181" s="4"/>
      <c r="D181" s="4"/>
      <c r="E181" s="4"/>
      <c r="F181" s="4"/>
      <c r="G181" s="2"/>
      <c r="H181" s="4"/>
      <c r="I181" s="4"/>
      <c r="J181" s="38" t="str">
        <f>IF(SUM(I177:I177)&gt;SUM(I98:I98),SUM(I177:I177)-SUM(I98:I98),(IF(SUM(I177:I177)&lt;SUM(I98:I98),SUM(I98:I98)-SUM(I177:I177),"")))</f>
        <v/>
      </c>
      <c r="K181" s="4"/>
      <c r="L181" s="4"/>
      <c r="M181" s="4"/>
      <c r="N181" s="4"/>
      <c r="O181" s="4"/>
      <c r="P181" s="4"/>
    </row>
    <row r="182" spans="1:21" x14ac:dyDescent="0.2">
      <c r="A182" s="4" t="s">
        <v>132</v>
      </c>
      <c r="B182" s="4"/>
      <c r="C182" s="4"/>
      <c r="D182" s="4"/>
      <c r="E182" s="4"/>
      <c r="F182" s="4"/>
      <c r="G182" s="2"/>
      <c r="H182" s="4"/>
      <c r="I182" s="4"/>
      <c r="J182" s="4"/>
      <c r="K182" s="4"/>
      <c r="L182" s="4"/>
      <c r="M182" s="4"/>
      <c r="N182" s="4"/>
      <c r="O182" s="4"/>
      <c r="P182" s="4"/>
    </row>
    <row r="183" spans="1:21" x14ac:dyDescent="0.2">
      <c r="A183" s="4" t="s">
        <v>133</v>
      </c>
      <c r="B183" s="4"/>
      <c r="C183" s="4"/>
      <c r="D183" s="4"/>
      <c r="E183" s="4"/>
      <c r="F183" s="4"/>
      <c r="G183" s="2"/>
      <c r="H183" s="4"/>
      <c r="I183" s="4"/>
      <c r="J183" s="4"/>
      <c r="K183" s="4"/>
      <c r="L183" s="4"/>
      <c r="M183" s="4"/>
      <c r="N183" s="4"/>
      <c r="O183" s="4"/>
      <c r="P183" s="4"/>
    </row>
    <row r="184" spans="1:21" x14ac:dyDescent="0.2">
      <c r="A184" s="68">
        <f>(H110)</f>
        <v>14787000</v>
      </c>
      <c r="B184" s="68"/>
      <c r="C184" s="68"/>
      <c r="D184" s="4"/>
      <c r="E184" s="4"/>
      <c r="F184" s="4"/>
      <c r="G184" s="2"/>
      <c r="H184" s="4"/>
      <c r="I184" s="4"/>
      <c r="J184" s="4"/>
      <c r="K184" s="4"/>
      <c r="L184" s="4"/>
      <c r="M184" s="4"/>
      <c r="N184" s="4"/>
      <c r="O184" s="4"/>
      <c r="P184" s="4"/>
    </row>
    <row r="185" spans="1:21" x14ac:dyDescent="0.2">
      <c r="A185" s="4"/>
      <c r="B185" s="4"/>
      <c r="C185" s="4"/>
      <c r="D185" s="4"/>
      <c r="E185" s="4"/>
      <c r="F185" s="4"/>
      <c r="G185" s="2"/>
      <c r="H185" s="4"/>
      <c r="I185" s="4"/>
      <c r="J185" s="4"/>
      <c r="K185" s="4"/>
      <c r="L185" s="4"/>
      <c r="M185" s="4"/>
      <c r="N185" s="4"/>
      <c r="O185" s="4"/>
      <c r="P185" s="4"/>
    </row>
    <row r="186" spans="1:21" ht="12.75" customHeight="1" x14ac:dyDescent="0.2">
      <c r="A186" s="4"/>
      <c r="B186" s="4"/>
      <c r="C186" s="60" t="s">
        <v>134</v>
      </c>
      <c r="D186" s="60"/>
      <c r="E186" s="60"/>
      <c r="F186" s="60"/>
      <c r="G186" s="2"/>
      <c r="H186" s="4"/>
      <c r="I186" s="4"/>
      <c r="J186" s="4"/>
      <c r="K186" s="4"/>
      <c r="L186" s="4"/>
      <c r="M186" s="4"/>
      <c r="N186" s="4"/>
      <c r="O186" s="4"/>
      <c r="P186" s="4"/>
    </row>
    <row r="187" spans="1:21" x14ac:dyDescent="0.2">
      <c r="A187" s="4"/>
      <c r="B187" s="4"/>
      <c r="C187" s="60"/>
      <c r="D187" s="60"/>
      <c r="E187" s="60"/>
      <c r="F187" s="60"/>
      <c r="G187" s="2"/>
      <c r="H187" s="4"/>
      <c r="I187" s="4"/>
      <c r="J187" s="4"/>
      <c r="K187" s="4"/>
      <c r="L187" s="4"/>
      <c r="M187" s="4"/>
      <c r="N187" s="4"/>
      <c r="O187" s="4"/>
      <c r="P187" s="4"/>
    </row>
    <row r="188" spans="1:21" x14ac:dyDescent="0.2">
      <c r="A188" s="4"/>
      <c r="B188" s="4"/>
      <c r="C188" s="60"/>
      <c r="D188" s="60"/>
      <c r="E188" s="60"/>
      <c r="F188" s="60"/>
      <c r="G188" s="2" t="s">
        <v>135</v>
      </c>
      <c r="H188" s="22">
        <v>14787000</v>
      </c>
      <c r="I188" s="4" t="str">
        <f>IF(SUM(H188:H188)&lt;&gt;ROUND(SUM(H188:H188),0),"WHOLE DOLLARS","")</f>
        <v/>
      </c>
      <c r="J188" s="4"/>
      <c r="K188" s="4"/>
      <c r="L188" s="4"/>
      <c r="M188" s="4"/>
      <c r="N188" s="4"/>
      <c r="O188" s="4"/>
      <c r="P188" s="4"/>
    </row>
    <row r="189" spans="1:21" x14ac:dyDescent="0.2">
      <c r="A189" s="4"/>
      <c r="B189" s="4"/>
      <c r="C189" s="35"/>
      <c r="D189" s="35"/>
      <c r="E189" s="35"/>
      <c r="F189" s="35"/>
      <c r="G189" s="2"/>
      <c r="H189" s="4"/>
      <c r="I189" s="4"/>
      <c r="J189" s="4"/>
      <c r="K189" s="4"/>
      <c r="L189" s="4"/>
      <c r="M189" s="4"/>
      <c r="N189" s="4"/>
      <c r="O189" s="4"/>
      <c r="P189" s="4"/>
    </row>
    <row r="190" spans="1:21" ht="12.75" customHeight="1" x14ac:dyDescent="0.2">
      <c r="A190" s="4"/>
      <c r="B190" s="4"/>
      <c r="C190" s="60" t="s">
        <v>136</v>
      </c>
      <c r="D190" s="60"/>
      <c r="E190" s="60"/>
      <c r="F190" s="60"/>
      <c r="G190" s="2"/>
      <c r="H190" s="4"/>
      <c r="I190" s="4"/>
      <c r="J190" s="4"/>
      <c r="K190" s="4"/>
      <c r="L190" s="4"/>
      <c r="M190" s="4"/>
      <c r="N190" s="4"/>
      <c r="O190" s="4"/>
      <c r="P190" s="4"/>
    </row>
    <row r="191" spans="1:21" x14ac:dyDescent="0.2">
      <c r="A191" s="4"/>
      <c r="B191" s="4"/>
      <c r="C191" s="60"/>
      <c r="D191" s="60"/>
      <c r="E191" s="60"/>
      <c r="F191" s="60"/>
      <c r="G191" s="2"/>
      <c r="H191" s="4"/>
      <c r="I191" s="4"/>
      <c r="J191" s="4"/>
      <c r="K191" s="4"/>
      <c r="L191" s="4"/>
      <c r="M191" s="4"/>
      <c r="N191" s="4"/>
      <c r="O191" s="4"/>
      <c r="P191" s="4"/>
    </row>
    <row r="192" spans="1:21" x14ac:dyDescent="0.2">
      <c r="A192" s="4"/>
      <c r="B192" s="4"/>
      <c r="C192" s="60"/>
      <c r="D192" s="60"/>
      <c r="E192" s="60"/>
      <c r="F192" s="60"/>
      <c r="G192" s="2"/>
      <c r="H192" s="4"/>
      <c r="I192" s="4"/>
      <c r="J192" s="4"/>
      <c r="K192" s="4"/>
      <c r="L192" s="4"/>
      <c r="M192" s="4"/>
      <c r="N192" s="4"/>
      <c r="O192" s="4"/>
      <c r="P192" s="4"/>
    </row>
    <row r="193" spans="1:26" x14ac:dyDescent="0.2">
      <c r="A193" s="4"/>
      <c r="B193" s="4"/>
      <c r="C193" s="60"/>
      <c r="D193" s="60"/>
      <c r="E193" s="60"/>
      <c r="F193" s="60"/>
      <c r="G193" s="2"/>
      <c r="H193" s="4"/>
      <c r="I193" s="4"/>
      <c r="J193" s="4"/>
      <c r="K193" s="4"/>
      <c r="L193" s="4"/>
      <c r="M193" s="4"/>
      <c r="N193" s="4"/>
      <c r="O193" s="4"/>
      <c r="P193" s="4"/>
    </row>
    <row r="194" spans="1:26" x14ac:dyDescent="0.2">
      <c r="A194" s="4"/>
      <c r="B194" s="4"/>
      <c r="C194" s="60"/>
      <c r="D194" s="60"/>
      <c r="E194" s="60"/>
      <c r="F194" s="60"/>
      <c r="G194" s="2" t="s">
        <v>137</v>
      </c>
      <c r="H194" s="22" t="s">
        <v>2</v>
      </c>
      <c r="I194" s="4" t="str">
        <f>IF(SUM(H194:H194)&lt;&gt;ROUND(SUM(H194:H194),0),"WHOLE DOLLARS","")</f>
        <v/>
      </c>
      <c r="J194" s="12" t="str">
        <f>IF(SUM(H194:H194)&gt;(ROUND(SUM(H110:H110)*0.05,0)),"PROBLEM - This is more than 5% of the High Cost Fund.  5% is","")</f>
        <v/>
      </c>
      <c r="K194" s="4"/>
      <c r="L194" s="4"/>
      <c r="M194" s="4"/>
      <c r="N194" s="4"/>
      <c r="O194" s="4"/>
      <c r="P194" s="4"/>
    </row>
    <row r="195" spans="1:26" x14ac:dyDescent="0.2">
      <c r="A195" s="4"/>
      <c r="B195" s="4"/>
      <c r="C195" s="19"/>
      <c r="D195" s="19"/>
      <c r="E195" s="19"/>
      <c r="F195" s="19"/>
      <c r="G195" s="2"/>
      <c r="H195" s="23"/>
      <c r="I195" s="4"/>
      <c r="J195" s="25" t="str">
        <f>IF(SUM(H194:H194)&gt;ROUND(SUM(H110:H110)*0.05,0),ROUND(H110*0.05,0),"")</f>
        <v/>
      </c>
      <c r="K195" s="4"/>
      <c r="L195" s="4"/>
      <c r="M195" s="4"/>
      <c r="N195" s="4"/>
      <c r="O195" s="4"/>
      <c r="P195" s="4"/>
    </row>
    <row r="196" spans="1:26" x14ac:dyDescent="0.2">
      <c r="A196" s="4"/>
      <c r="B196" s="4"/>
      <c r="C196" s="35"/>
      <c r="D196" s="35"/>
      <c r="E196" s="35"/>
      <c r="F196" s="35"/>
      <c r="G196" s="2"/>
      <c r="H196" s="4"/>
      <c r="I196" s="4"/>
      <c r="J196" s="4"/>
      <c r="K196" s="4"/>
      <c r="L196" s="4"/>
      <c r="M196" s="4"/>
      <c r="N196" s="4"/>
      <c r="O196" s="4"/>
      <c r="P196" s="4"/>
    </row>
    <row r="197" spans="1:26" ht="12.75" customHeight="1" x14ac:dyDescent="0.2">
      <c r="A197" s="4"/>
      <c r="B197" s="4"/>
      <c r="C197" s="60" t="s">
        <v>138</v>
      </c>
      <c r="D197" s="60"/>
      <c r="E197" s="60"/>
      <c r="F197" s="60"/>
      <c r="G197" s="2"/>
      <c r="H197" s="4"/>
      <c r="I197" s="4"/>
      <c r="J197" s="4"/>
      <c r="K197" s="4"/>
      <c r="L197" s="4"/>
      <c r="M197" s="4"/>
      <c r="N197" s="4"/>
      <c r="O197" s="4"/>
      <c r="P197" s="4"/>
    </row>
    <row r="198" spans="1:26" x14ac:dyDescent="0.2">
      <c r="A198" s="4"/>
      <c r="B198" s="4"/>
      <c r="C198" s="60"/>
      <c r="D198" s="60"/>
      <c r="E198" s="60"/>
      <c r="F198" s="60"/>
      <c r="G198" s="2"/>
      <c r="H198" s="4"/>
      <c r="I198" s="4"/>
      <c r="J198" s="4"/>
      <c r="K198" s="4"/>
      <c r="L198" s="4"/>
      <c r="M198" s="4"/>
      <c r="N198" s="4"/>
      <c r="O198" s="4"/>
      <c r="P198" s="4"/>
    </row>
    <row r="199" spans="1:26" x14ac:dyDescent="0.2">
      <c r="A199" s="4"/>
      <c r="B199" s="4"/>
      <c r="C199" s="60"/>
      <c r="D199" s="60"/>
      <c r="E199" s="60"/>
      <c r="F199" s="60"/>
      <c r="G199" s="2"/>
      <c r="H199" s="4"/>
      <c r="I199" s="4"/>
      <c r="J199" s="4"/>
      <c r="K199" s="4"/>
      <c r="L199" s="4"/>
      <c r="M199" s="4"/>
      <c r="N199" s="4"/>
      <c r="O199" s="4"/>
      <c r="P199" s="4"/>
    </row>
    <row r="200" spans="1:26" x14ac:dyDescent="0.2">
      <c r="A200" s="4"/>
      <c r="B200" s="4"/>
      <c r="C200" s="60"/>
      <c r="D200" s="60"/>
      <c r="E200" s="60"/>
      <c r="F200" s="60"/>
      <c r="G200" s="20"/>
      <c r="H200" s="4"/>
      <c r="I200" s="4"/>
      <c r="J200" s="4"/>
      <c r="K200" s="4"/>
      <c r="L200" s="4"/>
      <c r="M200" s="4"/>
      <c r="N200" s="4"/>
      <c r="O200" s="4"/>
      <c r="P200" s="4"/>
    </row>
    <row r="201" spans="1:26" x14ac:dyDescent="0.2">
      <c r="A201" s="4"/>
      <c r="B201" s="4"/>
      <c r="C201" s="19"/>
      <c r="D201" s="19"/>
      <c r="E201" s="19"/>
      <c r="F201" s="19"/>
      <c r="G201" s="20"/>
      <c r="H201" s="4"/>
      <c r="I201" s="4"/>
      <c r="J201" s="4"/>
      <c r="K201" s="4"/>
      <c r="L201" s="4"/>
      <c r="M201" s="4"/>
      <c r="N201" s="4"/>
      <c r="O201" s="4"/>
      <c r="P201" s="4"/>
    </row>
    <row r="202" spans="1:26" ht="29.25" customHeight="1" x14ac:dyDescent="0.2">
      <c r="A202" s="4"/>
      <c r="B202" s="4"/>
      <c r="C202" s="4"/>
      <c r="D202" s="66" t="s">
        <v>139</v>
      </c>
      <c r="E202" s="66"/>
      <c r="F202" s="66"/>
      <c r="G202" s="21"/>
      <c r="H202" s="39">
        <f>SUM(H188:H194)</f>
        <v>14787000</v>
      </c>
      <c r="I202" s="23" t="s">
        <v>2</v>
      </c>
      <c r="J202" s="62" t="str">
        <f>IF(SUM(H110:H110)&lt;&gt;H202,"PROBLEM - The sum of these 2 activities must equal what you proposed to use for the High Cost Fund.  The difference is","OK")</f>
        <v>OK</v>
      </c>
      <c r="K202" s="62"/>
      <c r="L202" s="62"/>
      <c r="M202" s="62"/>
      <c r="N202" s="62"/>
      <c r="O202" s="62"/>
      <c r="P202" s="62"/>
    </row>
    <row r="203" spans="1:26" x14ac:dyDescent="0.2">
      <c r="J203" s="41" t="str">
        <f>IF(J202&lt;&gt;"OK",MAX(SUM(H202:H202)-SUM(H110:H110),SUM(H110:H110)-H202),"")</f>
        <v/>
      </c>
    </row>
    <row r="204" spans="1:26" x14ac:dyDescent="0.2">
      <c r="J204" s="6" t="s">
        <v>2</v>
      </c>
    </row>
    <row r="206" spans="1:26" ht="18" x14ac:dyDescent="0.25">
      <c r="Q206" s="42" t="s">
        <v>140</v>
      </c>
    </row>
    <row r="207" spans="1:26" x14ac:dyDescent="0.2">
      <c r="Z207" s="5" t="s">
        <v>141</v>
      </c>
    </row>
    <row r="208" spans="1:26" x14ac:dyDescent="0.2">
      <c r="Q208" s="43" t="str">
        <f>A1</f>
        <v>Washington</v>
      </c>
      <c r="U208" s="44"/>
      <c r="Z208" s="5" t="s">
        <v>2</v>
      </c>
    </row>
    <row r="209" spans="7:26" x14ac:dyDescent="0.2">
      <c r="U209" s="44"/>
    </row>
    <row r="210" spans="7:26" x14ac:dyDescent="0.2">
      <c r="G210" s="6"/>
      <c r="Q210" s="43" t="s">
        <v>142</v>
      </c>
      <c r="U210" s="45">
        <f>ROUND((I11*0.1),0)*-1</f>
        <v>-568545</v>
      </c>
    </row>
    <row r="211" spans="7:26" x14ac:dyDescent="0.2">
      <c r="G211" s="6"/>
      <c r="Q211" s="44"/>
      <c r="R211" s="44"/>
      <c r="S211" s="44"/>
      <c r="T211" s="44"/>
      <c r="V211" s="44"/>
      <c r="W211" s="44"/>
      <c r="X211" s="44"/>
      <c r="Y211" s="44"/>
      <c r="Z211" s="44"/>
    </row>
    <row r="212" spans="7:26" x14ac:dyDescent="0.2">
      <c r="G212" s="6"/>
      <c r="Q212" s="44"/>
      <c r="R212" s="44" t="s">
        <v>143</v>
      </c>
      <c r="S212" s="44"/>
      <c r="T212" s="44"/>
      <c r="U212" s="44"/>
      <c r="V212" s="44"/>
      <c r="W212" s="44"/>
      <c r="X212" s="44"/>
      <c r="Y212" s="44"/>
      <c r="Z212" s="44"/>
    </row>
    <row r="213" spans="7:26" x14ac:dyDescent="0.2">
      <c r="G213" s="6"/>
      <c r="Q213" s="44"/>
      <c r="R213" s="5" t="s">
        <v>144</v>
      </c>
      <c r="U213" s="46"/>
      <c r="V213" s="69" t="s">
        <v>145</v>
      </c>
      <c r="W213" s="69"/>
      <c r="X213" s="69"/>
      <c r="Y213" s="69"/>
      <c r="Z213" s="69"/>
    </row>
    <row r="214" spans="7:26" x14ac:dyDescent="0.2">
      <c r="G214" s="6"/>
      <c r="Q214" s="44"/>
      <c r="R214" s="5" t="s">
        <v>146</v>
      </c>
      <c r="U214" s="46"/>
    </row>
    <row r="215" spans="7:26" x14ac:dyDescent="0.2">
      <c r="G215" s="6"/>
      <c r="Q215" s="44"/>
      <c r="R215" s="44"/>
      <c r="S215" s="44"/>
      <c r="T215" s="44"/>
      <c r="U215" s="46"/>
      <c r="V215" s="44"/>
      <c r="W215" s="44"/>
      <c r="X215" s="44"/>
      <c r="Y215" s="44"/>
      <c r="Z215" s="44"/>
    </row>
    <row r="216" spans="7:26" x14ac:dyDescent="0.2">
      <c r="G216" s="6"/>
      <c r="Q216" s="44"/>
      <c r="R216" s="44"/>
      <c r="S216" s="46" t="s">
        <v>147</v>
      </c>
      <c r="T216" s="46"/>
      <c r="U216" s="46"/>
      <c r="V216" s="46"/>
      <c r="W216" s="46"/>
      <c r="X216" s="46"/>
      <c r="Y216" s="46"/>
      <c r="Z216" s="47">
        <f>I11</f>
        <v>5685449</v>
      </c>
    </row>
    <row r="217" spans="7:26" x14ac:dyDescent="0.2">
      <c r="G217" s="6"/>
      <c r="Q217" s="44"/>
      <c r="R217" s="44"/>
      <c r="S217" s="46" t="s">
        <v>148</v>
      </c>
      <c r="T217" s="46"/>
      <c r="U217" s="46"/>
      <c r="V217" s="46"/>
      <c r="W217" s="46"/>
      <c r="X217" s="46"/>
      <c r="Y217" s="46"/>
      <c r="Z217" s="47">
        <f>I9</f>
        <v>5785449</v>
      </c>
    </row>
    <row r="218" spans="7:26" x14ac:dyDescent="0.2">
      <c r="G218" s="6"/>
      <c r="Q218" s="44"/>
      <c r="R218" s="44"/>
      <c r="S218" s="46"/>
      <c r="T218" s="46"/>
      <c r="U218" s="46"/>
      <c r="V218" s="46"/>
      <c r="W218" s="46"/>
      <c r="X218" s="46"/>
      <c r="Y218" s="46"/>
      <c r="Z218" s="47"/>
    </row>
    <row r="219" spans="7:26" x14ac:dyDescent="0.2">
      <c r="G219" s="6"/>
      <c r="Q219" s="44"/>
      <c r="R219" s="44"/>
      <c r="S219" s="46" t="s">
        <v>149</v>
      </c>
      <c r="T219" s="46"/>
      <c r="U219" s="44"/>
      <c r="V219" s="46"/>
      <c r="W219" s="46"/>
      <c r="X219" s="46"/>
      <c r="Y219" s="46"/>
      <c r="Z219" s="47"/>
    </row>
    <row r="220" spans="7:26" x14ac:dyDescent="0.2">
      <c r="G220" s="6"/>
      <c r="Q220" s="44"/>
      <c r="R220" s="44"/>
      <c r="S220" s="46" t="s">
        <v>150</v>
      </c>
      <c r="T220" s="46"/>
      <c r="U220" s="46"/>
      <c r="V220" s="46"/>
      <c r="W220" s="46"/>
      <c r="X220" s="46"/>
      <c r="Y220" s="46"/>
      <c r="Z220" s="47"/>
    </row>
    <row r="221" spans="7:26" x14ac:dyDescent="0.2">
      <c r="G221" s="6"/>
      <c r="Q221" s="44"/>
      <c r="R221" s="44"/>
      <c r="S221" s="46" t="s">
        <v>151</v>
      </c>
      <c r="T221" s="46"/>
      <c r="U221" s="46"/>
      <c r="V221" s="46"/>
      <c r="W221" s="46"/>
      <c r="X221" s="46"/>
      <c r="Y221" s="46"/>
      <c r="Z221" s="47"/>
    </row>
    <row r="222" spans="7:26" x14ac:dyDescent="0.2">
      <c r="G222" s="6"/>
      <c r="Q222" s="44"/>
      <c r="R222" s="44"/>
      <c r="S222" s="44"/>
      <c r="T222" s="44"/>
      <c r="U222" s="46"/>
      <c r="V222" s="44"/>
      <c r="W222" s="44"/>
      <c r="X222" s="44"/>
      <c r="Y222" s="44"/>
      <c r="Z222" s="44"/>
    </row>
    <row r="223" spans="7:26" x14ac:dyDescent="0.2">
      <c r="G223" s="6"/>
      <c r="Q223" s="44"/>
      <c r="R223" s="44"/>
      <c r="S223" s="46" t="s">
        <v>152</v>
      </c>
      <c r="T223" s="46"/>
      <c r="U223" s="46"/>
      <c r="V223" s="46"/>
      <c r="W223" s="46"/>
      <c r="X223" s="46"/>
      <c r="Y223" s="44"/>
      <c r="Z223" s="44"/>
    </row>
    <row r="224" spans="7:26" x14ac:dyDescent="0.2">
      <c r="G224" s="6"/>
      <c r="Q224" s="44"/>
      <c r="R224" s="44"/>
      <c r="S224" s="46" t="s">
        <v>153</v>
      </c>
      <c r="T224" s="46"/>
      <c r="U224" s="44"/>
      <c r="V224" s="46"/>
      <c r="W224" s="46"/>
      <c r="X224" s="46"/>
      <c r="Y224" s="44"/>
      <c r="Z224" s="44"/>
    </row>
    <row r="225" spans="7:26" x14ac:dyDescent="0.2">
      <c r="G225" s="6"/>
      <c r="Q225" s="44"/>
      <c r="R225" s="44"/>
      <c r="S225" s="46" t="s">
        <v>154</v>
      </c>
      <c r="T225" s="46"/>
      <c r="U225" s="44"/>
      <c r="V225" s="46"/>
      <c r="W225" s="46"/>
      <c r="X225" s="46"/>
      <c r="Y225" s="44"/>
      <c r="Z225" s="44"/>
    </row>
    <row r="226" spans="7:26" x14ac:dyDescent="0.2">
      <c r="G226" s="6"/>
      <c r="Q226" s="44"/>
      <c r="R226" s="44"/>
      <c r="S226" s="46" t="s">
        <v>155</v>
      </c>
      <c r="T226" s="46"/>
      <c r="U226" s="44"/>
      <c r="V226" s="46"/>
      <c r="W226" s="46"/>
      <c r="X226" s="46"/>
      <c r="Y226" s="48">
        <f>(H47)</f>
        <v>0</v>
      </c>
      <c r="Z226" s="44"/>
    </row>
    <row r="227" spans="7:26" x14ac:dyDescent="0.2">
      <c r="G227" s="6"/>
      <c r="Q227" s="44"/>
      <c r="R227" s="44"/>
      <c r="S227" s="44"/>
      <c r="T227" s="44"/>
      <c r="U227" s="44"/>
      <c r="V227" s="44"/>
      <c r="W227" s="44"/>
      <c r="X227" s="44"/>
      <c r="Y227" s="48"/>
      <c r="Z227" s="44"/>
    </row>
    <row r="228" spans="7:26" x14ac:dyDescent="0.2">
      <c r="G228" s="6"/>
      <c r="Q228" s="44"/>
      <c r="R228" s="44"/>
      <c r="S228" s="46" t="s">
        <v>156</v>
      </c>
      <c r="T228" s="44"/>
      <c r="U228" s="44"/>
      <c r="V228" s="49">
        <f>(D2)</f>
        <v>5785449</v>
      </c>
      <c r="W228" s="50" t="s">
        <v>157</v>
      </c>
      <c r="X228" s="51">
        <f>Z217</f>
        <v>5785449</v>
      </c>
      <c r="Y228" s="44"/>
      <c r="Z228" s="44"/>
    </row>
    <row r="229" spans="7:26" x14ac:dyDescent="0.2">
      <c r="G229" s="6"/>
      <c r="Q229" s="44"/>
      <c r="R229" s="44"/>
      <c r="S229" s="46" t="s">
        <v>158</v>
      </c>
      <c r="T229" s="44"/>
      <c r="U229" s="44"/>
      <c r="V229" s="44"/>
      <c r="W229" s="44"/>
      <c r="X229" s="44"/>
      <c r="Y229" s="44"/>
      <c r="Z229" s="44"/>
    </row>
    <row r="230" spans="7:26" x14ac:dyDescent="0.2">
      <c r="G230" s="6"/>
      <c r="Q230" s="44"/>
      <c r="R230" s="44"/>
      <c r="S230" s="43" t="s">
        <v>159</v>
      </c>
      <c r="T230" s="44"/>
      <c r="U230" s="46"/>
      <c r="V230" s="44"/>
      <c r="W230" s="44"/>
      <c r="X230" s="48"/>
      <c r="Y230" s="44"/>
      <c r="Z230" s="44"/>
    </row>
    <row r="231" spans="7:26" x14ac:dyDescent="0.2">
      <c r="G231" s="6"/>
      <c r="Q231" s="44"/>
      <c r="R231" s="44"/>
      <c r="S231" s="43" t="s">
        <v>160</v>
      </c>
      <c r="T231" s="44"/>
      <c r="U231" s="51">
        <f>B32</f>
        <v>2389808</v>
      </c>
      <c r="V231" s="44"/>
      <c r="W231" s="44"/>
      <c r="X231" s="48"/>
      <c r="Y231" s="44"/>
      <c r="Z231" s="44"/>
    </row>
    <row r="232" spans="7:26" x14ac:dyDescent="0.2">
      <c r="G232" s="6"/>
      <c r="Q232" s="44"/>
      <c r="R232" s="44"/>
      <c r="S232" s="44"/>
      <c r="T232" s="44"/>
      <c r="U232" s="51"/>
      <c r="V232" s="44"/>
      <c r="W232" s="44"/>
      <c r="X232" s="44"/>
      <c r="Y232" s="44"/>
      <c r="Z232" s="44"/>
    </row>
    <row r="233" spans="7:26" x14ac:dyDescent="0.2">
      <c r="G233" s="6"/>
      <c r="Q233" s="44"/>
      <c r="R233" s="44"/>
      <c r="S233" s="46" t="s">
        <v>161</v>
      </c>
      <c r="T233" s="46"/>
      <c r="U233" s="46"/>
      <c r="V233" s="46"/>
      <c r="W233" s="46"/>
      <c r="X233" s="44"/>
      <c r="Y233" s="44"/>
      <c r="Z233" s="44"/>
    </row>
    <row r="234" spans="7:26" x14ac:dyDescent="0.2">
      <c r="G234" s="6"/>
      <c r="Q234" s="44"/>
      <c r="R234" s="44"/>
      <c r="S234" s="70" t="s">
        <v>162</v>
      </c>
      <c r="T234" s="70"/>
      <c r="U234" s="46"/>
      <c r="V234" s="46" t="s">
        <v>163</v>
      </c>
      <c r="W234" s="46"/>
      <c r="X234" s="52"/>
      <c r="Y234" s="44"/>
      <c r="Z234" s="44"/>
    </row>
    <row r="235" spans="7:26" x14ac:dyDescent="0.2">
      <c r="G235" s="6"/>
      <c r="Q235" s="44"/>
      <c r="R235" s="44"/>
      <c r="S235" s="46" t="s">
        <v>164</v>
      </c>
      <c r="T235" s="46"/>
      <c r="U235" s="44"/>
      <c r="V235" s="46"/>
      <c r="W235" s="46"/>
      <c r="X235" s="52"/>
      <c r="Y235" s="44"/>
      <c r="Z235" s="44"/>
    </row>
    <row r="236" spans="7:26" x14ac:dyDescent="0.2">
      <c r="G236" s="6"/>
      <c r="Q236" s="44"/>
      <c r="R236" s="44"/>
      <c r="S236" s="46"/>
      <c r="T236" s="46"/>
      <c r="U236" s="44"/>
      <c r="V236" s="46"/>
      <c r="W236" s="46"/>
      <c r="X236" s="46"/>
      <c r="Y236" s="48"/>
      <c r="Z236" s="44"/>
    </row>
    <row r="237" spans="7:26" x14ac:dyDescent="0.2">
      <c r="G237" s="6"/>
      <c r="Q237" s="44"/>
      <c r="R237" s="44"/>
      <c r="S237" s="46" t="s">
        <v>165</v>
      </c>
      <c r="T237" s="46"/>
      <c r="U237" s="44"/>
      <c r="V237" s="46"/>
      <c r="W237" s="46"/>
      <c r="X237" s="46"/>
      <c r="Y237" s="48"/>
      <c r="Z237" s="44"/>
    </row>
    <row r="238" spans="7:26" x14ac:dyDescent="0.2">
      <c r="G238" s="6"/>
      <c r="Q238" s="44"/>
      <c r="R238" s="44"/>
      <c r="S238" s="44" t="s">
        <v>2</v>
      </c>
      <c r="T238" s="44"/>
      <c r="U238" s="44"/>
      <c r="V238" s="44"/>
      <c r="W238" s="44"/>
      <c r="X238" s="44"/>
      <c r="Y238" s="48"/>
      <c r="Z238" s="44"/>
    </row>
    <row r="239" spans="7:26" x14ac:dyDescent="0.2">
      <c r="G239" s="6"/>
      <c r="Q239" s="44"/>
      <c r="R239" s="44"/>
      <c r="S239" s="44"/>
      <c r="T239" s="44" t="s">
        <v>166</v>
      </c>
      <c r="U239" s="44"/>
      <c r="V239" s="44"/>
      <c r="W239" s="44"/>
      <c r="X239" s="44"/>
      <c r="Y239" s="44"/>
      <c r="Z239" s="44"/>
    </row>
    <row r="240" spans="7:26" x14ac:dyDescent="0.2">
      <c r="G240" s="6"/>
      <c r="Q240" s="44"/>
      <c r="R240" s="44"/>
      <c r="S240" s="44"/>
      <c r="T240" s="44" t="s">
        <v>167</v>
      </c>
      <c r="U240" s="44"/>
      <c r="V240" s="44"/>
      <c r="W240" s="44"/>
      <c r="X240" s="44"/>
      <c r="Y240" s="48" t="s">
        <v>2</v>
      </c>
      <c r="Z240" s="44"/>
    </row>
    <row r="241" spans="7:26" x14ac:dyDescent="0.2">
      <c r="G241" s="6"/>
      <c r="Q241" s="44"/>
      <c r="R241" s="44"/>
      <c r="S241" s="44"/>
      <c r="T241" s="44"/>
      <c r="U241" s="44"/>
      <c r="V241" s="44"/>
      <c r="W241" s="44"/>
      <c r="X241" s="44"/>
      <c r="Y241" s="48"/>
      <c r="Z241" s="44"/>
    </row>
    <row r="242" spans="7:26" x14ac:dyDescent="0.2">
      <c r="G242" s="6"/>
      <c r="Q242" s="44" t="s">
        <v>168</v>
      </c>
      <c r="R242" s="44" t="s">
        <v>2</v>
      </c>
      <c r="S242" s="44"/>
      <c r="T242" s="44" t="s">
        <v>169</v>
      </c>
      <c r="U242" s="44"/>
      <c r="V242" s="44"/>
      <c r="W242" s="44"/>
      <c r="X242" s="44"/>
      <c r="Z242" s="44"/>
    </row>
    <row r="243" spans="7:26" x14ac:dyDescent="0.2">
      <c r="G243" s="6"/>
      <c r="Q243" s="44"/>
      <c r="R243" s="44"/>
      <c r="S243" s="44"/>
      <c r="T243" s="44" t="s">
        <v>170</v>
      </c>
      <c r="U243" s="44"/>
      <c r="V243" s="44"/>
      <c r="W243" s="44"/>
      <c r="X243" s="44"/>
      <c r="Y243" s="48" t="s">
        <v>2</v>
      </c>
      <c r="Z243" s="44"/>
    </row>
    <row r="244" spans="7:26" x14ac:dyDescent="0.2">
      <c r="G244" s="6"/>
      <c r="Q244" s="44"/>
      <c r="R244" s="44"/>
      <c r="S244" s="44"/>
      <c r="T244" s="44"/>
      <c r="U244" s="44"/>
      <c r="V244" s="44"/>
      <c r="W244" s="44"/>
      <c r="X244" s="44"/>
      <c r="Y244" s="48"/>
      <c r="Z244" s="44"/>
    </row>
    <row r="245" spans="7:26" x14ac:dyDescent="0.2">
      <c r="G245" s="6"/>
      <c r="Q245" s="44"/>
      <c r="R245" s="44"/>
      <c r="S245" s="44"/>
      <c r="T245" s="44" t="s">
        <v>171</v>
      </c>
      <c r="U245" s="44"/>
      <c r="V245" s="44"/>
      <c r="W245" s="44"/>
      <c r="X245" s="44"/>
      <c r="Y245" s="48" t="s">
        <v>2</v>
      </c>
      <c r="Z245" s="44"/>
    </row>
    <row r="246" spans="7:26" x14ac:dyDescent="0.2">
      <c r="G246" s="6"/>
      <c r="Q246" s="44"/>
      <c r="R246" s="44"/>
      <c r="S246" s="44"/>
      <c r="T246" s="44"/>
      <c r="U246" s="44"/>
      <c r="V246" s="44"/>
      <c r="W246" s="44"/>
      <c r="X246" s="44"/>
      <c r="Y246" s="48"/>
      <c r="Z246" s="44"/>
    </row>
    <row r="247" spans="7:26" x14ac:dyDescent="0.2">
      <c r="G247" s="6"/>
      <c r="Q247" s="44"/>
      <c r="R247" s="44"/>
      <c r="S247" s="44"/>
      <c r="T247" s="44" t="s">
        <v>172</v>
      </c>
      <c r="U247" s="44"/>
      <c r="V247" s="44"/>
      <c r="W247" s="44"/>
      <c r="X247" s="44"/>
      <c r="Z247" s="44"/>
    </row>
    <row r="248" spans="7:26" x14ac:dyDescent="0.2">
      <c r="G248" s="6"/>
      <c r="Q248" s="44"/>
      <c r="R248" s="44"/>
      <c r="S248" s="44"/>
      <c r="T248" s="44" t="s">
        <v>173</v>
      </c>
      <c r="U248" s="44"/>
      <c r="V248" s="44"/>
      <c r="W248" s="44"/>
      <c r="X248" s="44"/>
      <c r="Y248" s="48" t="s">
        <v>2</v>
      </c>
      <c r="Z248" s="44"/>
    </row>
    <row r="249" spans="7:26" x14ac:dyDescent="0.2">
      <c r="G249" s="6"/>
      <c r="Q249" s="44"/>
      <c r="R249" s="44"/>
      <c r="S249" s="44"/>
      <c r="T249" s="44"/>
      <c r="U249" s="44"/>
      <c r="V249" s="44"/>
      <c r="W249" s="44"/>
      <c r="X249" s="44"/>
      <c r="Y249" s="48"/>
      <c r="Z249" s="44"/>
    </row>
    <row r="250" spans="7:26" x14ac:dyDescent="0.2">
      <c r="G250" s="6"/>
      <c r="Q250" s="46" t="s">
        <v>174</v>
      </c>
      <c r="R250" s="44"/>
      <c r="S250" s="44"/>
      <c r="T250" s="44"/>
      <c r="V250" s="44"/>
      <c r="W250" s="44"/>
      <c r="X250" s="44"/>
      <c r="Y250" s="44"/>
      <c r="Z250" s="44"/>
    </row>
    <row r="251" spans="7:26" x14ac:dyDescent="0.2">
      <c r="G251" s="6"/>
      <c r="Q251" s="44"/>
      <c r="R251" s="44" t="s">
        <v>2</v>
      </c>
      <c r="S251" s="44"/>
      <c r="T251" s="44"/>
      <c r="V251" s="44"/>
      <c r="W251" s="44"/>
      <c r="X251" s="44"/>
      <c r="Y251" s="44"/>
      <c r="Z251" s="44"/>
    </row>
    <row r="252" spans="7:26" x14ac:dyDescent="0.2">
      <c r="G252" s="6"/>
      <c r="Q252" s="44"/>
      <c r="R252" s="44" t="s">
        <v>175</v>
      </c>
      <c r="S252" s="44"/>
      <c r="T252" s="44"/>
      <c r="V252" s="44"/>
      <c r="W252" s="44"/>
      <c r="X252" s="44"/>
      <c r="Y252" s="44"/>
      <c r="Z252" s="44"/>
    </row>
    <row r="253" spans="7:26" x14ac:dyDescent="0.2">
      <c r="G253" s="6"/>
      <c r="Q253" s="44"/>
      <c r="R253" s="5" t="s">
        <v>176</v>
      </c>
      <c r="U253" s="46"/>
      <c r="X253" s="53">
        <f>ROUND((I98*0.1),0)*-1</f>
        <v>-3326509</v>
      </c>
      <c r="Z253" s="44"/>
    </row>
    <row r="254" spans="7:26" x14ac:dyDescent="0.2">
      <c r="G254" s="6"/>
      <c r="Q254" s="44"/>
      <c r="R254" s="5" t="s">
        <v>177</v>
      </c>
      <c r="U254" s="46"/>
    </row>
    <row r="255" spans="7:26" x14ac:dyDescent="0.2">
      <c r="G255" s="6"/>
      <c r="Q255" s="44"/>
      <c r="U255" s="44"/>
    </row>
    <row r="256" spans="7:26" x14ac:dyDescent="0.2">
      <c r="G256" s="6"/>
      <c r="Q256" s="44"/>
      <c r="R256" s="44"/>
      <c r="S256" s="46" t="s">
        <v>178</v>
      </c>
      <c r="T256" s="46"/>
      <c r="U256" s="44"/>
      <c r="V256" s="46"/>
      <c r="W256" s="46"/>
      <c r="X256" s="46"/>
      <c r="Y256" s="46"/>
      <c r="Z256" s="52">
        <f>I98</f>
        <v>33265091</v>
      </c>
    </row>
    <row r="257" spans="7:26" x14ac:dyDescent="0.2">
      <c r="G257" s="6"/>
      <c r="Q257" s="44"/>
      <c r="R257" s="44"/>
      <c r="S257" s="46" t="s">
        <v>179</v>
      </c>
      <c r="T257" s="46"/>
      <c r="U257" s="44"/>
      <c r="V257" s="46"/>
      <c r="W257" s="46"/>
      <c r="X257" s="46"/>
      <c r="Y257" s="46"/>
      <c r="Z257" s="52"/>
    </row>
    <row r="258" spans="7:26" x14ac:dyDescent="0.2">
      <c r="G258" s="6"/>
      <c r="Q258" s="44"/>
      <c r="R258" s="44"/>
      <c r="S258" s="46" t="s">
        <v>180</v>
      </c>
      <c r="T258" s="44"/>
      <c r="U258" s="44"/>
      <c r="V258" s="44"/>
      <c r="W258" s="44"/>
      <c r="X258" s="44"/>
      <c r="Y258" s="44"/>
      <c r="Z258" s="52">
        <f>H96</f>
        <v>33265091</v>
      </c>
    </row>
    <row r="259" spans="7:26" x14ac:dyDescent="0.2">
      <c r="G259" s="6"/>
      <c r="Q259" s="44"/>
      <c r="R259" s="44"/>
      <c r="S259" s="46"/>
      <c r="T259" s="44"/>
      <c r="U259" s="44"/>
      <c r="V259" s="44"/>
      <c r="W259" s="44"/>
      <c r="X259" s="44"/>
      <c r="Y259" s="44"/>
      <c r="Z259" s="52"/>
    </row>
    <row r="260" spans="7:26" x14ac:dyDescent="0.2">
      <c r="G260" s="6"/>
      <c r="Q260" s="44"/>
      <c r="R260" s="44"/>
      <c r="S260" s="46" t="s">
        <v>181</v>
      </c>
      <c r="T260" s="44"/>
      <c r="U260" s="44"/>
      <c r="V260" s="44"/>
      <c r="W260" s="44"/>
      <c r="X260" s="44"/>
      <c r="Y260" s="44"/>
      <c r="Z260" s="52"/>
    </row>
    <row r="261" spans="7:26" x14ac:dyDescent="0.2">
      <c r="G261" s="6"/>
      <c r="Q261" s="44"/>
      <c r="R261" s="44"/>
      <c r="S261" s="46" t="s">
        <v>182</v>
      </c>
      <c r="T261" s="44"/>
      <c r="U261" s="44"/>
      <c r="V261" s="44"/>
      <c r="W261" s="44"/>
      <c r="X261" s="44"/>
      <c r="Y261" s="44"/>
      <c r="Z261" s="52"/>
    </row>
    <row r="262" spans="7:26" x14ac:dyDescent="0.2">
      <c r="G262" s="6"/>
      <c r="Q262" s="44"/>
      <c r="R262" s="44"/>
      <c r="S262" s="46"/>
      <c r="T262" s="44"/>
      <c r="U262" s="44"/>
      <c r="V262" s="44"/>
      <c r="W262" s="44"/>
      <c r="X262" s="44"/>
      <c r="Y262" s="44"/>
      <c r="Z262" s="52"/>
    </row>
    <row r="263" spans="7:26" x14ac:dyDescent="0.2">
      <c r="G263" s="6"/>
      <c r="Q263" s="44"/>
      <c r="R263" s="44"/>
      <c r="S263" s="46" t="s">
        <v>183</v>
      </c>
      <c r="T263" s="44"/>
      <c r="U263" s="44"/>
      <c r="V263" s="44"/>
      <c r="W263" s="44"/>
      <c r="X263" s="44"/>
      <c r="Y263" s="44"/>
      <c r="Z263" s="52"/>
    </row>
    <row r="264" spans="7:26" x14ac:dyDescent="0.2">
      <c r="G264" s="6"/>
      <c r="Q264" s="44"/>
      <c r="R264" s="44"/>
      <c r="S264" s="46" t="s">
        <v>184</v>
      </c>
      <c r="T264" s="44"/>
      <c r="U264" s="44"/>
      <c r="V264" s="44"/>
      <c r="W264" s="44"/>
      <c r="X264" s="44"/>
      <c r="Y264" s="44"/>
      <c r="Z264" s="52"/>
    </row>
    <row r="265" spans="7:26" x14ac:dyDescent="0.2">
      <c r="G265" s="6"/>
      <c r="Q265" s="44"/>
      <c r="R265" s="44"/>
      <c r="S265" s="46" t="s">
        <v>185</v>
      </c>
      <c r="T265" s="44"/>
      <c r="U265" s="44"/>
      <c r="V265" s="44"/>
      <c r="W265" s="44"/>
      <c r="X265" s="44"/>
      <c r="Y265" s="44"/>
      <c r="Z265" s="52"/>
    </row>
    <row r="266" spans="7:26" x14ac:dyDescent="0.2">
      <c r="G266" s="6"/>
      <c r="Q266" s="44"/>
      <c r="R266" s="44"/>
      <c r="S266" s="46" t="s">
        <v>186</v>
      </c>
      <c r="T266" s="44"/>
      <c r="U266" s="44"/>
      <c r="V266" s="44"/>
      <c r="W266" s="44"/>
      <c r="X266" s="44"/>
      <c r="Y266" s="44"/>
      <c r="Z266" s="52"/>
    </row>
    <row r="267" spans="7:26" x14ac:dyDescent="0.2">
      <c r="G267" s="6"/>
      <c r="Q267" s="44"/>
      <c r="R267" s="44"/>
      <c r="S267" s="46"/>
      <c r="T267" s="44"/>
      <c r="U267" s="44"/>
      <c r="V267" s="44"/>
      <c r="W267" s="44"/>
      <c r="X267" s="44"/>
      <c r="Y267" s="44"/>
      <c r="Z267" s="52"/>
    </row>
    <row r="268" spans="7:26" x14ac:dyDescent="0.2">
      <c r="G268" s="6"/>
      <c r="Q268" s="44"/>
      <c r="R268" s="44"/>
      <c r="S268" s="46" t="str">
        <f>IF(B95="NOT TO","You indicated that you do not intend to use Other State-Level Activities funds for","")</f>
        <v/>
      </c>
      <c r="T268" s="44"/>
      <c r="U268" s="44"/>
      <c r="V268" s="44"/>
      <c r="W268" s="44"/>
      <c r="X268" s="44"/>
      <c r="Y268" s="44"/>
      <c r="Z268" s="52"/>
    </row>
    <row r="269" spans="7:26" x14ac:dyDescent="0.2">
      <c r="G269" s="6"/>
      <c r="Q269" s="44"/>
      <c r="R269" s="44"/>
      <c r="S269" s="46" t="str">
        <f>IF(B95="NOT TO","a High Cost Fund.  If you decide that you want to use Other State-Level Activities ","")</f>
        <v/>
      </c>
      <c r="T269" s="44"/>
      <c r="U269" s="46"/>
      <c r="V269" s="44"/>
      <c r="W269" s="44"/>
      <c r="X269" s="44"/>
      <c r="Y269" s="44"/>
      <c r="Z269" s="52"/>
    </row>
    <row r="270" spans="7:26" x14ac:dyDescent="0.2">
      <c r="G270" s="6"/>
      <c r="Q270" s="44"/>
      <c r="R270" s="44"/>
      <c r="S270" s="46" t="str">
        <f>IF(B95="NOT TO","for a High Cost Fund, you must obtain approval from the Office of","")</f>
        <v/>
      </c>
      <c r="T270" s="44"/>
      <c r="U270" s="54">
        <f>IF(B95="TO",(H110/I98)*100,"")</f>
        <v>44.452005256802089</v>
      </c>
      <c r="V270" s="44"/>
      <c r="W270" s="44"/>
      <c r="X270" s="44"/>
      <c r="Y270" s="44"/>
      <c r="Z270" s="52"/>
    </row>
    <row r="271" spans="7:26" x14ac:dyDescent="0.2">
      <c r="G271" s="6"/>
      <c r="Q271" s="44"/>
      <c r="R271" s="44"/>
      <c r="S271" s="46" t="str">
        <f>IF(B95="NOT TO","Special Education Programs.","")</f>
        <v/>
      </c>
      <c r="T271" s="44"/>
      <c r="U271" s="54"/>
      <c r="V271" s="44"/>
      <c r="W271" s="44"/>
      <c r="X271" s="44"/>
      <c r="Y271" s="44"/>
      <c r="Z271" s="52"/>
    </row>
    <row r="272" spans="7:26" x14ac:dyDescent="0.2">
      <c r="G272" s="6"/>
      <c r="Q272" s="44"/>
      <c r="R272" s="44"/>
      <c r="S272" s="46" t="str">
        <f>IF(B95="TO","For the High Cost Fund, you reported that you would use a total of…………………………………………………..…………..."," ")</f>
        <v>For the High Cost Fund, you reported that you would use a total of…………………………………………………..…………...</v>
      </c>
      <c r="T272" s="46"/>
      <c r="U272" s="54"/>
      <c r="V272" s="46"/>
      <c r="W272" s="46"/>
      <c r="X272" s="46"/>
      <c r="Y272" s="46"/>
      <c r="Z272" s="52">
        <f>IF(B95="TO",H202,"")</f>
        <v>14787000</v>
      </c>
    </row>
    <row r="273" spans="7:26" x14ac:dyDescent="0.2">
      <c r="G273" s="6"/>
      <c r="Q273" s="44"/>
      <c r="R273" s="44"/>
      <c r="S273" s="70" t="str">
        <f>IF(B95="TO","This amount is","" )</f>
        <v>This amount is</v>
      </c>
      <c r="T273" s="70"/>
      <c r="U273" s="44"/>
      <c r="V273" s="70" t="str">
        <f>IF(B95="TO","percent of the total amount you proposed for Other","")</f>
        <v>percent of the total amount you proposed for Other</v>
      </c>
      <c r="W273" s="71"/>
      <c r="X273" s="71"/>
      <c r="Y273" s="71"/>
      <c r="Z273" s="44"/>
    </row>
    <row r="274" spans="7:26" x14ac:dyDescent="0.2">
      <c r="G274" s="6"/>
      <c r="Q274" s="44"/>
      <c r="R274" s="44"/>
      <c r="S274" s="46" t="str">
        <f>IF(B95="TO","State-Level Activities.","")</f>
        <v>State-Level Activities.</v>
      </c>
      <c r="T274" s="46"/>
      <c r="U274" s="44"/>
      <c r="V274" s="46"/>
      <c r="W274" s="43"/>
      <c r="X274" s="43"/>
      <c r="Y274" s="43"/>
      <c r="Z274" s="44"/>
    </row>
    <row r="275" spans="7:26" x14ac:dyDescent="0.2">
      <c r="G275" s="6"/>
      <c r="Q275" s="44"/>
      <c r="R275" s="44"/>
      <c r="S275" s="46"/>
      <c r="T275" s="46"/>
      <c r="V275" s="46"/>
      <c r="W275" s="43"/>
      <c r="X275" s="43"/>
      <c r="Y275" s="43"/>
      <c r="Z275" s="44"/>
    </row>
    <row r="276" spans="7:26" x14ac:dyDescent="0.2">
      <c r="G276" s="6"/>
      <c r="Q276" s="44"/>
      <c r="R276" s="44"/>
      <c r="S276" s="46" t="str">
        <f>IF(B95="TO","You must ensure that at least 10 percent of the funds set aside for Other ","")</f>
        <v xml:space="preserve">You must ensure that at least 10 percent of the funds set aside for Other </v>
      </c>
      <c r="T276" s="44"/>
      <c r="V276" s="44"/>
      <c r="W276" s="44"/>
      <c r="X276" s="44"/>
      <c r="Y276" s="44"/>
      <c r="Z276" s="44"/>
    </row>
    <row r="277" spans="7:26" x14ac:dyDescent="0.2">
      <c r="G277" s="6"/>
      <c r="Q277" s="44"/>
      <c r="R277" s="44"/>
      <c r="S277" s="46" t="str">
        <f>IF(B95="TO","State-Level Activities are used for the High Cost Fund.  No more than 5 percent ","")</f>
        <v xml:space="preserve">State-Level Activities are used for the High Cost Fund.  No more than 5 percent </v>
      </c>
      <c r="T277" s="44"/>
      <c r="V277" s="44"/>
      <c r="W277" s="44"/>
      <c r="X277" s="44"/>
      <c r="Y277" s="44"/>
      <c r="Z277" s="44"/>
    </row>
    <row r="278" spans="7:26" x14ac:dyDescent="0.2">
      <c r="G278" s="6"/>
      <c r="S278" s="43" t="str">
        <f>IF(B95="TO","of the funds used for the High Cost Fund may be used to support innovative","")</f>
        <v>of the funds used for the High Cost Fund may be used to support innovative</v>
      </c>
    </row>
    <row r="279" spans="7:26" x14ac:dyDescent="0.2">
      <c r="G279" s="6"/>
      <c r="S279" s="43" t="str">
        <f>IF(B95="TO","and effective ways for cost sharing.","")</f>
        <v>and effective ways for cost sharing.</v>
      </c>
    </row>
  </sheetData>
  <mergeCells count="65">
    <mergeCell ref="V213:Z213"/>
    <mergeCell ref="S234:T234"/>
    <mergeCell ref="S273:T273"/>
    <mergeCell ref="V273:Y273"/>
    <mergeCell ref="J179:P180"/>
    <mergeCell ref="J202:P202"/>
    <mergeCell ref="A184:C184"/>
    <mergeCell ref="C186:F188"/>
    <mergeCell ref="C190:F194"/>
    <mergeCell ref="C197:F200"/>
    <mergeCell ref="D202:F202"/>
    <mergeCell ref="J177:P178"/>
    <mergeCell ref="C130:F130"/>
    <mergeCell ref="C132:F132"/>
    <mergeCell ref="C133:F133"/>
    <mergeCell ref="C134:F135"/>
    <mergeCell ref="C137:F138"/>
    <mergeCell ref="C140:F141"/>
    <mergeCell ref="C143:F145"/>
    <mergeCell ref="C147:F149"/>
    <mergeCell ref="C151:F154"/>
    <mergeCell ref="C156:F160"/>
    <mergeCell ref="C162:F173"/>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BDD668AA-C225-4568-A8AD-5A9AACC950AC}">
      <formula1>$U$1:$U$54</formula1>
    </dataValidation>
    <dataValidation type="list" allowBlank="1" showInputMessage="1" showErrorMessage="1" error="You must select &quot;Yes&quot; or &quot;No&quot; from the pull down menue." sqref="H91" xr:uid="{56AE98E1-74A7-43A8-9A1B-899FC4CCE7B9}">
      <formula1>$J$92:$J$94</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FFY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IDEA-B FFY 2026 Interactive Spreadsheet</dc:title>
  <dc:subject>special education federal funding</dc:subject>
  <dc:creator>OSEP</dc:creator>
  <cp:keywords>idea, special education, funding, 611, 619</cp:keywords>
  <dc:description/>
  <cp:lastModifiedBy>Amber O’Donnell (OSPI)</cp:lastModifiedBy>
  <cp:revision/>
  <dcterms:created xsi:type="dcterms:W3CDTF">2026-06-12T16:04:13Z</dcterms:created>
  <dcterms:modified xsi:type="dcterms:W3CDTF">2026-06-12T16:31:39Z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2026-06-12T16:20:29Z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18cc3a52-8044-4d2e-a467-cfcd388caa94</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